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state="hidden"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比较法-住宅" sheetId="21" r:id="rId37"/>
    <sheet name="不动产收益法" sheetId="15" r:id="rId38"/>
    <sheet name="酒店收入计算" sheetId="57"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4" sheetId="75" state="hidden" r:id="rId48"/>
  </sheets>
  <externalReferences>
    <externalReference r:id="rId49"/>
    <externalReference r:id="rId50"/>
    <externalReference r:id="rId51"/>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5" i="66" l="1"/>
  <c r="C108" i="9"/>
  <c r="C106" i="9"/>
  <c r="G15" i="66"/>
  <c r="D15" i="66"/>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D85" i="21"/>
  <c r="E85" i="21"/>
  <c r="F85" i="21"/>
  <c r="F23" i="21"/>
  <c r="AA23" i="21"/>
  <c r="F25" i="21"/>
  <c r="AA25" i="21"/>
  <c r="F26" i="21"/>
  <c r="AA26" i="21"/>
  <c r="B90" i="21"/>
  <c r="F27" i="21"/>
  <c r="AA27" i="21"/>
  <c r="R48" i="21"/>
  <c r="H23" i="21"/>
  <c r="AB23" i="21"/>
  <c r="H25" i="21"/>
  <c r="AB25" i="21"/>
  <c r="H26" i="21"/>
  <c r="AB26" i="21"/>
  <c r="H27" i="21"/>
  <c r="AB27" i="21"/>
  <c r="T48" i="21"/>
  <c r="J23" i="21"/>
  <c r="AC23" i="21"/>
  <c r="J25" i="21"/>
  <c r="AC25" i="21"/>
  <c r="J26" i="21"/>
  <c r="AC26" i="21"/>
  <c r="J27" i="21"/>
  <c r="AC27"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106" i="39"/>
  <c r="F33" i="39"/>
  <c r="AA33" i="39"/>
  <c r="D109" i="39"/>
  <c r="E109" i="39"/>
  <c r="F109" i="39"/>
  <c r="G109" i="39"/>
  <c r="F34" i="39"/>
  <c r="AA34" i="39"/>
  <c r="F36" i="39"/>
  <c r="AA36" i="39"/>
  <c r="B112" i="39"/>
  <c r="F37" i="39"/>
  <c r="AA37" i="39"/>
  <c r="B114" i="39"/>
  <c r="F38" i="39"/>
  <c r="AA38" i="39"/>
  <c r="B116" i="39"/>
  <c r="F39" i="39"/>
  <c r="AA39" i="39"/>
  <c r="F40" i="39"/>
  <c r="AA40" i="39"/>
  <c r="F17" i="39"/>
  <c r="AA17" i="39"/>
  <c r="F19" i="39"/>
  <c r="AA19" i="39"/>
  <c r="F21" i="39"/>
  <c r="AA21" i="39"/>
  <c r="F23" i="39"/>
  <c r="AA23" i="39"/>
  <c r="F25" i="39"/>
  <c r="AA25" i="39"/>
  <c r="F27" i="39"/>
  <c r="AA27" i="39"/>
  <c r="F29" i="39"/>
  <c r="AA29" i="39"/>
  <c r="F31" i="39"/>
  <c r="AA31" i="39"/>
  <c r="R49" i="39"/>
  <c r="H33" i="39"/>
  <c r="AB33" i="39"/>
  <c r="H34" i="39"/>
  <c r="AB34" i="39"/>
  <c r="H36" i="39"/>
  <c r="AB36" i="39"/>
  <c r="H37" i="39"/>
  <c r="AB37" i="39"/>
  <c r="H38" i="39"/>
  <c r="AB38" i="39"/>
  <c r="H39" i="39"/>
  <c r="AB39" i="39"/>
  <c r="H40" i="39"/>
  <c r="AB40" i="39"/>
  <c r="H17" i="39"/>
  <c r="AB17" i="39"/>
  <c r="H19" i="39"/>
  <c r="AB19" i="39"/>
  <c r="H21" i="39"/>
  <c r="AB21" i="39"/>
  <c r="H23" i="39"/>
  <c r="AB23" i="39"/>
  <c r="H25" i="39"/>
  <c r="AB25" i="39"/>
  <c r="H27" i="39"/>
  <c r="AB27" i="39"/>
  <c r="H29" i="39"/>
  <c r="AB29" i="39"/>
  <c r="H31" i="39"/>
  <c r="AB31" i="39"/>
  <c r="T49" i="39"/>
  <c r="J33" i="39"/>
  <c r="AC33" i="39"/>
  <c r="J34" i="39"/>
  <c r="AC34" i="39"/>
  <c r="J36" i="39"/>
  <c r="AC36" i="39"/>
  <c r="J37" i="39"/>
  <c r="AC37" i="39"/>
  <c r="J38" i="39"/>
  <c r="AC38" i="39"/>
  <c r="J39" i="39"/>
  <c r="AC39" i="39"/>
  <c r="J40" i="39"/>
  <c r="AC40" i="39"/>
  <c r="J17" i="39"/>
  <c r="AC17" i="39"/>
  <c r="J19" i="39"/>
  <c r="AC19" i="39"/>
  <c r="J21" i="39"/>
  <c r="AC21" i="39"/>
  <c r="J23" i="39"/>
  <c r="AC23" i="39"/>
  <c r="J25" i="39"/>
  <c r="AC25" i="39"/>
  <c r="J27" i="39"/>
  <c r="AC27" i="39"/>
  <c r="J29" i="39"/>
  <c r="AC29" i="39"/>
  <c r="J31" i="39"/>
  <c r="AC31" i="39"/>
  <c r="V49" i="39"/>
  <c r="R50" i="39"/>
  <c r="C50" i="39"/>
  <c r="B58" i="39"/>
  <c r="F58" i="39"/>
  <c r="B64" i="39"/>
  <c r="F64" i="39"/>
  <c r="B65" i="39"/>
  <c r="F65" i="39"/>
  <c r="B66" i="39"/>
  <c r="F66" i="39"/>
  <c r="B67" i="39"/>
  <c r="F67" i="39"/>
  <c r="F68" i="39"/>
  <c r="B2" i="39"/>
  <c r="C19" i="9"/>
  <c r="F14" i="39"/>
  <c r="AA14" i="39"/>
  <c r="D91" i="39"/>
  <c r="E91" i="39"/>
  <c r="F91" i="39"/>
  <c r="D93" i="39"/>
  <c r="E93" i="39"/>
  <c r="F93" i="39"/>
  <c r="D97" i="39"/>
  <c r="E97" i="39"/>
  <c r="F97" i="39"/>
  <c r="D99" i="39"/>
  <c r="D101" i="39"/>
  <c r="E101" i="39"/>
  <c r="F101" i="39"/>
  <c r="D103" i="39"/>
  <c r="E103" i="39"/>
  <c r="F103" i="39"/>
  <c r="D105" i="39"/>
  <c r="H14" i="39"/>
  <c r="AB14" i="39"/>
  <c r="D19" i="9"/>
  <c r="G19" i="9"/>
  <c r="C32" i="9"/>
  <c r="C42" i="9"/>
  <c r="C43" i="9"/>
  <c r="C44" i="9"/>
  <c r="O39" i="9"/>
  <c r="B22" i="1"/>
  <c r="C2" i="65"/>
  <c r="F23" i="15"/>
  <c r="B24" i="1"/>
  <c r="H9" i="39"/>
  <c r="AB9" i="39"/>
  <c r="F9" i="39"/>
  <c r="AA9" i="39"/>
  <c r="J9" i="39"/>
  <c r="AC9" i="39"/>
  <c r="J14" i="39"/>
  <c r="AC14" i="39"/>
  <c r="N69" i="9"/>
  <c r="D63" i="9"/>
  <c r="D71" i="9"/>
  <c r="D66" i="9"/>
  <c r="N72" i="9"/>
  <c r="D73" i="9"/>
  <c r="N73" i="9"/>
  <c r="C103" i="9"/>
  <c r="C111" i="9"/>
  <c r="C107" i="9"/>
  <c r="C105" i="9"/>
  <c r="C110" i="9"/>
  <c r="C112" i="9"/>
  <c r="C104" i="9"/>
  <c r="C113" i="9"/>
  <c r="C114" i="9"/>
  <c r="C115" i="9"/>
  <c r="D76" i="9"/>
  <c r="D74" i="9"/>
  <c r="N74" i="9"/>
  <c r="O77" i="9"/>
  <c r="O79" i="9"/>
  <c r="C46" i="9"/>
  <c r="O41" i="9"/>
  <c r="H17" i="21"/>
  <c r="AB17" i="21"/>
  <c r="C11" i="21"/>
  <c r="H11" i="21"/>
  <c r="AB11" i="21"/>
  <c r="H42" i="21"/>
  <c r="AB42" i="21"/>
  <c r="V47" i="21"/>
  <c r="J11" i="21"/>
  <c r="AC11" i="21"/>
  <c r="J42" i="21"/>
  <c r="AC42" i="21"/>
  <c r="F11" i="21"/>
  <c r="AA11" i="21"/>
  <c r="F42" i="21"/>
  <c r="AA42" i="21"/>
  <c r="D83" i="39"/>
  <c r="E83" i="39"/>
  <c r="F83" i="39"/>
  <c r="F13" i="39"/>
  <c r="AA13" i="39"/>
  <c r="B84" i="39"/>
  <c r="B86" i="39"/>
  <c r="F15" i="39"/>
  <c r="AA15" i="39"/>
  <c r="B88" i="39"/>
  <c r="F16" i="39"/>
  <c r="AA16" i="39"/>
  <c r="D107" i="39"/>
  <c r="E107" i="39"/>
  <c r="H13" i="39"/>
  <c r="AB13" i="39"/>
  <c r="H15" i="39"/>
  <c r="AB15" i="39"/>
  <c r="H16" i="39"/>
  <c r="AB16" i="39"/>
  <c r="F107" i="39"/>
  <c r="G83" i="39"/>
  <c r="J13" i="39"/>
  <c r="AC13" i="39"/>
  <c r="J15" i="39"/>
  <c r="AC15" i="39"/>
  <c r="J16" i="39"/>
  <c r="AC16" i="39"/>
  <c r="O43" i="9"/>
  <c r="R47" i="21"/>
  <c r="D69" i="21"/>
  <c r="E69" i="21"/>
  <c r="F69" i="21"/>
  <c r="B70" i="21"/>
  <c r="F12" i="21"/>
  <c r="AA12" i="21"/>
  <c r="B72" i="21"/>
  <c r="F13" i="21"/>
  <c r="AA13" i="21"/>
  <c r="B74" i="21"/>
  <c r="F14" i="21"/>
  <c r="AA14" i="21"/>
  <c r="D77" i="21"/>
  <c r="E77" i="21"/>
  <c r="F15" i="21"/>
  <c r="AA15" i="21"/>
  <c r="D79" i="21"/>
  <c r="E79" i="21"/>
  <c r="F17" i="21"/>
  <c r="AA17" i="21"/>
  <c r="D81" i="21"/>
  <c r="E81" i="21"/>
  <c r="F81" i="21"/>
  <c r="F19" i="21"/>
  <c r="AA19" i="21"/>
  <c r="D83" i="21"/>
  <c r="F21" i="21"/>
  <c r="AA21" i="21"/>
  <c r="H12" i="21"/>
  <c r="AB12" i="21"/>
  <c r="H13" i="21"/>
  <c r="AB13" i="21"/>
  <c r="H14" i="21"/>
  <c r="AB14" i="21"/>
  <c r="H15" i="21"/>
  <c r="AB15" i="21"/>
  <c r="H19" i="21"/>
  <c r="AB19" i="21"/>
  <c r="H21" i="21"/>
  <c r="AB21" i="21"/>
  <c r="G69" i="21"/>
  <c r="J12" i="21"/>
  <c r="AC12" i="21"/>
  <c r="J13" i="21"/>
  <c r="AC13" i="21"/>
  <c r="J14" i="21"/>
  <c r="AC14" i="21"/>
  <c r="J15" i="21"/>
  <c r="AC15" i="21"/>
  <c r="J17" i="21"/>
  <c r="AC17" i="21"/>
  <c r="J19" i="21"/>
  <c r="AC19" i="21"/>
  <c r="J21" i="21"/>
  <c r="AC21" i="21"/>
  <c r="F45" i="39"/>
  <c r="AA45" i="39"/>
  <c r="H45" i="39"/>
  <c r="AB45" i="39"/>
  <c r="J45" i="39"/>
  <c r="AC45" i="39"/>
  <c r="H37" i="6"/>
  <c r="E99" i="39"/>
  <c r="AA10" i="39"/>
  <c r="AA11" i="39"/>
  <c r="AA12" i="39"/>
  <c r="D122" i="39"/>
  <c r="F41" i="39"/>
  <c r="AA41" i="39"/>
  <c r="AA42" i="39"/>
  <c r="AA43" i="39"/>
  <c r="AA44" i="39"/>
  <c r="AA46" i="39"/>
  <c r="AA47" i="39"/>
  <c r="F99" i="39"/>
  <c r="AB10" i="39"/>
  <c r="AB11" i="39"/>
  <c r="AB12" i="39"/>
  <c r="H41" i="39"/>
  <c r="AB41" i="39"/>
  <c r="AB42" i="39"/>
  <c r="AB43" i="39"/>
  <c r="AB44" i="39"/>
  <c r="AB46" i="39"/>
  <c r="AB47" i="39"/>
  <c r="AC10" i="39"/>
  <c r="AC11" i="39"/>
  <c r="AC12" i="39"/>
  <c r="J41" i="39"/>
  <c r="AC41" i="39"/>
  <c r="AC42" i="39"/>
  <c r="AC43" i="39"/>
  <c r="AC44" i="39"/>
  <c r="AC46" i="39"/>
  <c r="AC47" i="39"/>
  <c r="F33" i="21"/>
  <c r="AA33" i="21"/>
  <c r="H33" i="21"/>
  <c r="AB33" i="21"/>
  <c r="J33" i="21"/>
  <c r="AC33" i="21"/>
  <c r="D30" i="9"/>
  <c r="B30" i="9"/>
  <c r="F15" i="15"/>
  <c r="F17" i="15"/>
  <c r="F18" i="15"/>
  <c r="F20" i="15"/>
  <c r="F21" i="15"/>
  <c r="F33" i="15"/>
  <c r="B92" i="21"/>
  <c r="F28" i="21"/>
  <c r="AA28" i="21"/>
  <c r="H28" i="21"/>
  <c r="AB28" i="21"/>
  <c r="J28" i="21"/>
  <c r="AC28" i="21"/>
  <c r="F14" i="12"/>
  <c r="F15" i="12"/>
  <c r="E16" i="12"/>
  <c r="F17" i="12"/>
  <c r="F24" i="12"/>
  <c r="B59" i="39"/>
  <c r="F59" i="39"/>
  <c r="B60" i="39"/>
  <c r="F60" i="39"/>
  <c r="B61" i="39"/>
  <c r="F61" i="39"/>
  <c r="B62" i="39"/>
  <c r="F62" i="39"/>
  <c r="B63" i="39"/>
  <c r="F63" i="39"/>
  <c r="F23" i="12"/>
  <c r="E58" i="39"/>
  <c r="AN13" i="3"/>
  <c r="AF13" i="3"/>
  <c r="AD13" i="3"/>
  <c r="G47" i="21"/>
  <c r="R9" i="73"/>
  <c r="C19" i="6"/>
  <c r="A6" i="1"/>
  <c r="G1" i="15"/>
  <c r="C20" i="6"/>
  <c r="A7" i="1"/>
  <c r="I9" i="73"/>
  <c r="C9" i="73"/>
  <c r="G9" i="73"/>
  <c r="C1" i="65"/>
  <c r="N1" i="65"/>
  <c r="B43" i="1"/>
  <c r="B41" i="1"/>
  <c r="F32" i="15"/>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5" i="3"/>
  <c r="F28" i="6"/>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5"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E21" i="6"/>
  <c r="E22" i="6"/>
  <c r="E23" i="6"/>
  <c r="E24" i="6"/>
  <c r="E25" i="6"/>
  <c r="E26" i="6"/>
  <c r="BD13" i="3"/>
  <c r="BE13" i="3"/>
  <c r="BF13" i="3"/>
  <c r="BG13" i="3"/>
  <c r="BH13" i="3"/>
  <c r="BI13" i="3"/>
  <c r="BJ13" i="3"/>
  <c r="BK13" i="3"/>
  <c r="BB14" i="3"/>
  <c r="BC14" i="3"/>
  <c r="BA14" i="3"/>
  <c r="BD14" i="3"/>
  <c r="BE14" i="3"/>
  <c r="BF14" i="3"/>
  <c r="BG14" i="3"/>
  <c r="BH14" i="3"/>
  <c r="BI14" i="3"/>
  <c r="BJ14" i="3"/>
  <c r="BK14" i="3"/>
  <c r="BB15" i="3"/>
  <c r="BC15" i="3"/>
  <c r="BD15" i="3"/>
  <c r="BE15" i="3"/>
  <c r="BF15" i="3"/>
  <c r="BG15" i="3"/>
  <c r="BH15" i="3"/>
  <c r="BI15" i="3"/>
  <c r="BJ15" i="3"/>
  <c r="BK15" i="3"/>
  <c r="BA15" i="3"/>
  <c r="BB16" i="3"/>
  <c r="BC16" i="3"/>
  <c r="BA16" i="3"/>
  <c r="BD16" i="3"/>
  <c r="BE16" i="3"/>
  <c r="BF16" i="3"/>
  <c r="BG16" i="3"/>
  <c r="BH16" i="3"/>
  <c r="BI16" i="3"/>
  <c r="BJ16" i="3"/>
  <c r="BK16" i="3"/>
  <c r="BB17" i="3"/>
  <c r="BC17" i="3"/>
  <c r="BD17" i="3"/>
  <c r="BE17" i="3"/>
  <c r="BF17" i="3"/>
  <c r="BG17" i="3"/>
  <c r="BH17" i="3"/>
  <c r="BI17" i="3"/>
  <c r="BJ17" i="3"/>
  <c r="BK17" i="3"/>
  <c r="BA17" i="3"/>
  <c r="BB18" i="3"/>
  <c r="BC18" i="3"/>
  <c r="BA18" i="3"/>
  <c r="BD18" i="3"/>
  <c r="BE18" i="3"/>
  <c r="BF18" i="3"/>
  <c r="BG18" i="3"/>
  <c r="BH18" i="3"/>
  <c r="BI18" i="3"/>
  <c r="BJ18" i="3"/>
  <c r="BK18" i="3"/>
  <c r="BB19" i="3"/>
  <c r="BC19" i="3"/>
  <c r="BD19" i="3"/>
  <c r="BE19" i="3"/>
  <c r="BF19" i="3"/>
  <c r="BG19" i="3"/>
  <c r="BH19" i="3"/>
  <c r="BI19" i="3"/>
  <c r="BJ19" i="3"/>
  <c r="BK19" i="3"/>
  <c r="BA19" i="3"/>
  <c r="BB20" i="3"/>
  <c r="BC20" i="3"/>
  <c r="BA20" i="3"/>
  <c r="BD20" i="3"/>
  <c r="BE20" i="3"/>
  <c r="BF20" i="3"/>
  <c r="BG20" i="3"/>
  <c r="BH20" i="3"/>
  <c r="BI20" i="3"/>
  <c r="BJ20" i="3"/>
  <c r="BK20" i="3"/>
  <c r="BB21" i="3"/>
  <c r="BC21" i="3"/>
  <c r="BD21" i="3"/>
  <c r="BE21" i="3"/>
  <c r="BF21" i="3"/>
  <c r="BG21" i="3"/>
  <c r="BH21" i="3"/>
  <c r="BI21" i="3"/>
  <c r="BJ21" i="3"/>
  <c r="BK21" i="3"/>
  <c r="BA21" i="3"/>
  <c r="BB22" i="3"/>
  <c r="BC22" i="3"/>
  <c r="BA22" i="3"/>
  <c r="BD22" i="3"/>
  <c r="BE22" i="3"/>
  <c r="BF22" i="3"/>
  <c r="BG22" i="3"/>
  <c r="BH22" i="3"/>
  <c r="BI22" i="3"/>
  <c r="BJ22" i="3"/>
  <c r="BK22" i="3"/>
  <c r="BB23" i="3"/>
  <c r="BC23" i="3"/>
  <c r="BD23" i="3"/>
  <c r="BE23" i="3"/>
  <c r="BF23" i="3"/>
  <c r="BG23" i="3"/>
  <c r="BH23" i="3"/>
  <c r="BI23" i="3"/>
  <c r="BJ23" i="3"/>
  <c r="BK23" i="3"/>
  <c r="BA23" i="3"/>
  <c r="BB24" i="3"/>
  <c r="BC24" i="3"/>
  <c r="BA24" i="3"/>
  <c r="BD24" i="3"/>
  <c r="BE24" i="3"/>
  <c r="BF24" i="3"/>
  <c r="BG24" i="3"/>
  <c r="BH24" i="3"/>
  <c r="BI24" i="3"/>
  <c r="BJ24" i="3"/>
  <c r="BK24" i="3"/>
  <c r="BB25" i="3"/>
  <c r="BC25" i="3"/>
  <c r="BD25" i="3"/>
  <c r="BE25" i="3"/>
  <c r="BF25" i="3"/>
  <c r="BG25" i="3"/>
  <c r="BH25" i="3"/>
  <c r="BI25" i="3"/>
  <c r="BJ25" i="3"/>
  <c r="BK25" i="3"/>
  <c r="BA25" i="3"/>
  <c r="BB26" i="3"/>
  <c r="BC26" i="3"/>
  <c r="BA26" i="3"/>
  <c r="BD26" i="3"/>
  <c r="BE26" i="3"/>
  <c r="BF26" i="3"/>
  <c r="BG26" i="3"/>
  <c r="BH26" i="3"/>
  <c r="BI26" i="3"/>
  <c r="BJ26" i="3"/>
  <c r="BK26" i="3"/>
  <c r="BB27" i="3"/>
  <c r="BC27" i="3"/>
  <c r="BD27" i="3"/>
  <c r="BE27" i="3"/>
  <c r="BF27" i="3"/>
  <c r="BG27" i="3"/>
  <c r="BH27" i="3"/>
  <c r="BI27" i="3"/>
  <c r="BJ27" i="3"/>
  <c r="BK27" i="3"/>
  <c r="BA27" i="3"/>
  <c r="BB28" i="3"/>
  <c r="BC28" i="3"/>
  <c r="BA28" i="3"/>
  <c r="BD28" i="3"/>
  <c r="BE28" i="3"/>
  <c r="BF28" i="3"/>
  <c r="BG28" i="3"/>
  <c r="BH28" i="3"/>
  <c r="BI28" i="3"/>
  <c r="BJ28" i="3"/>
  <c r="BK28" i="3"/>
  <c r="BB29" i="3"/>
  <c r="BC29" i="3"/>
  <c r="BD29" i="3"/>
  <c r="BE29" i="3"/>
  <c r="BF29" i="3"/>
  <c r="BG29" i="3"/>
  <c r="BH29" i="3"/>
  <c r="BI29" i="3"/>
  <c r="BJ29" i="3"/>
  <c r="BK29" i="3"/>
  <c r="BA29" i="3"/>
  <c r="BB30" i="3"/>
  <c r="BC30" i="3"/>
  <c r="BA30" i="3"/>
  <c r="BD30" i="3"/>
  <c r="BE30" i="3"/>
  <c r="BF30" i="3"/>
  <c r="BG30" i="3"/>
  <c r="BH30" i="3"/>
  <c r="BI30" i="3"/>
  <c r="BJ30" i="3"/>
  <c r="BK30" i="3"/>
  <c r="BB31" i="3"/>
  <c r="BC31" i="3"/>
  <c r="BD31" i="3"/>
  <c r="BE31" i="3"/>
  <c r="BF31" i="3"/>
  <c r="BG31" i="3"/>
  <c r="BH31" i="3"/>
  <c r="BI31" i="3"/>
  <c r="BJ31" i="3"/>
  <c r="BK31" i="3"/>
  <c r="BA31" i="3"/>
  <c r="BB32" i="3"/>
  <c r="BC32" i="3"/>
  <c r="BA32" i="3"/>
  <c r="BD32" i="3"/>
  <c r="BE32" i="3"/>
  <c r="BF32" i="3"/>
  <c r="BG32" i="3"/>
  <c r="BH32" i="3"/>
  <c r="BI32" i="3"/>
  <c r="BJ32" i="3"/>
  <c r="BK32" i="3"/>
  <c r="BB33" i="3"/>
  <c r="BC33" i="3"/>
  <c r="BD33" i="3"/>
  <c r="BE33" i="3"/>
  <c r="BF33" i="3"/>
  <c r="BG33" i="3"/>
  <c r="BH33" i="3"/>
  <c r="BI33" i="3"/>
  <c r="BJ33" i="3"/>
  <c r="BK33" i="3"/>
  <c r="BA33" i="3"/>
  <c r="BB34" i="3"/>
  <c r="BC34" i="3"/>
  <c r="BA34" i="3"/>
  <c r="BD34" i="3"/>
  <c r="BE34" i="3"/>
  <c r="BF34" i="3"/>
  <c r="BG34" i="3"/>
  <c r="BH34" i="3"/>
  <c r="BI34" i="3"/>
  <c r="BJ34" i="3"/>
  <c r="BK34" i="3"/>
  <c r="BB35" i="3"/>
  <c r="BC35" i="3"/>
  <c r="BD35" i="3"/>
  <c r="BE35" i="3"/>
  <c r="BF35" i="3"/>
  <c r="BG35" i="3"/>
  <c r="BH35" i="3"/>
  <c r="BI35" i="3"/>
  <c r="BJ35" i="3"/>
  <c r="BK35" i="3"/>
  <c r="BA35" i="3"/>
  <c r="BB36" i="3"/>
  <c r="BC36" i="3"/>
  <c r="BA36" i="3"/>
  <c r="BD36" i="3"/>
  <c r="BE36" i="3"/>
  <c r="BF36" i="3"/>
  <c r="BG36" i="3"/>
  <c r="BH36" i="3"/>
  <c r="BI36" i="3"/>
  <c r="BJ36" i="3"/>
  <c r="BK36" i="3"/>
  <c r="BB37" i="3"/>
  <c r="BC37" i="3"/>
  <c r="BD37" i="3"/>
  <c r="BE37" i="3"/>
  <c r="BF37" i="3"/>
  <c r="BG37" i="3"/>
  <c r="BH37" i="3"/>
  <c r="BI37" i="3"/>
  <c r="BJ37" i="3"/>
  <c r="BK37" i="3"/>
  <c r="BA37" i="3"/>
  <c r="BB38" i="3"/>
  <c r="BC38" i="3"/>
  <c r="BA38" i="3"/>
  <c r="BD38" i="3"/>
  <c r="BE38" i="3"/>
  <c r="BF38" i="3"/>
  <c r="BG38" i="3"/>
  <c r="BH38" i="3"/>
  <c r="BI38" i="3"/>
  <c r="BJ38" i="3"/>
  <c r="BK38" i="3"/>
  <c r="BB39" i="3"/>
  <c r="BC39" i="3"/>
  <c r="BD39" i="3"/>
  <c r="BE39" i="3"/>
  <c r="BF39" i="3"/>
  <c r="BG39" i="3"/>
  <c r="BH39" i="3"/>
  <c r="BI39" i="3"/>
  <c r="BJ39" i="3"/>
  <c r="BK39" i="3"/>
  <c r="BA39" i="3"/>
  <c r="BB40" i="3"/>
  <c r="BC40" i="3"/>
  <c r="BA40" i="3"/>
  <c r="BD40" i="3"/>
  <c r="BE40" i="3"/>
  <c r="BF40" i="3"/>
  <c r="BG40" i="3"/>
  <c r="BH40" i="3"/>
  <c r="BI40" i="3"/>
  <c r="BJ40" i="3"/>
  <c r="BK40" i="3"/>
  <c r="BB41" i="3"/>
  <c r="BC41" i="3"/>
  <c r="BD41" i="3"/>
  <c r="BE41" i="3"/>
  <c r="BF41" i="3"/>
  <c r="BG41" i="3"/>
  <c r="BH41" i="3"/>
  <c r="BI41" i="3"/>
  <c r="BJ41" i="3"/>
  <c r="BK41" i="3"/>
  <c r="BA41" i="3"/>
  <c r="BB42" i="3"/>
  <c r="BC42" i="3"/>
  <c r="BA42" i="3"/>
  <c r="BD42" i="3"/>
  <c r="BE42" i="3"/>
  <c r="BF42" i="3"/>
  <c r="BG42" i="3"/>
  <c r="BH42" i="3"/>
  <c r="BI42" i="3"/>
  <c r="BJ42" i="3"/>
  <c r="BK42" i="3"/>
  <c r="BB43" i="3"/>
  <c r="BC43" i="3"/>
  <c r="BD43" i="3"/>
  <c r="BE43" i="3"/>
  <c r="BF43" i="3"/>
  <c r="BG43" i="3"/>
  <c r="BH43" i="3"/>
  <c r="BI43" i="3"/>
  <c r="BJ43" i="3"/>
  <c r="BK43" i="3"/>
  <c r="BA43" i="3"/>
  <c r="BB44" i="3"/>
  <c r="BC44" i="3"/>
  <c r="BA44" i="3"/>
  <c r="BD44" i="3"/>
  <c r="BE44" i="3"/>
  <c r="BF44" i="3"/>
  <c r="BG44" i="3"/>
  <c r="BH44" i="3"/>
  <c r="BI44" i="3"/>
  <c r="BJ44" i="3"/>
  <c r="BK44" i="3"/>
  <c r="BB45" i="3"/>
  <c r="BC45" i="3"/>
  <c r="BD45" i="3"/>
  <c r="BE45" i="3"/>
  <c r="BF45" i="3"/>
  <c r="BG45" i="3"/>
  <c r="BH45" i="3"/>
  <c r="BI45" i="3"/>
  <c r="BJ45" i="3"/>
  <c r="BK45" i="3"/>
  <c r="BA45" i="3"/>
  <c r="BB46" i="3"/>
  <c r="BC46" i="3"/>
  <c r="BA46" i="3"/>
  <c r="BD46" i="3"/>
  <c r="BE46" i="3"/>
  <c r="BF46" i="3"/>
  <c r="BG46" i="3"/>
  <c r="BH46" i="3"/>
  <c r="BI46" i="3"/>
  <c r="BJ46" i="3"/>
  <c r="BK46" i="3"/>
  <c r="BB47" i="3"/>
  <c r="BC47" i="3"/>
  <c r="BD47" i="3"/>
  <c r="BE47" i="3"/>
  <c r="BF47" i="3"/>
  <c r="BG47" i="3"/>
  <c r="BH47" i="3"/>
  <c r="BI47" i="3"/>
  <c r="BJ47" i="3"/>
  <c r="BK47" i="3"/>
  <c r="BA47" i="3"/>
  <c r="BB48" i="3"/>
  <c r="BC48" i="3"/>
  <c r="BA48" i="3"/>
  <c r="BD48" i="3"/>
  <c r="BE48" i="3"/>
  <c r="BF48" i="3"/>
  <c r="BG48" i="3"/>
  <c r="BH48" i="3"/>
  <c r="BI48" i="3"/>
  <c r="BJ48" i="3"/>
  <c r="BK48" i="3"/>
  <c r="BB49" i="3"/>
  <c r="BC49" i="3"/>
  <c r="BD49" i="3"/>
  <c r="BE49" i="3"/>
  <c r="BF49" i="3"/>
  <c r="BG49" i="3"/>
  <c r="BH49" i="3"/>
  <c r="BI49" i="3"/>
  <c r="BJ49" i="3"/>
  <c r="BK49" i="3"/>
  <c r="BA49" i="3"/>
  <c r="BB50" i="3"/>
  <c r="BC50" i="3"/>
  <c r="BA50" i="3"/>
  <c r="BD50" i="3"/>
  <c r="BE50" i="3"/>
  <c r="BF50" i="3"/>
  <c r="BG50" i="3"/>
  <c r="BH50" i="3"/>
  <c r="BI50" i="3"/>
  <c r="BJ50" i="3"/>
  <c r="BK50" i="3"/>
  <c r="BB51" i="3"/>
  <c r="BC51" i="3"/>
  <c r="BD51" i="3"/>
  <c r="BE51" i="3"/>
  <c r="BF51" i="3"/>
  <c r="BG51" i="3"/>
  <c r="BH51" i="3"/>
  <c r="BI51" i="3"/>
  <c r="BJ51" i="3"/>
  <c r="BK51" i="3"/>
  <c r="BA51" i="3"/>
  <c r="BB52" i="3"/>
  <c r="BC52" i="3"/>
  <c r="BA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B87" i="3"/>
  <c r="BC87" i="3"/>
  <c r="BD87" i="3"/>
  <c r="BE87" i="3"/>
  <c r="BF87" i="3"/>
  <c r="BG87" i="3"/>
  <c r="BH87" i="3"/>
  <c r="BI87" i="3"/>
  <c r="BJ87" i="3"/>
  <c r="BK87" i="3"/>
  <c r="BA87" i="3"/>
  <c r="BB88" i="3"/>
  <c r="BC88" i="3"/>
  <c r="BD88" i="3"/>
  <c r="BE88" i="3"/>
  <c r="BF88" i="3"/>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F91" i="3"/>
  <c r="BG91" i="3"/>
  <c r="BH91" i="3"/>
  <c r="BI91" i="3"/>
  <c r="BJ91" i="3"/>
  <c r="BK91" i="3"/>
  <c r="BA91" i="3"/>
  <c r="BB92" i="3"/>
  <c r="BC92" i="3"/>
  <c r="BD92" i="3"/>
  <c r="BE92" i="3"/>
  <c r="BF92" i="3"/>
  <c r="BG92" i="3"/>
  <c r="BH92" i="3"/>
  <c r="BI92" i="3"/>
  <c r="BJ92" i="3"/>
  <c r="BK92" i="3"/>
  <c r="BB93" i="3"/>
  <c r="BC93" i="3"/>
  <c r="BD93" i="3"/>
  <c r="BE93" i="3"/>
  <c r="BF93" i="3"/>
  <c r="BG93" i="3"/>
  <c r="BH93" i="3"/>
  <c r="BI93" i="3"/>
  <c r="BJ93" i="3"/>
  <c r="BK93" i="3"/>
  <c r="BA93" i="3"/>
  <c r="BB94" i="3"/>
  <c r="BC94" i="3"/>
  <c r="BD94" i="3"/>
  <c r="BE94" i="3"/>
  <c r="BF94" i="3"/>
  <c r="BG94" i="3"/>
  <c r="BH94" i="3"/>
  <c r="BI94" i="3"/>
  <c r="BJ94" i="3"/>
  <c r="BK94" i="3"/>
  <c r="BB95" i="3"/>
  <c r="BC95" i="3"/>
  <c r="BD95" i="3"/>
  <c r="BE95" i="3"/>
  <c r="BF95" i="3"/>
  <c r="BG95" i="3"/>
  <c r="BH95" i="3"/>
  <c r="BI95" i="3"/>
  <c r="BJ95" i="3"/>
  <c r="BK95" i="3"/>
  <c r="BA95" i="3"/>
  <c r="BB96" i="3"/>
  <c r="BC96" i="3"/>
  <c r="BD96" i="3"/>
  <c r="BE96" i="3"/>
  <c r="BF96" i="3"/>
  <c r="BG96" i="3"/>
  <c r="BH96" i="3"/>
  <c r="BI96" i="3"/>
  <c r="BJ96" i="3"/>
  <c r="BK96" i="3"/>
  <c r="BB97" i="3"/>
  <c r="BC97" i="3"/>
  <c r="BD97" i="3"/>
  <c r="BE97" i="3"/>
  <c r="BF97" i="3"/>
  <c r="BG97" i="3"/>
  <c r="BH97" i="3"/>
  <c r="BI97" i="3"/>
  <c r="BJ97" i="3"/>
  <c r="BK97" i="3"/>
  <c r="BA97" i="3"/>
  <c r="BB98" i="3"/>
  <c r="BC98" i="3"/>
  <c r="BD98" i="3"/>
  <c r="BE98" i="3"/>
  <c r="BF98" i="3"/>
  <c r="BG98" i="3"/>
  <c r="BH98" i="3"/>
  <c r="BI98" i="3"/>
  <c r="BJ98" i="3"/>
  <c r="BK98" i="3"/>
  <c r="BB99" i="3"/>
  <c r="BC99" i="3"/>
  <c r="BD99" i="3"/>
  <c r="BE99" i="3"/>
  <c r="BF99" i="3"/>
  <c r="BG99" i="3"/>
  <c r="BH99" i="3"/>
  <c r="BI99" i="3"/>
  <c r="BJ99" i="3"/>
  <c r="BK99" i="3"/>
  <c r="BA99" i="3"/>
  <c r="BB100" i="3"/>
  <c r="BC100" i="3"/>
  <c r="BD100" i="3"/>
  <c r="BE100" i="3"/>
  <c r="BF100" i="3"/>
  <c r="BG100" i="3"/>
  <c r="BH100" i="3"/>
  <c r="BI100" i="3"/>
  <c r="BJ100" i="3"/>
  <c r="BK100" i="3"/>
  <c r="BB101" i="3"/>
  <c r="BC101" i="3"/>
  <c r="BD101" i="3"/>
  <c r="BE101" i="3"/>
  <c r="BF101" i="3"/>
  <c r="BG101" i="3"/>
  <c r="BH101" i="3"/>
  <c r="BI101" i="3"/>
  <c r="BJ101" i="3"/>
  <c r="BK101" i="3"/>
  <c r="BA101" i="3"/>
  <c r="BB102" i="3"/>
  <c r="BC102" i="3"/>
  <c r="BD102" i="3"/>
  <c r="BE102" i="3"/>
  <c r="BF102" i="3"/>
  <c r="BG102" i="3"/>
  <c r="BH102" i="3"/>
  <c r="BI102" i="3"/>
  <c r="BJ102" i="3"/>
  <c r="BK102" i="3"/>
  <c r="BB103" i="3"/>
  <c r="BC103" i="3"/>
  <c r="BD103" i="3"/>
  <c r="BE103" i="3"/>
  <c r="BF103" i="3"/>
  <c r="BG103" i="3"/>
  <c r="BH103" i="3"/>
  <c r="BI103" i="3"/>
  <c r="BJ103" i="3"/>
  <c r="BK103" i="3"/>
  <c r="BA103" i="3"/>
  <c r="BB104" i="3"/>
  <c r="BC104" i="3"/>
  <c r="BD104" i="3"/>
  <c r="BE104" i="3"/>
  <c r="BF104" i="3"/>
  <c r="BG104" i="3"/>
  <c r="BH104" i="3"/>
  <c r="BI104" i="3"/>
  <c r="BJ104" i="3"/>
  <c r="BK104" i="3"/>
  <c r="BB105" i="3"/>
  <c r="BC105" i="3"/>
  <c r="BD105" i="3"/>
  <c r="BE105" i="3"/>
  <c r="BF105" i="3"/>
  <c r="BG105" i="3"/>
  <c r="BH105" i="3"/>
  <c r="BI105" i="3"/>
  <c r="BJ105" i="3"/>
  <c r="BK105" i="3"/>
  <c r="BA105" i="3"/>
  <c r="BB106" i="3"/>
  <c r="BC106" i="3"/>
  <c r="BD106" i="3"/>
  <c r="BE106" i="3"/>
  <c r="BF106" i="3"/>
  <c r="BG106" i="3"/>
  <c r="BH106" i="3"/>
  <c r="BI106" i="3"/>
  <c r="BJ106" i="3"/>
  <c r="BK106" i="3"/>
  <c r="BB107" i="3"/>
  <c r="BC107" i="3"/>
  <c r="BD107" i="3"/>
  <c r="BE107" i="3"/>
  <c r="BF107" i="3"/>
  <c r="BG107" i="3"/>
  <c r="BH107" i="3"/>
  <c r="BI107" i="3"/>
  <c r="BJ107" i="3"/>
  <c r="BK107" i="3"/>
  <c r="BA107" i="3"/>
  <c r="BB108" i="3"/>
  <c r="BC108" i="3"/>
  <c r="BD108" i="3"/>
  <c r="BE108" i="3"/>
  <c r="BF108" i="3"/>
  <c r="BG108" i="3"/>
  <c r="BH108" i="3"/>
  <c r="BI108" i="3"/>
  <c r="BJ108" i="3"/>
  <c r="BK108" i="3"/>
  <c r="BB109" i="3"/>
  <c r="BC109" i="3"/>
  <c r="BD109" i="3"/>
  <c r="BE109" i="3"/>
  <c r="BF109" i="3"/>
  <c r="BG109" i="3"/>
  <c r="BH109" i="3"/>
  <c r="BI109" i="3"/>
  <c r="BJ109" i="3"/>
  <c r="BK109" i="3"/>
  <c r="BA109" i="3"/>
  <c r="BB110" i="3"/>
  <c r="BC110" i="3"/>
  <c r="BD110" i="3"/>
  <c r="BE110" i="3"/>
  <c r="BF110" i="3"/>
  <c r="BG110" i="3"/>
  <c r="BH110" i="3"/>
  <c r="BI110" i="3"/>
  <c r="BJ110" i="3"/>
  <c r="BK110" i="3"/>
  <c r="BB111" i="3"/>
  <c r="BC111" i="3"/>
  <c r="BD111" i="3"/>
  <c r="BE111" i="3"/>
  <c r="BF111" i="3"/>
  <c r="BG111" i="3"/>
  <c r="BH111" i="3"/>
  <c r="BI111" i="3"/>
  <c r="BJ111" i="3"/>
  <c r="BK111" i="3"/>
  <c r="BA111" i="3"/>
  <c r="BB112" i="3"/>
  <c r="BC112" i="3"/>
  <c r="BD112" i="3"/>
  <c r="BE112" i="3"/>
  <c r="BF112" i="3"/>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A115" i="3"/>
  <c r="BB116" i="3"/>
  <c r="BC116" i="3"/>
  <c r="BD116" i="3"/>
  <c r="BE116" i="3"/>
  <c r="BF116" i="3"/>
  <c r="BG116" i="3"/>
  <c r="BH116" i="3"/>
  <c r="BI116" i="3"/>
  <c r="BJ116" i="3"/>
  <c r="BK116" i="3"/>
  <c r="BB117" i="3"/>
  <c r="BC117" i="3"/>
  <c r="BD117" i="3"/>
  <c r="BE117" i="3"/>
  <c r="BF117" i="3"/>
  <c r="BG117" i="3"/>
  <c r="BH117" i="3"/>
  <c r="BI117" i="3"/>
  <c r="BJ117" i="3"/>
  <c r="BK117" i="3"/>
  <c r="BA117" i="3"/>
  <c r="BB118" i="3"/>
  <c r="BC118" i="3"/>
  <c r="BD118" i="3"/>
  <c r="BE118" i="3"/>
  <c r="BF118" i="3"/>
  <c r="BG118" i="3"/>
  <c r="BH118" i="3"/>
  <c r="BI118" i="3"/>
  <c r="BJ118" i="3"/>
  <c r="BK118" i="3"/>
  <c r="BB119" i="3"/>
  <c r="BC119" i="3"/>
  <c r="BD119" i="3"/>
  <c r="BE119" i="3"/>
  <c r="BF119" i="3"/>
  <c r="BG119" i="3"/>
  <c r="BH119" i="3"/>
  <c r="BI119" i="3"/>
  <c r="BJ119" i="3"/>
  <c r="BK119" i="3"/>
  <c r="BA119" i="3"/>
  <c r="BB120" i="3"/>
  <c r="BC120" i="3"/>
  <c r="BD120" i="3"/>
  <c r="BE120" i="3"/>
  <c r="BF120" i="3"/>
  <c r="BG120" i="3"/>
  <c r="BH120" i="3"/>
  <c r="BI120" i="3"/>
  <c r="BJ120" i="3"/>
  <c r="BK120" i="3"/>
  <c r="BB121" i="3"/>
  <c r="BC121" i="3"/>
  <c r="BD121" i="3"/>
  <c r="BE121" i="3"/>
  <c r="BF121" i="3"/>
  <c r="BG121" i="3"/>
  <c r="BH121" i="3"/>
  <c r="BI121" i="3"/>
  <c r="BJ121" i="3"/>
  <c r="BK121" i="3"/>
  <c r="BA121" i="3"/>
  <c r="BB122" i="3"/>
  <c r="BC122" i="3"/>
  <c r="BD122" i="3"/>
  <c r="BE122" i="3"/>
  <c r="BF122" i="3"/>
  <c r="BG122" i="3"/>
  <c r="BH122" i="3"/>
  <c r="BI122" i="3"/>
  <c r="BJ122" i="3"/>
  <c r="BK122" i="3"/>
  <c r="BB123" i="3"/>
  <c r="BC123" i="3"/>
  <c r="BD123" i="3"/>
  <c r="BE123" i="3"/>
  <c r="BF123" i="3"/>
  <c r="BG123" i="3"/>
  <c r="BH123" i="3"/>
  <c r="BI123" i="3"/>
  <c r="BJ123" i="3"/>
  <c r="BK123" i="3"/>
  <c r="BA123" i="3"/>
  <c r="BB124" i="3"/>
  <c r="BC124" i="3"/>
  <c r="BD124" i="3"/>
  <c r="BE124" i="3"/>
  <c r="BF124" i="3"/>
  <c r="BG124" i="3"/>
  <c r="BH124" i="3"/>
  <c r="BI124" i="3"/>
  <c r="BJ124" i="3"/>
  <c r="BK124" i="3"/>
  <c r="BB125" i="3"/>
  <c r="BC125" i="3"/>
  <c r="BD125" i="3"/>
  <c r="BE125" i="3"/>
  <c r="BF125" i="3"/>
  <c r="BG125" i="3"/>
  <c r="BH125" i="3"/>
  <c r="BI125" i="3"/>
  <c r="BJ125" i="3"/>
  <c r="BK125" i="3"/>
  <c r="BA125" i="3"/>
  <c r="BB126" i="3"/>
  <c r="BC126" i="3"/>
  <c r="BD126" i="3"/>
  <c r="BE126" i="3"/>
  <c r="BF126" i="3"/>
  <c r="BG126" i="3"/>
  <c r="BH126" i="3"/>
  <c r="BI126" i="3"/>
  <c r="BJ126" i="3"/>
  <c r="BK126" i="3"/>
  <c r="BB127" i="3"/>
  <c r="BC127" i="3"/>
  <c r="BD127" i="3"/>
  <c r="BE127" i="3"/>
  <c r="BF127" i="3"/>
  <c r="BG127" i="3"/>
  <c r="BH127" i="3"/>
  <c r="BI127" i="3"/>
  <c r="BJ127" i="3"/>
  <c r="BK127" i="3"/>
  <c r="BA127" i="3"/>
  <c r="BB128" i="3"/>
  <c r="BC128" i="3"/>
  <c r="BD128" i="3"/>
  <c r="BE128" i="3"/>
  <c r="BF128" i="3"/>
  <c r="BG128" i="3"/>
  <c r="BH128" i="3"/>
  <c r="BI128" i="3"/>
  <c r="BJ128" i="3"/>
  <c r="BK128" i="3"/>
  <c r="BB129" i="3"/>
  <c r="BC129" i="3"/>
  <c r="BD129" i="3"/>
  <c r="BE129" i="3"/>
  <c r="BF129" i="3"/>
  <c r="BG129" i="3"/>
  <c r="BH129" i="3"/>
  <c r="BI129" i="3"/>
  <c r="BJ129" i="3"/>
  <c r="BK129" i="3"/>
  <c r="BA129" i="3"/>
  <c r="BB130" i="3"/>
  <c r="BC130" i="3"/>
  <c r="BD130" i="3"/>
  <c r="BE130" i="3"/>
  <c r="BF130" i="3"/>
  <c r="BG130" i="3"/>
  <c r="BH130" i="3"/>
  <c r="BI130" i="3"/>
  <c r="BJ130" i="3"/>
  <c r="BK130" i="3"/>
  <c r="BB131" i="3"/>
  <c r="BC131" i="3"/>
  <c r="BD131" i="3"/>
  <c r="BE131" i="3"/>
  <c r="BF131" i="3"/>
  <c r="BG131" i="3"/>
  <c r="BH131" i="3"/>
  <c r="BI131" i="3"/>
  <c r="BJ131" i="3"/>
  <c r="BK131" i="3"/>
  <c r="BA131" i="3"/>
  <c r="BB132" i="3"/>
  <c r="BC132" i="3"/>
  <c r="BD132" i="3"/>
  <c r="BE132" i="3"/>
  <c r="BF132" i="3"/>
  <c r="BG132" i="3"/>
  <c r="BH132" i="3"/>
  <c r="BI132" i="3"/>
  <c r="BJ132" i="3"/>
  <c r="BK132" i="3"/>
  <c r="BB133" i="3"/>
  <c r="BC133" i="3"/>
  <c r="BD133" i="3"/>
  <c r="BE133" i="3"/>
  <c r="BF133" i="3"/>
  <c r="BG133" i="3"/>
  <c r="BH133" i="3"/>
  <c r="BI133" i="3"/>
  <c r="BJ133" i="3"/>
  <c r="BK133" i="3"/>
  <c r="BA133" i="3"/>
  <c r="BB134" i="3"/>
  <c r="BC134" i="3"/>
  <c r="BD134" i="3"/>
  <c r="BE134" i="3"/>
  <c r="BF134" i="3"/>
  <c r="BG134" i="3"/>
  <c r="BH134" i="3"/>
  <c r="BI134" i="3"/>
  <c r="BJ134" i="3"/>
  <c r="BK134" i="3"/>
  <c r="BB135" i="3"/>
  <c r="BC135" i="3"/>
  <c r="BD135" i="3"/>
  <c r="BE135" i="3"/>
  <c r="BF135" i="3"/>
  <c r="BG135" i="3"/>
  <c r="BH135" i="3"/>
  <c r="BI135" i="3"/>
  <c r="BJ135" i="3"/>
  <c r="BK135" i="3"/>
  <c r="BA135" i="3"/>
  <c r="BB136" i="3"/>
  <c r="BC136" i="3"/>
  <c r="BD136" i="3"/>
  <c r="BE136" i="3"/>
  <c r="BF136" i="3"/>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D139" i="3"/>
  <c r="BE139" i="3"/>
  <c r="BF139" i="3"/>
  <c r="BG139" i="3"/>
  <c r="BH139" i="3"/>
  <c r="BI139" i="3"/>
  <c r="BJ139" i="3"/>
  <c r="BK139" i="3"/>
  <c r="BA139" i="3"/>
  <c r="BB140" i="3"/>
  <c r="BC140" i="3"/>
  <c r="BD140" i="3"/>
  <c r="BE140" i="3"/>
  <c r="BF140" i="3"/>
  <c r="BG140" i="3"/>
  <c r="BH140" i="3"/>
  <c r="BI140" i="3"/>
  <c r="BJ140" i="3"/>
  <c r="BK140" i="3"/>
  <c r="BB141" i="3"/>
  <c r="BC141" i="3"/>
  <c r="BD141" i="3"/>
  <c r="BE141" i="3"/>
  <c r="BF141" i="3"/>
  <c r="BG141" i="3"/>
  <c r="BH141" i="3"/>
  <c r="BI141" i="3"/>
  <c r="BJ141" i="3"/>
  <c r="BK141" i="3"/>
  <c r="BA141" i="3"/>
  <c r="BB142" i="3"/>
  <c r="BC142" i="3"/>
  <c r="BD142" i="3"/>
  <c r="BE142" i="3"/>
  <c r="BF142" i="3"/>
  <c r="BG142" i="3"/>
  <c r="BH142" i="3"/>
  <c r="BI142" i="3"/>
  <c r="BJ142" i="3"/>
  <c r="BK142" i="3"/>
  <c r="BB143" i="3"/>
  <c r="BC143" i="3"/>
  <c r="BD143" i="3"/>
  <c r="BE143" i="3"/>
  <c r="BF143" i="3"/>
  <c r="BG143" i="3"/>
  <c r="BH143" i="3"/>
  <c r="BI143" i="3"/>
  <c r="BJ143" i="3"/>
  <c r="BK143" i="3"/>
  <c r="BA143" i="3"/>
  <c r="BB144" i="3"/>
  <c r="BC144" i="3"/>
  <c r="BD144" i="3"/>
  <c r="BE144" i="3"/>
  <c r="BF144" i="3"/>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A147" i="3"/>
  <c r="BB148" i="3"/>
  <c r="BC148" i="3"/>
  <c r="BD148" i="3"/>
  <c r="BE148" i="3"/>
  <c r="BF148" i="3"/>
  <c r="BG148" i="3"/>
  <c r="BH148" i="3"/>
  <c r="BI148" i="3"/>
  <c r="BJ148" i="3"/>
  <c r="BK148" i="3"/>
  <c r="BB149" i="3"/>
  <c r="BC149" i="3"/>
  <c r="BD149" i="3"/>
  <c r="BE149" i="3"/>
  <c r="BF149" i="3"/>
  <c r="BG149" i="3"/>
  <c r="BH149" i="3"/>
  <c r="BI149" i="3"/>
  <c r="BJ149" i="3"/>
  <c r="BK149" i="3"/>
  <c r="BA149" i="3"/>
  <c r="BB150" i="3"/>
  <c r="BC150" i="3"/>
  <c r="BD150" i="3"/>
  <c r="BE150" i="3"/>
  <c r="BF150" i="3"/>
  <c r="BG150" i="3"/>
  <c r="BH150" i="3"/>
  <c r="BI150" i="3"/>
  <c r="BJ150" i="3"/>
  <c r="BK150" i="3"/>
  <c r="BB151" i="3"/>
  <c r="BC151" i="3"/>
  <c r="BD151" i="3"/>
  <c r="BE151" i="3"/>
  <c r="BF151" i="3"/>
  <c r="BG151" i="3"/>
  <c r="BH151" i="3"/>
  <c r="BI151" i="3"/>
  <c r="BJ151" i="3"/>
  <c r="BK151" i="3"/>
  <c r="BA151" i="3"/>
  <c r="BB152" i="3"/>
  <c r="BC152" i="3"/>
  <c r="BA152" i="3"/>
  <c r="BD152" i="3"/>
  <c r="BE152" i="3"/>
  <c r="BF152" i="3"/>
  <c r="BG152" i="3"/>
  <c r="BH152" i="3"/>
  <c r="BI152" i="3"/>
  <c r="BJ152" i="3"/>
  <c r="BK152" i="3"/>
  <c r="BB153" i="3"/>
  <c r="BC153" i="3"/>
  <c r="BD153" i="3"/>
  <c r="BE153" i="3"/>
  <c r="BF153" i="3"/>
  <c r="BG153" i="3"/>
  <c r="BH153" i="3"/>
  <c r="BI153" i="3"/>
  <c r="BJ153" i="3"/>
  <c r="BK153" i="3"/>
  <c r="BA153" i="3"/>
  <c r="BB154" i="3"/>
  <c r="BC154" i="3"/>
  <c r="BA154" i="3"/>
  <c r="BD154" i="3"/>
  <c r="BE154" i="3"/>
  <c r="BF154" i="3"/>
  <c r="BG154" i="3"/>
  <c r="BH154" i="3"/>
  <c r="BI154" i="3"/>
  <c r="BJ154" i="3"/>
  <c r="BK154" i="3"/>
  <c r="BB155" i="3"/>
  <c r="BC155" i="3"/>
  <c r="BD155" i="3"/>
  <c r="BE155" i="3"/>
  <c r="BF155" i="3"/>
  <c r="BG155" i="3"/>
  <c r="BH155" i="3"/>
  <c r="BI155" i="3"/>
  <c r="BJ155" i="3"/>
  <c r="BK155" i="3"/>
  <c r="BA155" i="3"/>
  <c r="BB156" i="3"/>
  <c r="BC156" i="3"/>
  <c r="BA156" i="3"/>
  <c r="BD156" i="3"/>
  <c r="BE156" i="3"/>
  <c r="BF156" i="3"/>
  <c r="BG156" i="3"/>
  <c r="BH156" i="3"/>
  <c r="BI156" i="3"/>
  <c r="BJ156" i="3"/>
  <c r="BK156" i="3"/>
  <c r="BB157" i="3"/>
  <c r="BC157" i="3"/>
  <c r="BD157" i="3"/>
  <c r="BE157" i="3"/>
  <c r="BF157" i="3"/>
  <c r="BG157" i="3"/>
  <c r="BH157" i="3"/>
  <c r="BI157" i="3"/>
  <c r="BJ157" i="3"/>
  <c r="BK157" i="3"/>
  <c r="BA157" i="3"/>
  <c r="BB158" i="3"/>
  <c r="BC158" i="3"/>
  <c r="BA158" i="3"/>
  <c r="BD158" i="3"/>
  <c r="BE158" i="3"/>
  <c r="BF158" i="3"/>
  <c r="BG158" i="3"/>
  <c r="BH158" i="3"/>
  <c r="BI158" i="3"/>
  <c r="BJ158" i="3"/>
  <c r="BK158" i="3"/>
  <c r="BB159" i="3"/>
  <c r="BC159" i="3"/>
  <c r="BD159" i="3"/>
  <c r="BE159" i="3"/>
  <c r="BF159" i="3"/>
  <c r="BG159" i="3"/>
  <c r="BH159" i="3"/>
  <c r="BI159" i="3"/>
  <c r="BJ159" i="3"/>
  <c r="BK159" i="3"/>
  <c r="BA159" i="3"/>
  <c r="BB160" i="3"/>
  <c r="BC160" i="3"/>
  <c r="BA160" i="3"/>
  <c r="BD160" i="3"/>
  <c r="BE160" i="3"/>
  <c r="BF160" i="3"/>
  <c r="BG160" i="3"/>
  <c r="BH160" i="3"/>
  <c r="BI160" i="3"/>
  <c r="BJ160" i="3"/>
  <c r="BK160" i="3"/>
  <c r="BB161" i="3"/>
  <c r="BC161" i="3"/>
  <c r="BD161" i="3"/>
  <c r="BE161" i="3"/>
  <c r="BF161" i="3"/>
  <c r="BG161" i="3"/>
  <c r="BH161" i="3"/>
  <c r="BI161" i="3"/>
  <c r="BJ161" i="3"/>
  <c r="BK161" i="3"/>
  <c r="BA161" i="3"/>
  <c r="BB162" i="3"/>
  <c r="BC162" i="3"/>
  <c r="BA162" i="3"/>
  <c r="BD162" i="3"/>
  <c r="BE162" i="3"/>
  <c r="BF162" i="3"/>
  <c r="BG162" i="3"/>
  <c r="BH162" i="3"/>
  <c r="BI162" i="3"/>
  <c r="BJ162" i="3"/>
  <c r="BK162" i="3"/>
  <c r="BB163" i="3"/>
  <c r="BC163" i="3"/>
  <c r="BD163" i="3"/>
  <c r="BE163" i="3"/>
  <c r="BF163" i="3"/>
  <c r="BG163" i="3"/>
  <c r="BH163" i="3"/>
  <c r="BI163" i="3"/>
  <c r="BJ163" i="3"/>
  <c r="BK163" i="3"/>
  <c r="BA163" i="3"/>
  <c r="BB164" i="3"/>
  <c r="BC164" i="3"/>
  <c r="BA164" i="3"/>
  <c r="BD164" i="3"/>
  <c r="BE164" i="3"/>
  <c r="BF164" i="3"/>
  <c r="BG164" i="3"/>
  <c r="BH164" i="3"/>
  <c r="BI164" i="3"/>
  <c r="BJ164" i="3"/>
  <c r="BK164" i="3"/>
  <c r="BB165" i="3"/>
  <c r="BC165" i="3"/>
  <c r="BD165" i="3"/>
  <c r="BE165" i="3"/>
  <c r="BF165" i="3"/>
  <c r="BG165" i="3"/>
  <c r="BH165" i="3"/>
  <c r="BI165" i="3"/>
  <c r="BJ165" i="3"/>
  <c r="BK165" i="3"/>
  <c r="BA165" i="3"/>
  <c r="BB166" i="3"/>
  <c r="BC166" i="3"/>
  <c r="BA166" i="3"/>
  <c r="BD166" i="3"/>
  <c r="BE166" i="3"/>
  <c r="BF166" i="3"/>
  <c r="BG166" i="3"/>
  <c r="BH166" i="3"/>
  <c r="BI166" i="3"/>
  <c r="BJ166" i="3"/>
  <c r="BK166" i="3"/>
  <c r="BB167" i="3"/>
  <c r="BC167" i="3"/>
  <c r="BD167" i="3"/>
  <c r="BE167" i="3"/>
  <c r="BF167" i="3"/>
  <c r="BG167" i="3"/>
  <c r="BH167" i="3"/>
  <c r="BI167" i="3"/>
  <c r="BJ167" i="3"/>
  <c r="BK167" i="3"/>
  <c r="BA167" i="3"/>
  <c r="BB168" i="3"/>
  <c r="BC168" i="3"/>
  <c r="BA168" i="3"/>
  <c r="BD168" i="3"/>
  <c r="BE168" i="3"/>
  <c r="BF168" i="3"/>
  <c r="BG168" i="3"/>
  <c r="BH168" i="3"/>
  <c r="BI168" i="3"/>
  <c r="BJ168" i="3"/>
  <c r="BK168" i="3"/>
  <c r="BB169" i="3"/>
  <c r="BC169" i="3"/>
  <c r="BD169" i="3"/>
  <c r="BE169" i="3"/>
  <c r="BF169" i="3"/>
  <c r="BG169" i="3"/>
  <c r="BH169" i="3"/>
  <c r="BI169" i="3"/>
  <c r="BJ169" i="3"/>
  <c r="BK169" i="3"/>
  <c r="BA169" i="3"/>
  <c r="BB170" i="3"/>
  <c r="BC170" i="3"/>
  <c r="BA170" i="3"/>
  <c r="BD170" i="3"/>
  <c r="BE170" i="3"/>
  <c r="BF170" i="3"/>
  <c r="BG170" i="3"/>
  <c r="BH170" i="3"/>
  <c r="BI170" i="3"/>
  <c r="BJ170" i="3"/>
  <c r="BK170" i="3"/>
  <c r="BB171" i="3"/>
  <c r="BC171" i="3"/>
  <c r="BD171" i="3"/>
  <c r="BE171" i="3"/>
  <c r="BF171" i="3"/>
  <c r="BG171" i="3"/>
  <c r="BH171" i="3"/>
  <c r="BI171" i="3"/>
  <c r="BJ171" i="3"/>
  <c r="BK171" i="3"/>
  <c r="BA171" i="3"/>
  <c r="BB172" i="3"/>
  <c r="BC172" i="3"/>
  <c r="BA172" i="3"/>
  <c r="BD172" i="3"/>
  <c r="BE172" i="3"/>
  <c r="BF172" i="3"/>
  <c r="BG172" i="3"/>
  <c r="BH172" i="3"/>
  <c r="BI172" i="3"/>
  <c r="BJ172" i="3"/>
  <c r="BK172" i="3"/>
  <c r="BB173" i="3"/>
  <c r="BC173" i="3"/>
  <c r="BD173" i="3"/>
  <c r="BE173" i="3"/>
  <c r="BF173" i="3"/>
  <c r="BG173" i="3"/>
  <c r="BH173" i="3"/>
  <c r="BI173" i="3"/>
  <c r="BJ173" i="3"/>
  <c r="BK173" i="3"/>
  <c r="BA173" i="3"/>
  <c r="BB174" i="3"/>
  <c r="BC174" i="3"/>
  <c r="BA174" i="3"/>
  <c r="BD174" i="3"/>
  <c r="BE174" i="3"/>
  <c r="BF174" i="3"/>
  <c r="BG174" i="3"/>
  <c r="BH174" i="3"/>
  <c r="BI174" i="3"/>
  <c r="BJ174" i="3"/>
  <c r="BK174" i="3"/>
  <c r="BB175" i="3"/>
  <c r="BC175" i="3"/>
  <c r="BD175" i="3"/>
  <c r="BE175" i="3"/>
  <c r="BF175" i="3"/>
  <c r="BG175" i="3"/>
  <c r="BH175" i="3"/>
  <c r="BI175" i="3"/>
  <c r="BJ175" i="3"/>
  <c r="BK175" i="3"/>
  <c r="BA175" i="3"/>
  <c r="BB176" i="3"/>
  <c r="BC176" i="3"/>
  <c r="BA176" i="3"/>
  <c r="BD176" i="3"/>
  <c r="BE176" i="3"/>
  <c r="BF176" i="3"/>
  <c r="BG176" i="3"/>
  <c r="BH176" i="3"/>
  <c r="BI176" i="3"/>
  <c r="BJ176" i="3"/>
  <c r="BK176" i="3"/>
  <c r="BB177" i="3"/>
  <c r="BC177" i="3"/>
  <c r="BD177" i="3"/>
  <c r="BE177" i="3"/>
  <c r="BF177" i="3"/>
  <c r="BG177" i="3"/>
  <c r="BH177" i="3"/>
  <c r="BI177" i="3"/>
  <c r="BJ177" i="3"/>
  <c r="BK177" i="3"/>
  <c r="BA177" i="3"/>
  <c r="BB178" i="3"/>
  <c r="BC178" i="3"/>
  <c r="BA178" i="3"/>
  <c r="BD178" i="3"/>
  <c r="BE178" i="3"/>
  <c r="BF178" i="3"/>
  <c r="BG178" i="3"/>
  <c r="BH178" i="3"/>
  <c r="BI178" i="3"/>
  <c r="BJ178" i="3"/>
  <c r="BK178" i="3"/>
  <c r="BB179" i="3"/>
  <c r="BC179" i="3"/>
  <c r="BD179" i="3"/>
  <c r="BE179" i="3"/>
  <c r="BF179" i="3"/>
  <c r="BG179" i="3"/>
  <c r="BH179" i="3"/>
  <c r="BI179" i="3"/>
  <c r="BJ179" i="3"/>
  <c r="BK179" i="3"/>
  <c r="BA179" i="3"/>
  <c r="BB180" i="3"/>
  <c r="BC180" i="3"/>
  <c r="BA180" i="3"/>
  <c r="BD180" i="3"/>
  <c r="BE180" i="3"/>
  <c r="BF180" i="3"/>
  <c r="BG180" i="3"/>
  <c r="BH180" i="3"/>
  <c r="BI180" i="3"/>
  <c r="BJ180" i="3"/>
  <c r="BK180" i="3"/>
  <c r="BB181" i="3"/>
  <c r="BC181" i="3"/>
  <c r="BD181" i="3"/>
  <c r="BE181" i="3"/>
  <c r="BF181" i="3"/>
  <c r="BG181" i="3"/>
  <c r="BH181" i="3"/>
  <c r="BI181" i="3"/>
  <c r="BJ181" i="3"/>
  <c r="BK181" i="3"/>
  <c r="BA181" i="3"/>
  <c r="BB182" i="3"/>
  <c r="BC182" i="3"/>
  <c r="BA182" i="3"/>
  <c r="BD182" i="3"/>
  <c r="BE182" i="3"/>
  <c r="BF182" i="3"/>
  <c r="BG182" i="3"/>
  <c r="BH182" i="3"/>
  <c r="BI182" i="3"/>
  <c r="BJ182" i="3"/>
  <c r="BK182" i="3"/>
  <c r="BB183" i="3"/>
  <c r="BC183" i="3"/>
  <c r="BD183" i="3"/>
  <c r="BE183" i="3"/>
  <c r="BF183" i="3"/>
  <c r="BG183" i="3"/>
  <c r="BH183" i="3"/>
  <c r="BI183" i="3"/>
  <c r="BJ183" i="3"/>
  <c r="BK183" i="3"/>
  <c r="BA183" i="3"/>
  <c r="BB184" i="3"/>
  <c r="BC184" i="3"/>
  <c r="BA184" i="3"/>
  <c r="BD184" i="3"/>
  <c r="BE184" i="3"/>
  <c r="BF184" i="3"/>
  <c r="BG184" i="3"/>
  <c r="BH184" i="3"/>
  <c r="BI184" i="3"/>
  <c r="BJ184" i="3"/>
  <c r="BK184" i="3"/>
  <c r="BB185" i="3"/>
  <c r="BC185" i="3"/>
  <c r="BD185" i="3"/>
  <c r="BE185" i="3"/>
  <c r="BF185" i="3"/>
  <c r="BG185" i="3"/>
  <c r="BH185" i="3"/>
  <c r="BI185" i="3"/>
  <c r="BJ185" i="3"/>
  <c r="BK185" i="3"/>
  <c r="BA185" i="3"/>
  <c r="BB186" i="3"/>
  <c r="BC186" i="3"/>
  <c r="BA186" i="3"/>
  <c r="BD186" i="3"/>
  <c r="BE186" i="3"/>
  <c r="BF186" i="3"/>
  <c r="BG186" i="3"/>
  <c r="BH186" i="3"/>
  <c r="BI186" i="3"/>
  <c r="BJ186" i="3"/>
  <c r="BK186" i="3"/>
  <c r="BB187" i="3"/>
  <c r="BC187" i="3"/>
  <c r="BD187" i="3"/>
  <c r="BE187" i="3"/>
  <c r="BF187" i="3"/>
  <c r="BG187" i="3"/>
  <c r="BH187" i="3"/>
  <c r="BI187" i="3"/>
  <c r="BJ187" i="3"/>
  <c r="BK187" i="3"/>
  <c r="BA187" i="3"/>
  <c r="BB188" i="3"/>
  <c r="BC188" i="3"/>
  <c r="BA188" i="3"/>
  <c r="BD188" i="3"/>
  <c r="BE188" i="3"/>
  <c r="BF188" i="3"/>
  <c r="BG188" i="3"/>
  <c r="BH188" i="3"/>
  <c r="BI188" i="3"/>
  <c r="BJ188" i="3"/>
  <c r="BK188" i="3"/>
  <c r="BB189" i="3"/>
  <c r="BC189" i="3"/>
  <c r="BD189" i="3"/>
  <c r="BE189" i="3"/>
  <c r="BF189" i="3"/>
  <c r="BG189" i="3"/>
  <c r="BH189" i="3"/>
  <c r="BI189" i="3"/>
  <c r="BJ189" i="3"/>
  <c r="BK189" i="3"/>
  <c r="BA189" i="3"/>
  <c r="BB190" i="3"/>
  <c r="BC190" i="3"/>
  <c r="BA190" i="3"/>
  <c r="BD190" i="3"/>
  <c r="BE190" i="3"/>
  <c r="BF190" i="3"/>
  <c r="BG190" i="3"/>
  <c r="BH190" i="3"/>
  <c r="BI190" i="3"/>
  <c r="BJ190" i="3"/>
  <c r="BK190" i="3"/>
  <c r="BB191" i="3"/>
  <c r="BC191" i="3"/>
  <c r="BD191" i="3"/>
  <c r="BE191" i="3"/>
  <c r="BF191" i="3"/>
  <c r="BG191" i="3"/>
  <c r="BH191" i="3"/>
  <c r="BI191" i="3"/>
  <c r="BJ191" i="3"/>
  <c r="BK191" i="3"/>
  <c r="BA191" i="3"/>
  <c r="BB192" i="3"/>
  <c r="BC192" i="3"/>
  <c r="BA192" i="3"/>
  <c r="BD192" i="3"/>
  <c r="BE192" i="3"/>
  <c r="BF192" i="3"/>
  <c r="BG192" i="3"/>
  <c r="BH192" i="3"/>
  <c r="BI192" i="3"/>
  <c r="BJ192" i="3"/>
  <c r="BK192" i="3"/>
  <c r="BB193" i="3"/>
  <c r="BC193" i="3"/>
  <c r="BD193" i="3"/>
  <c r="BE193" i="3"/>
  <c r="BF193" i="3"/>
  <c r="BG193" i="3"/>
  <c r="BH193" i="3"/>
  <c r="BI193" i="3"/>
  <c r="BJ193" i="3"/>
  <c r="BK193" i="3"/>
  <c r="BA193" i="3"/>
  <c r="BB194" i="3"/>
  <c r="BC194" i="3"/>
  <c r="BA194" i="3"/>
  <c r="BD194" i="3"/>
  <c r="BE194" i="3"/>
  <c r="BF194" i="3"/>
  <c r="BG194" i="3"/>
  <c r="BH194" i="3"/>
  <c r="BI194" i="3"/>
  <c r="BJ194" i="3"/>
  <c r="BK194" i="3"/>
  <c r="BB195" i="3"/>
  <c r="BC195" i="3"/>
  <c r="BD195" i="3"/>
  <c r="BE195" i="3"/>
  <c r="BF195" i="3"/>
  <c r="BG195" i="3"/>
  <c r="BH195" i="3"/>
  <c r="BI195" i="3"/>
  <c r="BJ195" i="3"/>
  <c r="BK195" i="3"/>
  <c r="BA195" i="3"/>
  <c r="BB196" i="3"/>
  <c r="BC196" i="3"/>
  <c r="BA196" i="3"/>
  <c r="BD196" i="3"/>
  <c r="BE196" i="3"/>
  <c r="BF196" i="3"/>
  <c r="BG196" i="3"/>
  <c r="BH196" i="3"/>
  <c r="BI196" i="3"/>
  <c r="BJ196" i="3"/>
  <c r="BK196" i="3"/>
  <c r="BB197" i="3"/>
  <c r="BC197" i="3"/>
  <c r="BD197" i="3"/>
  <c r="BE197" i="3"/>
  <c r="BF197" i="3"/>
  <c r="BG197" i="3"/>
  <c r="BH197" i="3"/>
  <c r="BI197" i="3"/>
  <c r="BJ197" i="3"/>
  <c r="BK197" i="3"/>
  <c r="BA197" i="3"/>
  <c r="BB198" i="3"/>
  <c r="BC198" i="3"/>
  <c r="BA198" i="3"/>
  <c r="BD198" i="3"/>
  <c r="BE198" i="3"/>
  <c r="BF198" i="3"/>
  <c r="BG198" i="3"/>
  <c r="BH198" i="3"/>
  <c r="BI198" i="3"/>
  <c r="BJ198" i="3"/>
  <c r="BK198" i="3"/>
  <c r="BB199" i="3"/>
  <c r="BC199" i="3"/>
  <c r="BD199" i="3"/>
  <c r="BE199" i="3"/>
  <c r="BF199" i="3"/>
  <c r="BG199" i="3"/>
  <c r="BH199" i="3"/>
  <c r="BI199" i="3"/>
  <c r="BJ199" i="3"/>
  <c r="BK199" i="3"/>
  <c r="BA199" i="3"/>
  <c r="BB200" i="3"/>
  <c r="BC200" i="3"/>
  <c r="BA200" i="3"/>
  <c r="BD200" i="3"/>
  <c r="BE200" i="3"/>
  <c r="BF200" i="3"/>
  <c r="BG200" i="3"/>
  <c r="BH200" i="3"/>
  <c r="BI200" i="3"/>
  <c r="BJ200" i="3"/>
  <c r="BK200" i="3"/>
  <c r="BB201" i="3"/>
  <c r="BC201" i="3"/>
  <c r="BD201" i="3"/>
  <c r="BE201" i="3"/>
  <c r="BF201" i="3"/>
  <c r="BG201" i="3"/>
  <c r="BH201" i="3"/>
  <c r="BI201" i="3"/>
  <c r="BJ201" i="3"/>
  <c r="BK201" i="3"/>
  <c r="BA201" i="3"/>
  <c r="BB202" i="3"/>
  <c r="BC202" i="3"/>
  <c r="BA202" i="3"/>
  <c r="BD202" i="3"/>
  <c r="BE202" i="3"/>
  <c r="BF202" i="3"/>
  <c r="BG202" i="3"/>
  <c r="BH202" i="3"/>
  <c r="BI202" i="3"/>
  <c r="BJ202" i="3"/>
  <c r="BK202" i="3"/>
  <c r="BB203" i="3"/>
  <c r="BC203" i="3"/>
  <c r="BD203" i="3"/>
  <c r="BE203" i="3"/>
  <c r="BF203" i="3"/>
  <c r="BG203" i="3"/>
  <c r="BH203" i="3"/>
  <c r="BI203" i="3"/>
  <c r="BJ203" i="3"/>
  <c r="BK203" i="3"/>
  <c r="BA203" i="3"/>
  <c r="BB204" i="3"/>
  <c r="BC204" i="3"/>
  <c r="BA204" i="3"/>
  <c r="BD204" i="3"/>
  <c r="BE204" i="3"/>
  <c r="BF204" i="3"/>
  <c r="BG204" i="3"/>
  <c r="BH204" i="3"/>
  <c r="BI204" i="3"/>
  <c r="BJ204" i="3"/>
  <c r="BK204" i="3"/>
  <c r="BB205" i="3"/>
  <c r="BC205" i="3"/>
  <c r="BD205" i="3"/>
  <c r="BE205" i="3"/>
  <c r="BF205" i="3"/>
  <c r="BG205" i="3"/>
  <c r="BH205" i="3"/>
  <c r="BI205" i="3"/>
  <c r="BJ205" i="3"/>
  <c r="BK205" i="3"/>
  <c r="BA205" i="3"/>
  <c r="BB206" i="3"/>
  <c r="BC206" i="3"/>
  <c r="BA206" i="3"/>
  <c r="BD206" i="3"/>
  <c r="BE206" i="3"/>
  <c r="BF206" i="3"/>
  <c r="BG206" i="3"/>
  <c r="BH206" i="3"/>
  <c r="BI206" i="3"/>
  <c r="BJ206" i="3"/>
  <c r="BK206" i="3"/>
  <c r="BB207" i="3"/>
  <c r="BC207" i="3"/>
  <c r="BD207" i="3"/>
  <c r="BE207" i="3"/>
  <c r="BF207" i="3"/>
  <c r="BG207" i="3"/>
  <c r="BH207" i="3"/>
  <c r="BI207" i="3"/>
  <c r="BJ207" i="3"/>
  <c r="BK207" i="3"/>
  <c r="BA207" i="3"/>
  <c r="BB208" i="3"/>
  <c r="BC208" i="3"/>
  <c r="BA208" i="3"/>
  <c r="BD208" i="3"/>
  <c r="BE208" i="3"/>
  <c r="BF208" i="3"/>
  <c r="BG208" i="3"/>
  <c r="BH208" i="3"/>
  <c r="BI208" i="3"/>
  <c r="BJ208" i="3"/>
  <c r="BK208" i="3"/>
  <c r="BB209" i="3"/>
  <c r="BC209" i="3"/>
  <c r="BD209" i="3"/>
  <c r="BE209" i="3"/>
  <c r="BF209" i="3"/>
  <c r="BG209" i="3"/>
  <c r="BH209" i="3"/>
  <c r="BI209" i="3"/>
  <c r="BJ209" i="3"/>
  <c r="BK209" i="3"/>
  <c r="BA209" i="3"/>
  <c r="BB210" i="3"/>
  <c r="BC210" i="3"/>
  <c r="BA210" i="3"/>
  <c r="BD210" i="3"/>
  <c r="BE210" i="3"/>
  <c r="BF210" i="3"/>
  <c r="BG210" i="3"/>
  <c r="BH210" i="3"/>
  <c r="BI210" i="3"/>
  <c r="BJ210" i="3"/>
  <c r="BK210" i="3"/>
  <c r="BB211" i="3"/>
  <c r="BC211" i="3"/>
  <c r="BD211" i="3"/>
  <c r="BE211" i="3"/>
  <c r="BF211" i="3"/>
  <c r="BG211" i="3"/>
  <c r="BH211" i="3"/>
  <c r="BI211" i="3"/>
  <c r="BJ211" i="3"/>
  <c r="BK211" i="3"/>
  <c r="BA211" i="3"/>
  <c r="BB212" i="3"/>
  <c r="BC212" i="3"/>
  <c r="BA212" i="3"/>
  <c r="BD212" i="3"/>
  <c r="BE212" i="3"/>
  <c r="BF212" i="3"/>
  <c r="BG212" i="3"/>
  <c r="BH212" i="3"/>
  <c r="BI212" i="3"/>
  <c r="BJ212" i="3"/>
  <c r="BK212" i="3"/>
  <c r="BB213" i="3"/>
  <c r="BC213" i="3"/>
  <c r="BD213" i="3"/>
  <c r="BE213" i="3"/>
  <c r="BF213" i="3"/>
  <c r="BG213" i="3"/>
  <c r="BH213" i="3"/>
  <c r="BI213" i="3"/>
  <c r="BJ213" i="3"/>
  <c r="BK213" i="3"/>
  <c r="BA213" i="3"/>
  <c r="BB214" i="3"/>
  <c r="BC214" i="3"/>
  <c r="BA214" i="3"/>
  <c r="BD214" i="3"/>
  <c r="BE214" i="3"/>
  <c r="BF214" i="3"/>
  <c r="BG214" i="3"/>
  <c r="BH214" i="3"/>
  <c r="BI214" i="3"/>
  <c r="BJ214" i="3"/>
  <c r="BK214" i="3"/>
  <c r="BB215" i="3"/>
  <c r="BC215" i="3"/>
  <c r="BD215" i="3"/>
  <c r="BE215" i="3"/>
  <c r="BF215" i="3"/>
  <c r="BG215" i="3"/>
  <c r="BH215" i="3"/>
  <c r="BI215" i="3"/>
  <c r="BJ215" i="3"/>
  <c r="BK215" i="3"/>
  <c r="BA215" i="3"/>
  <c r="BB216" i="3"/>
  <c r="BC216" i="3"/>
  <c r="BA216" i="3"/>
  <c r="BD216" i="3"/>
  <c r="BE216" i="3"/>
  <c r="BF216" i="3"/>
  <c r="BG216" i="3"/>
  <c r="BH216" i="3"/>
  <c r="BI216" i="3"/>
  <c r="BJ216" i="3"/>
  <c r="BK216" i="3"/>
  <c r="BB217" i="3"/>
  <c r="BC217" i="3"/>
  <c r="BD217" i="3"/>
  <c r="BE217" i="3"/>
  <c r="BF217" i="3"/>
  <c r="BG217" i="3"/>
  <c r="BH217" i="3"/>
  <c r="BI217" i="3"/>
  <c r="BJ217" i="3"/>
  <c r="BK217" i="3"/>
  <c r="BA217" i="3"/>
  <c r="BB218" i="3"/>
  <c r="BC218" i="3"/>
  <c r="BA218" i="3"/>
  <c r="BD218" i="3"/>
  <c r="BE218" i="3"/>
  <c r="BF218" i="3"/>
  <c r="BG218" i="3"/>
  <c r="BH218" i="3"/>
  <c r="BI218" i="3"/>
  <c r="BJ218" i="3"/>
  <c r="BK218" i="3"/>
  <c r="BB219" i="3"/>
  <c r="BC219" i="3"/>
  <c r="BD219" i="3"/>
  <c r="BE219" i="3"/>
  <c r="BF219" i="3"/>
  <c r="BG219" i="3"/>
  <c r="BH219" i="3"/>
  <c r="BI219" i="3"/>
  <c r="BJ219" i="3"/>
  <c r="BK219" i="3"/>
  <c r="BA219" i="3"/>
  <c r="BB220" i="3"/>
  <c r="BC220" i="3"/>
  <c r="BA220" i="3"/>
  <c r="BD220" i="3"/>
  <c r="BE220" i="3"/>
  <c r="BF220" i="3"/>
  <c r="BG220" i="3"/>
  <c r="BH220" i="3"/>
  <c r="BI220" i="3"/>
  <c r="BJ220" i="3"/>
  <c r="BK220" i="3"/>
  <c r="BB221" i="3"/>
  <c r="BC221" i="3"/>
  <c r="BD221" i="3"/>
  <c r="BE221" i="3"/>
  <c r="BF221" i="3"/>
  <c r="BG221" i="3"/>
  <c r="BH221" i="3"/>
  <c r="BI221" i="3"/>
  <c r="BJ221" i="3"/>
  <c r="BK221" i="3"/>
  <c r="BA221" i="3"/>
  <c r="BB222" i="3"/>
  <c r="BC222" i="3"/>
  <c r="BA222" i="3"/>
  <c r="BD222" i="3"/>
  <c r="BE222" i="3"/>
  <c r="BF222" i="3"/>
  <c r="BG222" i="3"/>
  <c r="BH222" i="3"/>
  <c r="BI222" i="3"/>
  <c r="BJ222" i="3"/>
  <c r="BK222" i="3"/>
  <c r="BB223" i="3"/>
  <c r="BC223" i="3"/>
  <c r="BD223" i="3"/>
  <c r="BE223" i="3"/>
  <c r="BF223" i="3"/>
  <c r="BG223" i="3"/>
  <c r="BH223" i="3"/>
  <c r="BI223" i="3"/>
  <c r="BJ223" i="3"/>
  <c r="BK223" i="3"/>
  <c r="BA223" i="3"/>
  <c r="BB224" i="3"/>
  <c r="BC224" i="3"/>
  <c r="BA224" i="3"/>
  <c r="BD224" i="3"/>
  <c r="BE224" i="3"/>
  <c r="BF224" i="3"/>
  <c r="BG224" i="3"/>
  <c r="BH224" i="3"/>
  <c r="BI224" i="3"/>
  <c r="BJ224" i="3"/>
  <c r="BK224" i="3"/>
  <c r="BB225" i="3"/>
  <c r="BC225" i="3"/>
  <c r="BD225" i="3"/>
  <c r="BE225" i="3"/>
  <c r="BF225" i="3"/>
  <c r="BG225" i="3"/>
  <c r="BH225" i="3"/>
  <c r="BI225" i="3"/>
  <c r="BJ225" i="3"/>
  <c r="BK225" i="3"/>
  <c r="BA225" i="3"/>
  <c r="BB226" i="3"/>
  <c r="BC226" i="3"/>
  <c r="BA226" i="3"/>
  <c r="BD226" i="3"/>
  <c r="BE226" i="3"/>
  <c r="BF226" i="3"/>
  <c r="BG226" i="3"/>
  <c r="BH226" i="3"/>
  <c r="BI226" i="3"/>
  <c r="BJ226" i="3"/>
  <c r="BK226" i="3"/>
  <c r="BB227" i="3"/>
  <c r="BC227" i="3"/>
  <c r="BD227" i="3"/>
  <c r="BE227" i="3"/>
  <c r="BF227" i="3"/>
  <c r="BG227" i="3"/>
  <c r="BH227" i="3"/>
  <c r="BI227" i="3"/>
  <c r="BJ227" i="3"/>
  <c r="BK227" i="3"/>
  <c r="BA227" i="3"/>
  <c r="BB228" i="3"/>
  <c r="BC228" i="3"/>
  <c r="BA228" i="3"/>
  <c r="BD228" i="3"/>
  <c r="BE228" i="3"/>
  <c r="BF228" i="3"/>
  <c r="BG228" i="3"/>
  <c r="BH228" i="3"/>
  <c r="BI228" i="3"/>
  <c r="BJ228" i="3"/>
  <c r="BK228" i="3"/>
  <c r="BB229" i="3"/>
  <c r="BC229" i="3"/>
  <c r="BD229" i="3"/>
  <c r="BE229" i="3"/>
  <c r="BF229" i="3"/>
  <c r="BG229" i="3"/>
  <c r="BH229" i="3"/>
  <c r="BI229" i="3"/>
  <c r="BJ229" i="3"/>
  <c r="BK229" i="3"/>
  <c r="BA229" i="3"/>
  <c r="BB230" i="3"/>
  <c r="BC230" i="3"/>
  <c r="BA230" i="3"/>
  <c r="BD230" i="3"/>
  <c r="BE230" i="3"/>
  <c r="BF230" i="3"/>
  <c r="BG230" i="3"/>
  <c r="BH230" i="3"/>
  <c r="BI230" i="3"/>
  <c r="BJ230" i="3"/>
  <c r="BK230" i="3"/>
  <c r="BB231" i="3"/>
  <c r="BC231" i="3"/>
  <c r="BD231" i="3"/>
  <c r="BE231" i="3"/>
  <c r="BF231" i="3"/>
  <c r="BG231" i="3"/>
  <c r="BH231" i="3"/>
  <c r="BI231" i="3"/>
  <c r="BJ231" i="3"/>
  <c r="BK231" i="3"/>
  <c r="BA231" i="3"/>
  <c r="BB232" i="3"/>
  <c r="BC232" i="3"/>
  <c r="BA232" i="3"/>
  <c r="BD232" i="3"/>
  <c r="BE232" i="3"/>
  <c r="BF232" i="3"/>
  <c r="BG232" i="3"/>
  <c r="BH232" i="3"/>
  <c r="BI232" i="3"/>
  <c r="BJ232" i="3"/>
  <c r="BK232" i="3"/>
  <c r="BB233" i="3"/>
  <c r="BC233" i="3"/>
  <c r="BD233" i="3"/>
  <c r="BE233" i="3"/>
  <c r="BF233" i="3"/>
  <c r="BG233" i="3"/>
  <c r="BH233" i="3"/>
  <c r="BI233" i="3"/>
  <c r="BJ233" i="3"/>
  <c r="BK233" i="3"/>
  <c r="BA233" i="3"/>
  <c r="BB234" i="3"/>
  <c r="BC234" i="3"/>
  <c r="BA234" i="3"/>
  <c r="BD234" i="3"/>
  <c r="BE234" i="3"/>
  <c r="BF234" i="3"/>
  <c r="BG234" i="3"/>
  <c r="BH234" i="3"/>
  <c r="BI234" i="3"/>
  <c r="BJ234" i="3"/>
  <c r="BK234" i="3"/>
  <c r="BB235" i="3"/>
  <c r="BC235" i="3"/>
  <c r="BD235" i="3"/>
  <c r="BE235" i="3"/>
  <c r="BF235" i="3"/>
  <c r="BG235" i="3"/>
  <c r="BH235" i="3"/>
  <c r="BI235" i="3"/>
  <c r="BJ235" i="3"/>
  <c r="BK235" i="3"/>
  <c r="BA235" i="3"/>
  <c r="BB236" i="3"/>
  <c r="BC236" i="3"/>
  <c r="BA236" i="3"/>
  <c r="BD236" i="3"/>
  <c r="BE236" i="3"/>
  <c r="BF236" i="3"/>
  <c r="BG236" i="3"/>
  <c r="BH236" i="3"/>
  <c r="BI236" i="3"/>
  <c r="BJ236" i="3"/>
  <c r="BK236" i="3"/>
  <c r="BB237" i="3"/>
  <c r="BC237" i="3"/>
  <c r="BD237" i="3"/>
  <c r="BE237" i="3"/>
  <c r="BF237" i="3"/>
  <c r="BG237" i="3"/>
  <c r="BH237" i="3"/>
  <c r="BI237" i="3"/>
  <c r="BJ237" i="3"/>
  <c r="BK237" i="3"/>
  <c r="BA237" i="3"/>
  <c r="BB238" i="3"/>
  <c r="BC238" i="3"/>
  <c r="BA238" i="3"/>
  <c r="BD238" i="3"/>
  <c r="BE238" i="3"/>
  <c r="BF238" i="3"/>
  <c r="BG238" i="3"/>
  <c r="BH238" i="3"/>
  <c r="BI238" i="3"/>
  <c r="BJ238" i="3"/>
  <c r="BK238" i="3"/>
  <c r="BB239" i="3"/>
  <c r="BC239" i="3"/>
  <c r="BD239" i="3"/>
  <c r="BE239" i="3"/>
  <c r="BF239" i="3"/>
  <c r="BG239" i="3"/>
  <c r="BH239" i="3"/>
  <c r="BI239" i="3"/>
  <c r="BJ239" i="3"/>
  <c r="BK239" i="3"/>
  <c r="BA239" i="3"/>
  <c r="BB240" i="3"/>
  <c r="BC240" i="3"/>
  <c r="BA240" i="3"/>
  <c r="BD240" i="3"/>
  <c r="BE240" i="3"/>
  <c r="BF240" i="3"/>
  <c r="BG240" i="3"/>
  <c r="BH240" i="3"/>
  <c r="BI240" i="3"/>
  <c r="BJ240" i="3"/>
  <c r="BK240" i="3"/>
  <c r="BB241" i="3"/>
  <c r="BC241" i="3"/>
  <c r="BD241" i="3"/>
  <c r="BE241" i="3"/>
  <c r="BF241" i="3"/>
  <c r="BG241" i="3"/>
  <c r="BH241" i="3"/>
  <c r="BI241" i="3"/>
  <c r="BJ241" i="3"/>
  <c r="BK241" i="3"/>
  <c r="BA241" i="3"/>
  <c r="BB242" i="3"/>
  <c r="BC242" i="3"/>
  <c r="BA242" i="3"/>
  <c r="BD242" i="3"/>
  <c r="BE242" i="3"/>
  <c r="BF242" i="3"/>
  <c r="BG242" i="3"/>
  <c r="BH242" i="3"/>
  <c r="BI242" i="3"/>
  <c r="BJ242" i="3"/>
  <c r="BK242" i="3"/>
  <c r="BB243" i="3"/>
  <c r="BC243" i="3"/>
  <c r="BD243" i="3"/>
  <c r="BE243" i="3"/>
  <c r="BF243" i="3"/>
  <c r="BG243" i="3"/>
  <c r="BH243" i="3"/>
  <c r="BI243" i="3"/>
  <c r="BJ243" i="3"/>
  <c r="BK243" i="3"/>
  <c r="BA243" i="3"/>
  <c r="BB244" i="3"/>
  <c r="BC244" i="3"/>
  <c r="BA244" i="3"/>
  <c r="BD244" i="3"/>
  <c r="BE244" i="3"/>
  <c r="BF244" i="3"/>
  <c r="BG244" i="3"/>
  <c r="BH244" i="3"/>
  <c r="BI244" i="3"/>
  <c r="BJ244" i="3"/>
  <c r="BK244" i="3"/>
  <c r="BB245" i="3"/>
  <c r="BC245" i="3"/>
  <c r="BD245" i="3"/>
  <c r="BE245" i="3"/>
  <c r="BF245" i="3"/>
  <c r="BG245" i="3"/>
  <c r="BH245" i="3"/>
  <c r="BI245" i="3"/>
  <c r="BJ245" i="3"/>
  <c r="BK245" i="3"/>
  <c r="BA245" i="3"/>
  <c r="BB246" i="3"/>
  <c r="BC246" i="3"/>
  <c r="BA246" i="3"/>
  <c r="BD246" i="3"/>
  <c r="BE246" i="3"/>
  <c r="BF246" i="3"/>
  <c r="BG246" i="3"/>
  <c r="BH246" i="3"/>
  <c r="BI246" i="3"/>
  <c r="BJ246" i="3"/>
  <c r="BK246" i="3"/>
  <c r="BB247" i="3"/>
  <c r="BC247" i="3"/>
  <c r="BD247" i="3"/>
  <c r="BE247" i="3"/>
  <c r="BF247" i="3"/>
  <c r="BG247" i="3"/>
  <c r="BH247" i="3"/>
  <c r="BI247" i="3"/>
  <c r="BJ247" i="3"/>
  <c r="BK247" i="3"/>
  <c r="BA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F250" i="3"/>
  <c r="BG250" i="3"/>
  <c r="BH250" i="3"/>
  <c r="BI250" i="3"/>
  <c r="BJ250" i="3"/>
  <c r="BK250" i="3"/>
  <c r="BB251" i="3"/>
  <c r="BC251" i="3"/>
  <c r="BD251" i="3"/>
  <c r="BE251" i="3"/>
  <c r="BF251" i="3"/>
  <c r="BG251" i="3"/>
  <c r="BH251" i="3"/>
  <c r="BI251" i="3"/>
  <c r="BJ251" i="3"/>
  <c r="BK251" i="3"/>
  <c r="BA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A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A261" i="3"/>
  <c r="BB262" i="3"/>
  <c r="BC262" i="3"/>
  <c r="BD262" i="3"/>
  <c r="BE262" i="3"/>
  <c r="BF262" i="3"/>
  <c r="BG262" i="3"/>
  <c r="BH262" i="3"/>
  <c r="BI262" i="3"/>
  <c r="BJ262" i="3"/>
  <c r="BK262" i="3"/>
  <c r="BB263" i="3"/>
  <c r="BC263" i="3"/>
  <c r="BD263" i="3"/>
  <c r="BE263" i="3"/>
  <c r="BF263" i="3"/>
  <c r="BG263" i="3"/>
  <c r="BH263" i="3"/>
  <c r="BI263" i="3"/>
  <c r="BJ263" i="3"/>
  <c r="BK263" i="3"/>
  <c r="BA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A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A270" i="3"/>
  <c r="BD270" i="3"/>
  <c r="BE270" i="3"/>
  <c r="BF270" i="3"/>
  <c r="BG270" i="3"/>
  <c r="BH270" i="3"/>
  <c r="BI270" i="3"/>
  <c r="BJ270" i="3"/>
  <c r="BK270" i="3"/>
  <c r="BB271" i="3"/>
  <c r="BC271" i="3"/>
  <c r="BD271" i="3"/>
  <c r="BE271" i="3"/>
  <c r="BF271" i="3"/>
  <c r="BG271" i="3"/>
  <c r="BH271" i="3"/>
  <c r="BI271" i="3"/>
  <c r="BJ271" i="3"/>
  <c r="BK271" i="3"/>
  <c r="BA271" i="3"/>
  <c r="BB272" i="3"/>
  <c r="BC272" i="3"/>
  <c r="BA272" i="3"/>
  <c r="BD272" i="3"/>
  <c r="BE272" i="3"/>
  <c r="BF272" i="3"/>
  <c r="BG272" i="3"/>
  <c r="BH272" i="3"/>
  <c r="BI272" i="3"/>
  <c r="BJ272" i="3"/>
  <c r="BK272" i="3"/>
  <c r="BB273" i="3"/>
  <c r="BC273" i="3"/>
  <c r="BD273" i="3"/>
  <c r="BE273" i="3"/>
  <c r="BF273" i="3"/>
  <c r="BG273" i="3"/>
  <c r="BH273" i="3"/>
  <c r="BI273" i="3"/>
  <c r="BJ273" i="3"/>
  <c r="BK273" i="3"/>
  <c r="BA273" i="3"/>
  <c r="BB274" i="3"/>
  <c r="BC274" i="3"/>
  <c r="BA274" i="3"/>
  <c r="BD274" i="3"/>
  <c r="BE274" i="3"/>
  <c r="BF274" i="3"/>
  <c r="BG274" i="3"/>
  <c r="BH274" i="3"/>
  <c r="BI274" i="3"/>
  <c r="BJ274" i="3"/>
  <c r="BK274" i="3"/>
  <c r="BB275" i="3"/>
  <c r="BC275" i="3"/>
  <c r="BD275" i="3"/>
  <c r="BE275" i="3"/>
  <c r="BF275" i="3"/>
  <c r="BG275" i="3"/>
  <c r="BH275" i="3"/>
  <c r="BI275" i="3"/>
  <c r="BJ275" i="3"/>
  <c r="BK275" i="3"/>
  <c r="BA275" i="3"/>
  <c r="BB276" i="3"/>
  <c r="BC276" i="3"/>
  <c r="BA276" i="3"/>
  <c r="BD276" i="3"/>
  <c r="BE276" i="3"/>
  <c r="BF276" i="3"/>
  <c r="BG276" i="3"/>
  <c r="BH276" i="3"/>
  <c r="BI276" i="3"/>
  <c r="BJ276" i="3"/>
  <c r="BK276" i="3"/>
  <c r="BB277" i="3"/>
  <c r="BC277" i="3"/>
  <c r="BD277" i="3"/>
  <c r="BE277" i="3"/>
  <c r="BF277" i="3"/>
  <c r="BG277" i="3"/>
  <c r="BH277" i="3"/>
  <c r="BI277" i="3"/>
  <c r="BJ277" i="3"/>
  <c r="BK277" i="3"/>
  <c r="BA277" i="3"/>
  <c r="BB278" i="3"/>
  <c r="BC278" i="3"/>
  <c r="BA278" i="3"/>
  <c r="BD278" i="3"/>
  <c r="BE278" i="3"/>
  <c r="BF278" i="3"/>
  <c r="BG278" i="3"/>
  <c r="BH278" i="3"/>
  <c r="BI278" i="3"/>
  <c r="BJ278" i="3"/>
  <c r="BK278" i="3"/>
  <c r="BB279" i="3"/>
  <c r="BC279" i="3"/>
  <c r="BD279" i="3"/>
  <c r="BE279" i="3"/>
  <c r="BF279" i="3"/>
  <c r="BG279" i="3"/>
  <c r="BH279" i="3"/>
  <c r="BI279" i="3"/>
  <c r="BJ279" i="3"/>
  <c r="BK279" i="3"/>
  <c r="BA279" i="3"/>
  <c r="BB280" i="3"/>
  <c r="BC280" i="3"/>
  <c r="BA280" i="3"/>
  <c r="BD280" i="3"/>
  <c r="BE280" i="3"/>
  <c r="BF280" i="3"/>
  <c r="BG280" i="3"/>
  <c r="BH280" i="3"/>
  <c r="BI280" i="3"/>
  <c r="BJ280" i="3"/>
  <c r="BK280" i="3"/>
  <c r="BB281" i="3"/>
  <c r="BC281" i="3"/>
  <c r="BD281" i="3"/>
  <c r="BE281" i="3"/>
  <c r="BF281" i="3"/>
  <c r="BG281" i="3"/>
  <c r="BH281" i="3"/>
  <c r="BI281" i="3"/>
  <c r="BJ281" i="3"/>
  <c r="BK281" i="3"/>
  <c r="BA281" i="3"/>
  <c r="BB282" i="3"/>
  <c r="BC282" i="3"/>
  <c r="BA282" i="3"/>
  <c r="BD282" i="3"/>
  <c r="BE282" i="3"/>
  <c r="BF282" i="3"/>
  <c r="BG282" i="3"/>
  <c r="BH282" i="3"/>
  <c r="BI282" i="3"/>
  <c r="BJ282" i="3"/>
  <c r="BK282" i="3"/>
  <c r="BB283" i="3"/>
  <c r="BC283" i="3"/>
  <c r="BD283" i="3"/>
  <c r="BE283" i="3"/>
  <c r="BF283" i="3"/>
  <c r="BG283" i="3"/>
  <c r="BH283" i="3"/>
  <c r="BI283" i="3"/>
  <c r="BJ283" i="3"/>
  <c r="BK283" i="3"/>
  <c r="BA283" i="3"/>
  <c r="BB284" i="3"/>
  <c r="BC284" i="3"/>
  <c r="BA284" i="3"/>
  <c r="BD284" i="3"/>
  <c r="BE284" i="3"/>
  <c r="BF284" i="3"/>
  <c r="BG284" i="3"/>
  <c r="BH284" i="3"/>
  <c r="BI284" i="3"/>
  <c r="BJ284" i="3"/>
  <c r="BK284" i="3"/>
  <c r="BB285" i="3"/>
  <c r="BC285" i="3"/>
  <c r="BD285" i="3"/>
  <c r="BE285" i="3"/>
  <c r="BF285" i="3"/>
  <c r="BG285" i="3"/>
  <c r="BH285" i="3"/>
  <c r="BI285" i="3"/>
  <c r="BJ285" i="3"/>
  <c r="BK285" i="3"/>
  <c r="BA285" i="3"/>
  <c r="BB286" i="3"/>
  <c r="BC286" i="3"/>
  <c r="BA286" i="3"/>
  <c r="BD286" i="3"/>
  <c r="BE286" i="3"/>
  <c r="BF286" i="3"/>
  <c r="BG286" i="3"/>
  <c r="BH286" i="3"/>
  <c r="BI286" i="3"/>
  <c r="BJ286" i="3"/>
  <c r="BK286" i="3"/>
  <c r="BB287" i="3"/>
  <c r="BC287" i="3"/>
  <c r="BD287" i="3"/>
  <c r="BE287" i="3"/>
  <c r="BF287" i="3"/>
  <c r="BG287" i="3"/>
  <c r="BH287" i="3"/>
  <c r="BI287" i="3"/>
  <c r="BJ287" i="3"/>
  <c r="BK287" i="3"/>
  <c r="BA287" i="3"/>
  <c r="BB288" i="3"/>
  <c r="BC288" i="3"/>
  <c r="BA288" i="3"/>
  <c r="BD288" i="3"/>
  <c r="BE288" i="3"/>
  <c r="BF288" i="3"/>
  <c r="BG288" i="3"/>
  <c r="BH288" i="3"/>
  <c r="BI288" i="3"/>
  <c r="BJ288" i="3"/>
  <c r="BK288" i="3"/>
  <c r="BB289" i="3"/>
  <c r="BC289" i="3"/>
  <c r="BD289" i="3"/>
  <c r="BE289" i="3"/>
  <c r="BF289" i="3"/>
  <c r="BG289" i="3"/>
  <c r="BH289" i="3"/>
  <c r="BI289" i="3"/>
  <c r="BJ289" i="3"/>
  <c r="BK289" i="3"/>
  <c r="BA289" i="3"/>
  <c r="BB290" i="3"/>
  <c r="BC290" i="3"/>
  <c r="BA290" i="3"/>
  <c r="BD290" i="3"/>
  <c r="BE290" i="3"/>
  <c r="BF290" i="3"/>
  <c r="BG290" i="3"/>
  <c r="BH290" i="3"/>
  <c r="BI290" i="3"/>
  <c r="BJ290" i="3"/>
  <c r="BK290" i="3"/>
  <c r="BB291" i="3"/>
  <c r="BC291" i="3"/>
  <c r="BD291" i="3"/>
  <c r="BE291" i="3"/>
  <c r="BF291" i="3"/>
  <c r="BG291" i="3"/>
  <c r="BH291" i="3"/>
  <c r="BI291" i="3"/>
  <c r="BJ291" i="3"/>
  <c r="BK291" i="3"/>
  <c r="BA291" i="3"/>
  <c r="BB292" i="3"/>
  <c r="BC292" i="3"/>
  <c r="BA292" i="3"/>
  <c r="BD292" i="3"/>
  <c r="BE292" i="3"/>
  <c r="BF292" i="3"/>
  <c r="BG292" i="3"/>
  <c r="BH292" i="3"/>
  <c r="BI292" i="3"/>
  <c r="BJ292" i="3"/>
  <c r="BK292" i="3"/>
  <c r="BB293" i="3"/>
  <c r="BC293" i="3"/>
  <c r="BD293" i="3"/>
  <c r="BE293" i="3"/>
  <c r="BF293" i="3"/>
  <c r="BG293" i="3"/>
  <c r="BH293" i="3"/>
  <c r="BI293" i="3"/>
  <c r="BJ293" i="3"/>
  <c r="BK293" i="3"/>
  <c r="BA293" i="3"/>
  <c r="BB294" i="3"/>
  <c r="BC294" i="3"/>
  <c r="BA294" i="3"/>
  <c r="BD294" i="3"/>
  <c r="BE294" i="3"/>
  <c r="BF294" i="3"/>
  <c r="BG294" i="3"/>
  <c r="BH294" i="3"/>
  <c r="BI294" i="3"/>
  <c r="BJ294" i="3"/>
  <c r="BK294" i="3"/>
  <c r="BB295" i="3"/>
  <c r="BC295" i="3"/>
  <c r="BD295" i="3"/>
  <c r="BE295" i="3"/>
  <c r="BF295" i="3"/>
  <c r="BG295" i="3"/>
  <c r="BH295" i="3"/>
  <c r="BI295" i="3"/>
  <c r="BJ295" i="3"/>
  <c r="BK295" i="3"/>
  <c r="BA295" i="3"/>
  <c r="BB296" i="3"/>
  <c r="BC296" i="3"/>
  <c r="BA296" i="3"/>
  <c r="BD296" i="3"/>
  <c r="BE296" i="3"/>
  <c r="BF296" i="3"/>
  <c r="BG296" i="3"/>
  <c r="BH296" i="3"/>
  <c r="BI296" i="3"/>
  <c r="BJ296" i="3"/>
  <c r="BK296" i="3"/>
  <c r="BB297" i="3"/>
  <c r="BC297" i="3"/>
  <c r="BD297" i="3"/>
  <c r="BE297" i="3"/>
  <c r="BF297" i="3"/>
  <c r="BG297" i="3"/>
  <c r="BH297" i="3"/>
  <c r="BI297" i="3"/>
  <c r="BJ297" i="3"/>
  <c r="BK297" i="3"/>
  <c r="BA297" i="3"/>
  <c r="BB298" i="3"/>
  <c r="BC298" i="3"/>
  <c r="BA298" i="3"/>
  <c r="BD298" i="3"/>
  <c r="BE298" i="3"/>
  <c r="BF298" i="3"/>
  <c r="BG298" i="3"/>
  <c r="BH298" i="3"/>
  <c r="BI298" i="3"/>
  <c r="BJ298" i="3"/>
  <c r="BK298" i="3"/>
  <c r="BB299" i="3"/>
  <c r="BC299" i="3"/>
  <c r="BD299" i="3"/>
  <c r="BE299" i="3"/>
  <c r="BF299" i="3"/>
  <c r="BG299" i="3"/>
  <c r="BH299" i="3"/>
  <c r="BI299" i="3"/>
  <c r="BJ299" i="3"/>
  <c r="BK299" i="3"/>
  <c r="BA299" i="3"/>
  <c r="BB300" i="3"/>
  <c r="BC300" i="3"/>
  <c r="BA300" i="3"/>
  <c r="BD300" i="3"/>
  <c r="BE300" i="3"/>
  <c r="BF300" i="3"/>
  <c r="BG300" i="3"/>
  <c r="BH300" i="3"/>
  <c r="BI300" i="3"/>
  <c r="BJ300" i="3"/>
  <c r="BK300" i="3"/>
  <c r="BB301" i="3"/>
  <c r="BC301" i="3"/>
  <c r="BD301" i="3"/>
  <c r="BE301" i="3"/>
  <c r="BF301" i="3"/>
  <c r="BG301" i="3"/>
  <c r="BH301" i="3"/>
  <c r="BI301" i="3"/>
  <c r="BJ301" i="3"/>
  <c r="BK301" i="3"/>
  <c r="BA301" i="3"/>
  <c r="BB302" i="3"/>
  <c r="BC302" i="3"/>
  <c r="BA302" i="3"/>
  <c r="BD302" i="3"/>
  <c r="BE302" i="3"/>
  <c r="BF302" i="3"/>
  <c r="BG302" i="3"/>
  <c r="BH302" i="3"/>
  <c r="BI302" i="3"/>
  <c r="BJ302" i="3"/>
  <c r="BK302" i="3"/>
  <c r="BB303" i="3"/>
  <c r="BC303" i="3"/>
  <c r="BD303" i="3"/>
  <c r="BE303" i="3"/>
  <c r="BF303" i="3"/>
  <c r="BG303" i="3"/>
  <c r="BH303" i="3"/>
  <c r="BI303" i="3"/>
  <c r="BJ303" i="3"/>
  <c r="BK303" i="3"/>
  <c r="BA303" i="3"/>
  <c r="BB304" i="3"/>
  <c r="BC304" i="3"/>
  <c r="BA304" i="3"/>
  <c r="BD304" i="3"/>
  <c r="BE304" i="3"/>
  <c r="BF304" i="3"/>
  <c r="BG304" i="3"/>
  <c r="BH304" i="3"/>
  <c r="BI304" i="3"/>
  <c r="BJ304" i="3"/>
  <c r="BK304" i="3"/>
  <c r="BB305" i="3"/>
  <c r="BC305" i="3"/>
  <c r="BD305" i="3"/>
  <c r="BE305" i="3"/>
  <c r="BF305" i="3"/>
  <c r="BG305" i="3"/>
  <c r="BH305" i="3"/>
  <c r="BI305" i="3"/>
  <c r="BJ305" i="3"/>
  <c r="BK305" i="3"/>
  <c r="BA305" i="3"/>
  <c r="BB306" i="3"/>
  <c r="BC306" i="3"/>
  <c r="BA306" i="3"/>
  <c r="BD306" i="3"/>
  <c r="BE306" i="3"/>
  <c r="BF306" i="3"/>
  <c r="BG306" i="3"/>
  <c r="BH306" i="3"/>
  <c r="BI306" i="3"/>
  <c r="BJ306" i="3"/>
  <c r="BK306" i="3"/>
  <c r="BB307" i="3"/>
  <c r="BC307" i="3"/>
  <c r="BD307" i="3"/>
  <c r="BE307" i="3"/>
  <c r="BF307" i="3"/>
  <c r="BG307" i="3"/>
  <c r="BH307" i="3"/>
  <c r="BI307" i="3"/>
  <c r="BJ307" i="3"/>
  <c r="BK307" i="3"/>
  <c r="BA307" i="3"/>
  <c r="BB308" i="3"/>
  <c r="BC308" i="3"/>
  <c r="BA308" i="3"/>
  <c r="BD308" i="3"/>
  <c r="BE308" i="3"/>
  <c r="BF308" i="3"/>
  <c r="BG308" i="3"/>
  <c r="BH308" i="3"/>
  <c r="BI308" i="3"/>
  <c r="BJ308" i="3"/>
  <c r="BK308" i="3"/>
  <c r="BB309" i="3"/>
  <c r="BC309" i="3"/>
  <c r="BD309" i="3"/>
  <c r="BE309" i="3"/>
  <c r="BF309" i="3"/>
  <c r="BG309" i="3"/>
  <c r="BH309" i="3"/>
  <c r="BI309" i="3"/>
  <c r="BJ309" i="3"/>
  <c r="BK309" i="3"/>
  <c r="BA309" i="3"/>
  <c r="BB310" i="3"/>
  <c r="BC310" i="3"/>
  <c r="BA310" i="3"/>
  <c r="BD310" i="3"/>
  <c r="BE310" i="3"/>
  <c r="BF310" i="3"/>
  <c r="BG310" i="3"/>
  <c r="BH310" i="3"/>
  <c r="BI310" i="3"/>
  <c r="BJ310" i="3"/>
  <c r="BK310" i="3"/>
  <c r="BB311" i="3"/>
  <c r="BC311" i="3"/>
  <c r="BD311" i="3"/>
  <c r="BE311" i="3"/>
  <c r="BF311" i="3"/>
  <c r="BG311" i="3"/>
  <c r="BH311" i="3"/>
  <c r="BI311" i="3"/>
  <c r="BJ311" i="3"/>
  <c r="BK311" i="3"/>
  <c r="BA311" i="3"/>
  <c r="BB312" i="3"/>
  <c r="BC312" i="3"/>
  <c r="BA312" i="3"/>
  <c r="BD312" i="3"/>
  <c r="BE312" i="3"/>
  <c r="BF312" i="3"/>
  <c r="BG312" i="3"/>
  <c r="BH312" i="3"/>
  <c r="BI312" i="3"/>
  <c r="BJ312" i="3"/>
  <c r="BK312" i="3"/>
  <c r="BB313" i="3"/>
  <c r="BC313" i="3"/>
  <c r="BD313" i="3"/>
  <c r="BE313" i="3"/>
  <c r="BF313" i="3"/>
  <c r="BG313" i="3"/>
  <c r="BH313" i="3"/>
  <c r="BI313" i="3"/>
  <c r="BJ313" i="3"/>
  <c r="BK313" i="3"/>
  <c r="BA313" i="3"/>
  <c r="BB314" i="3"/>
  <c r="BC314" i="3"/>
  <c r="BA314" i="3"/>
  <c r="BD314" i="3"/>
  <c r="BE314" i="3"/>
  <c r="BF314" i="3"/>
  <c r="BG314" i="3"/>
  <c r="BH314" i="3"/>
  <c r="BI314" i="3"/>
  <c r="BJ314" i="3"/>
  <c r="BK314" i="3"/>
  <c r="BB315" i="3"/>
  <c r="BC315" i="3"/>
  <c r="BD315" i="3"/>
  <c r="BE315" i="3"/>
  <c r="BF315" i="3"/>
  <c r="BG315" i="3"/>
  <c r="BH315" i="3"/>
  <c r="BI315" i="3"/>
  <c r="BJ315" i="3"/>
  <c r="BK315" i="3"/>
  <c r="BA315" i="3"/>
  <c r="BB316" i="3"/>
  <c r="BC316" i="3"/>
  <c r="BA316" i="3"/>
  <c r="BD316" i="3"/>
  <c r="BE316" i="3"/>
  <c r="BF316" i="3"/>
  <c r="BG316" i="3"/>
  <c r="BH316" i="3"/>
  <c r="BI316" i="3"/>
  <c r="BJ316" i="3"/>
  <c r="BK316" i="3"/>
  <c r="BB317" i="3"/>
  <c r="BC317" i="3"/>
  <c r="BD317" i="3"/>
  <c r="BE317" i="3"/>
  <c r="BF317" i="3"/>
  <c r="BG317" i="3"/>
  <c r="BH317" i="3"/>
  <c r="BI317" i="3"/>
  <c r="BJ317" i="3"/>
  <c r="BK317" i="3"/>
  <c r="BA317" i="3"/>
  <c r="BB318" i="3"/>
  <c r="BC318" i="3"/>
  <c r="BA318" i="3"/>
  <c r="BD318" i="3"/>
  <c r="BE318" i="3"/>
  <c r="BF318" i="3"/>
  <c r="BG318" i="3"/>
  <c r="BH318" i="3"/>
  <c r="BI318" i="3"/>
  <c r="BJ318" i="3"/>
  <c r="BK318" i="3"/>
  <c r="BB319" i="3"/>
  <c r="BC319" i="3"/>
  <c r="BD319" i="3"/>
  <c r="BE319" i="3"/>
  <c r="BF319" i="3"/>
  <c r="BG319" i="3"/>
  <c r="BH319" i="3"/>
  <c r="BI319" i="3"/>
  <c r="BJ319" i="3"/>
  <c r="BK319" i="3"/>
  <c r="BA319" i="3"/>
  <c r="BB320" i="3"/>
  <c r="BC320" i="3"/>
  <c r="BA320" i="3"/>
  <c r="BD320" i="3"/>
  <c r="BE320" i="3"/>
  <c r="BF320" i="3"/>
  <c r="BG320" i="3"/>
  <c r="BH320" i="3"/>
  <c r="BI320" i="3"/>
  <c r="BJ320" i="3"/>
  <c r="BK320" i="3"/>
  <c r="BB321" i="3"/>
  <c r="BC321" i="3"/>
  <c r="BD321" i="3"/>
  <c r="BE321" i="3"/>
  <c r="BF321" i="3"/>
  <c r="BG321" i="3"/>
  <c r="BH321" i="3"/>
  <c r="BI321" i="3"/>
  <c r="BJ321" i="3"/>
  <c r="BK321" i="3"/>
  <c r="BA321" i="3"/>
  <c r="BB322" i="3"/>
  <c r="BC322" i="3"/>
  <c r="BA322" i="3"/>
  <c r="BD322" i="3"/>
  <c r="BE322" i="3"/>
  <c r="BF322" i="3"/>
  <c r="BG322" i="3"/>
  <c r="BH322" i="3"/>
  <c r="BI322" i="3"/>
  <c r="BJ322" i="3"/>
  <c r="BK322" i="3"/>
  <c r="BB323" i="3"/>
  <c r="BC323" i="3"/>
  <c r="BD323" i="3"/>
  <c r="BE323" i="3"/>
  <c r="BF323" i="3"/>
  <c r="BG323" i="3"/>
  <c r="BH323" i="3"/>
  <c r="BI323" i="3"/>
  <c r="BJ323" i="3"/>
  <c r="BK323" i="3"/>
  <c r="BA323" i="3"/>
  <c r="BB324" i="3"/>
  <c r="BC324" i="3"/>
  <c r="BA324" i="3"/>
  <c r="BD324" i="3"/>
  <c r="BE324" i="3"/>
  <c r="BF324" i="3"/>
  <c r="BG324" i="3"/>
  <c r="BH324" i="3"/>
  <c r="BI324" i="3"/>
  <c r="BJ324" i="3"/>
  <c r="BK324" i="3"/>
  <c r="BB325" i="3"/>
  <c r="BC325" i="3"/>
  <c r="BD325" i="3"/>
  <c r="BE325" i="3"/>
  <c r="BF325" i="3"/>
  <c r="BG325" i="3"/>
  <c r="BH325" i="3"/>
  <c r="BI325" i="3"/>
  <c r="BJ325" i="3"/>
  <c r="BK325" i="3"/>
  <c r="BA325" i="3"/>
  <c r="BB326" i="3"/>
  <c r="BC326" i="3"/>
  <c r="BA326" i="3"/>
  <c r="BD326" i="3"/>
  <c r="BE326" i="3"/>
  <c r="BF326" i="3"/>
  <c r="BG326" i="3"/>
  <c r="BH326" i="3"/>
  <c r="BI326" i="3"/>
  <c r="BJ326" i="3"/>
  <c r="BK326" i="3"/>
  <c r="BB327" i="3"/>
  <c r="BC327" i="3"/>
  <c r="BD327" i="3"/>
  <c r="BE327" i="3"/>
  <c r="BF327" i="3"/>
  <c r="BG327" i="3"/>
  <c r="BH327" i="3"/>
  <c r="BI327" i="3"/>
  <c r="BJ327" i="3"/>
  <c r="BK327" i="3"/>
  <c r="BA327" i="3"/>
  <c r="BB328" i="3"/>
  <c r="BC328" i="3"/>
  <c r="BA328" i="3"/>
  <c r="BD328" i="3"/>
  <c r="BE328" i="3"/>
  <c r="BF328" i="3"/>
  <c r="BG328" i="3"/>
  <c r="BH328" i="3"/>
  <c r="BI328" i="3"/>
  <c r="BJ328" i="3"/>
  <c r="BK328" i="3"/>
  <c r="BB329" i="3"/>
  <c r="BC329" i="3"/>
  <c r="BD329" i="3"/>
  <c r="BE329" i="3"/>
  <c r="BF329" i="3"/>
  <c r="BG329" i="3"/>
  <c r="BH329" i="3"/>
  <c r="BI329" i="3"/>
  <c r="BJ329" i="3"/>
  <c r="BK329" i="3"/>
  <c r="BA329" i="3"/>
  <c r="BB330" i="3"/>
  <c r="BC330" i="3"/>
  <c r="BA330" i="3"/>
  <c r="BD330" i="3"/>
  <c r="BE330" i="3"/>
  <c r="BF330" i="3"/>
  <c r="BG330" i="3"/>
  <c r="BH330" i="3"/>
  <c r="BI330" i="3"/>
  <c r="BJ330" i="3"/>
  <c r="BK330" i="3"/>
  <c r="BB331" i="3"/>
  <c r="BC331" i="3"/>
  <c r="BD331" i="3"/>
  <c r="BE331" i="3"/>
  <c r="BF331" i="3"/>
  <c r="BG331" i="3"/>
  <c r="BH331" i="3"/>
  <c r="BI331" i="3"/>
  <c r="BJ331" i="3"/>
  <c r="BK331" i="3"/>
  <c r="BA331" i="3"/>
  <c r="BB332" i="3"/>
  <c r="BC332" i="3"/>
  <c r="BA332" i="3"/>
  <c r="BD332" i="3"/>
  <c r="BE332" i="3"/>
  <c r="BF332" i="3"/>
  <c r="BG332" i="3"/>
  <c r="BH332" i="3"/>
  <c r="BI332" i="3"/>
  <c r="BJ332" i="3"/>
  <c r="BK332" i="3"/>
  <c r="BB333" i="3"/>
  <c r="BC333" i="3"/>
  <c r="BD333" i="3"/>
  <c r="BE333" i="3"/>
  <c r="BF333" i="3"/>
  <c r="BG333" i="3"/>
  <c r="BH333" i="3"/>
  <c r="BI333" i="3"/>
  <c r="BJ333" i="3"/>
  <c r="BK333" i="3"/>
  <c r="BA333" i="3"/>
  <c r="BB334" i="3"/>
  <c r="BC334" i="3"/>
  <c r="BA334" i="3"/>
  <c r="BD334" i="3"/>
  <c r="BE334" i="3"/>
  <c r="BF334" i="3"/>
  <c r="BG334" i="3"/>
  <c r="BH334" i="3"/>
  <c r="BI334" i="3"/>
  <c r="BJ334" i="3"/>
  <c r="BK334" i="3"/>
  <c r="BB335" i="3"/>
  <c r="BC335" i="3"/>
  <c r="BD335" i="3"/>
  <c r="BE335" i="3"/>
  <c r="BF335" i="3"/>
  <c r="BG335" i="3"/>
  <c r="BH335" i="3"/>
  <c r="BI335" i="3"/>
  <c r="BJ335" i="3"/>
  <c r="BK335" i="3"/>
  <c r="BA335" i="3"/>
  <c r="BB336" i="3"/>
  <c r="BC336" i="3"/>
  <c r="BA336" i="3"/>
  <c r="BD336" i="3"/>
  <c r="BE336" i="3"/>
  <c r="BF336" i="3"/>
  <c r="BG336" i="3"/>
  <c r="BH336" i="3"/>
  <c r="BI336" i="3"/>
  <c r="BJ336" i="3"/>
  <c r="BK336" i="3"/>
  <c r="BB337" i="3"/>
  <c r="BC337" i="3"/>
  <c r="BD337" i="3"/>
  <c r="BE337" i="3"/>
  <c r="BF337" i="3"/>
  <c r="BG337" i="3"/>
  <c r="BH337" i="3"/>
  <c r="BI337" i="3"/>
  <c r="BJ337" i="3"/>
  <c r="BK337" i="3"/>
  <c r="BA337" i="3"/>
  <c r="BB338" i="3"/>
  <c r="BC338" i="3"/>
  <c r="BA338" i="3"/>
  <c r="BD338" i="3"/>
  <c r="BE338" i="3"/>
  <c r="BF338" i="3"/>
  <c r="BG338" i="3"/>
  <c r="BH338" i="3"/>
  <c r="BI338" i="3"/>
  <c r="BJ338" i="3"/>
  <c r="BK338" i="3"/>
  <c r="BB339" i="3"/>
  <c r="BC339" i="3"/>
  <c r="BD339" i="3"/>
  <c r="BE339" i="3"/>
  <c r="BF339" i="3"/>
  <c r="BG339" i="3"/>
  <c r="BH339" i="3"/>
  <c r="BI339" i="3"/>
  <c r="BJ339" i="3"/>
  <c r="BK339" i="3"/>
  <c r="BA339" i="3"/>
  <c r="BB340" i="3"/>
  <c r="BC340" i="3"/>
  <c r="BA340" i="3"/>
  <c r="BD340" i="3"/>
  <c r="BE340" i="3"/>
  <c r="BF340" i="3"/>
  <c r="BG340" i="3"/>
  <c r="BH340" i="3"/>
  <c r="BI340" i="3"/>
  <c r="BJ340" i="3"/>
  <c r="BK340" i="3"/>
  <c r="BB341" i="3"/>
  <c r="BC341" i="3"/>
  <c r="BD341" i="3"/>
  <c r="BE341" i="3"/>
  <c r="BF341" i="3"/>
  <c r="BG341" i="3"/>
  <c r="BH341" i="3"/>
  <c r="BI341" i="3"/>
  <c r="BJ341" i="3"/>
  <c r="BK341" i="3"/>
  <c r="BA341" i="3"/>
  <c r="BB342" i="3"/>
  <c r="BC342" i="3"/>
  <c r="BA342" i="3"/>
  <c r="BD342" i="3"/>
  <c r="BE342" i="3"/>
  <c r="BF342" i="3"/>
  <c r="BG342" i="3"/>
  <c r="BH342" i="3"/>
  <c r="BI342" i="3"/>
  <c r="BJ342" i="3"/>
  <c r="BK342" i="3"/>
  <c r="BB343" i="3"/>
  <c r="BC343" i="3"/>
  <c r="BD343" i="3"/>
  <c r="BE343" i="3"/>
  <c r="BF343" i="3"/>
  <c r="BG343" i="3"/>
  <c r="BH343" i="3"/>
  <c r="BI343" i="3"/>
  <c r="BJ343" i="3"/>
  <c r="BK343" i="3"/>
  <c r="BA343" i="3"/>
  <c r="BB344" i="3"/>
  <c r="BC344" i="3"/>
  <c r="BA344" i="3"/>
  <c r="BD344" i="3"/>
  <c r="BE344" i="3"/>
  <c r="BF344" i="3"/>
  <c r="BG344" i="3"/>
  <c r="BH344" i="3"/>
  <c r="BI344" i="3"/>
  <c r="BJ344" i="3"/>
  <c r="BK344" i="3"/>
  <c r="BB345" i="3"/>
  <c r="BC345" i="3"/>
  <c r="BD345" i="3"/>
  <c r="BE345" i="3"/>
  <c r="BF345" i="3"/>
  <c r="BG345" i="3"/>
  <c r="BH345" i="3"/>
  <c r="BI345" i="3"/>
  <c r="BJ345" i="3"/>
  <c r="BK345" i="3"/>
  <c r="BA345" i="3"/>
  <c r="BB346" i="3"/>
  <c r="BC346" i="3"/>
  <c r="BA346" i="3"/>
  <c r="BD346" i="3"/>
  <c r="BE346" i="3"/>
  <c r="BF346" i="3"/>
  <c r="BG346" i="3"/>
  <c r="BH346" i="3"/>
  <c r="BI346" i="3"/>
  <c r="BJ346" i="3"/>
  <c r="BK346" i="3"/>
  <c r="BB347" i="3"/>
  <c r="BC347" i="3"/>
  <c r="BD347" i="3"/>
  <c r="BE347" i="3"/>
  <c r="BF347" i="3"/>
  <c r="BG347" i="3"/>
  <c r="BH347" i="3"/>
  <c r="BI347" i="3"/>
  <c r="BJ347" i="3"/>
  <c r="BK347" i="3"/>
  <c r="BA347" i="3"/>
  <c r="BB348" i="3"/>
  <c r="BC348" i="3"/>
  <c r="BA348" i="3"/>
  <c r="BD348" i="3"/>
  <c r="BE348" i="3"/>
  <c r="BF348" i="3"/>
  <c r="BG348" i="3"/>
  <c r="BH348" i="3"/>
  <c r="BI348" i="3"/>
  <c r="BJ348" i="3"/>
  <c r="BK348" i="3"/>
  <c r="BB349" i="3"/>
  <c r="BC349" i="3"/>
  <c r="BD349" i="3"/>
  <c r="BE349" i="3"/>
  <c r="BF349" i="3"/>
  <c r="BG349" i="3"/>
  <c r="BH349" i="3"/>
  <c r="BI349" i="3"/>
  <c r="BJ349" i="3"/>
  <c r="BK349" i="3"/>
  <c r="BA349" i="3"/>
  <c r="BB350" i="3"/>
  <c r="BC350" i="3"/>
  <c r="BA350" i="3"/>
  <c r="BD350" i="3"/>
  <c r="BE350" i="3"/>
  <c r="BF350" i="3"/>
  <c r="BG350" i="3"/>
  <c r="BH350" i="3"/>
  <c r="BI350" i="3"/>
  <c r="BJ350" i="3"/>
  <c r="BK350" i="3"/>
  <c r="BB351" i="3"/>
  <c r="BC351" i="3"/>
  <c r="BD351" i="3"/>
  <c r="BE351" i="3"/>
  <c r="BF351" i="3"/>
  <c r="BG351" i="3"/>
  <c r="BH351" i="3"/>
  <c r="BI351" i="3"/>
  <c r="BJ351" i="3"/>
  <c r="BK351" i="3"/>
  <c r="BA351" i="3"/>
  <c r="BB352" i="3"/>
  <c r="BC352" i="3"/>
  <c r="BA352" i="3"/>
  <c r="BD352" i="3"/>
  <c r="BE352" i="3"/>
  <c r="BF352" i="3"/>
  <c r="BG352" i="3"/>
  <c r="BH352" i="3"/>
  <c r="BI352" i="3"/>
  <c r="BJ352" i="3"/>
  <c r="BK352" i="3"/>
  <c r="BB353" i="3"/>
  <c r="BC353" i="3"/>
  <c r="BD353" i="3"/>
  <c r="BE353" i="3"/>
  <c r="BF353" i="3"/>
  <c r="BG353" i="3"/>
  <c r="BH353" i="3"/>
  <c r="BI353" i="3"/>
  <c r="BJ353" i="3"/>
  <c r="BK353" i="3"/>
  <c r="BA353" i="3"/>
  <c r="BB354" i="3"/>
  <c r="BC354" i="3"/>
  <c r="BA354" i="3"/>
  <c r="BD354" i="3"/>
  <c r="BE354" i="3"/>
  <c r="BF354" i="3"/>
  <c r="BG354" i="3"/>
  <c r="BH354" i="3"/>
  <c r="BI354" i="3"/>
  <c r="BJ354" i="3"/>
  <c r="BK354" i="3"/>
  <c r="BB355" i="3"/>
  <c r="BC355" i="3"/>
  <c r="BD355" i="3"/>
  <c r="BE355" i="3"/>
  <c r="BF355" i="3"/>
  <c r="BG355" i="3"/>
  <c r="BH355" i="3"/>
  <c r="BI355" i="3"/>
  <c r="BJ355" i="3"/>
  <c r="BK355" i="3"/>
  <c r="BA355" i="3"/>
  <c r="BB356" i="3"/>
  <c r="BC356" i="3"/>
  <c r="BA356" i="3"/>
  <c r="BD356" i="3"/>
  <c r="BE356" i="3"/>
  <c r="BF356" i="3"/>
  <c r="BG356" i="3"/>
  <c r="BH356" i="3"/>
  <c r="BI356" i="3"/>
  <c r="BJ356" i="3"/>
  <c r="BK356" i="3"/>
  <c r="BB357" i="3"/>
  <c r="BC357" i="3"/>
  <c r="BD357" i="3"/>
  <c r="BE357" i="3"/>
  <c r="BF357" i="3"/>
  <c r="BG357" i="3"/>
  <c r="BH357" i="3"/>
  <c r="BI357" i="3"/>
  <c r="BJ357" i="3"/>
  <c r="BK357" i="3"/>
  <c r="BA357" i="3"/>
  <c r="BB358" i="3"/>
  <c r="BC358" i="3"/>
  <c r="BA358" i="3"/>
  <c r="BD358" i="3"/>
  <c r="BE358" i="3"/>
  <c r="BF358" i="3"/>
  <c r="BG358" i="3"/>
  <c r="BH358" i="3"/>
  <c r="BI358" i="3"/>
  <c r="BJ358" i="3"/>
  <c r="BK358" i="3"/>
  <c r="BB359" i="3"/>
  <c r="BC359" i="3"/>
  <c r="BD359" i="3"/>
  <c r="BE359" i="3"/>
  <c r="BF359" i="3"/>
  <c r="BG359" i="3"/>
  <c r="BH359" i="3"/>
  <c r="BI359" i="3"/>
  <c r="BJ359" i="3"/>
  <c r="BK359" i="3"/>
  <c r="BA359" i="3"/>
  <c r="BB360" i="3"/>
  <c r="BC360" i="3"/>
  <c r="BA360" i="3"/>
  <c r="BD360" i="3"/>
  <c r="BE360" i="3"/>
  <c r="BF360" i="3"/>
  <c r="BG360" i="3"/>
  <c r="BH360" i="3"/>
  <c r="BI360" i="3"/>
  <c r="BJ360" i="3"/>
  <c r="BK360" i="3"/>
  <c r="BB361" i="3"/>
  <c r="BC361" i="3"/>
  <c r="BD361" i="3"/>
  <c r="BE361" i="3"/>
  <c r="BF361" i="3"/>
  <c r="BG361" i="3"/>
  <c r="BH361" i="3"/>
  <c r="BI361" i="3"/>
  <c r="BJ361" i="3"/>
  <c r="BK361" i="3"/>
  <c r="BA361" i="3"/>
  <c r="BB362" i="3"/>
  <c r="BC362" i="3"/>
  <c r="BA362" i="3"/>
  <c r="BD362" i="3"/>
  <c r="BE362" i="3"/>
  <c r="BF362" i="3"/>
  <c r="BG362" i="3"/>
  <c r="BH362" i="3"/>
  <c r="BI362" i="3"/>
  <c r="BJ362" i="3"/>
  <c r="BK362" i="3"/>
  <c r="BB363" i="3"/>
  <c r="BC363" i="3"/>
  <c r="BD363" i="3"/>
  <c r="BE363" i="3"/>
  <c r="BF363" i="3"/>
  <c r="BG363" i="3"/>
  <c r="BH363" i="3"/>
  <c r="BI363" i="3"/>
  <c r="BJ363" i="3"/>
  <c r="BK363" i="3"/>
  <c r="BA363" i="3"/>
  <c r="BB364" i="3"/>
  <c r="BC364" i="3"/>
  <c r="BA364" i="3"/>
  <c r="BD364" i="3"/>
  <c r="BE364" i="3"/>
  <c r="BF364" i="3"/>
  <c r="BG364" i="3"/>
  <c r="BH364" i="3"/>
  <c r="BI364" i="3"/>
  <c r="BJ364" i="3"/>
  <c r="BK364" i="3"/>
  <c r="BB365" i="3"/>
  <c r="BC365" i="3"/>
  <c r="BD365" i="3"/>
  <c r="BE365" i="3"/>
  <c r="BF365" i="3"/>
  <c r="BG365" i="3"/>
  <c r="BH365" i="3"/>
  <c r="BI365" i="3"/>
  <c r="BJ365" i="3"/>
  <c r="BK365" i="3"/>
  <c r="BA365" i="3"/>
  <c r="BB366" i="3"/>
  <c r="BC366" i="3"/>
  <c r="BA366" i="3"/>
  <c r="BD366" i="3"/>
  <c r="BE366" i="3"/>
  <c r="BF366" i="3"/>
  <c r="BG366" i="3"/>
  <c r="BH366" i="3"/>
  <c r="BI366" i="3"/>
  <c r="BJ366" i="3"/>
  <c r="BK366" i="3"/>
  <c r="BB367" i="3"/>
  <c r="BC367" i="3"/>
  <c r="BD367" i="3"/>
  <c r="BE367" i="3"/>
  <c r="BF367" i="3"/>
  <c r="BG367" i="3"/>
  <c r="BH367" i="3"/>
  <c r="BI367" i="3"/>
  <c r="BJ367" i="3"/>
  <c r="BK367" i="3"/>
  <c r="BA367" i="3"/>
  <c r="BB368" i="3"/>
  <c r="BC368" i="3"/>
  <c r="BA368" i="3"/>
  <c r="BD368" i="3"/>
  <c r="BE368" i="3"/>
  <c r="BF368" i="3"/>
  <c r="BG368" i="3"/>
  <c r="BH368" i="3"/>
  <c r="BI368" i="3"/>
  <c r="BJ368" i="3"/>
  <c r="BK368" i="3"/>
  <c r="BB369" i="3"/>
  <c r="BC369" i="3"/>
  <c r="BD369" i="3"/>
  <c r="BE369" i="3"/>
  <c r="BF369" i="3"/>
  <c r="BG369" i="3"/>
  <c r="BH369" i="3"/>
  <c r="BI369" i="3"/>
  <c r="BJ369" i="3"/>
  <c r="BK369" i="3"/>
  <c r="BA369" i="3"/>
  <c r="BB370" i="3"/>
  <c r="BC370" i="3"/>
  <c r="BA370" i="3"/>
  <c r="BD370" i="3"/>
  <c r="BE370" i="3"/>
  <c r="BF370" i="3"/>
  <c r="BG370" i="3"/>
  <c r="BH370" i="3"/>
  <c r="BI370" i="3"/>
  <c r="BJ370" i="3"/>
  <c r="BK370" i="3"/>
  <c r="BB371" i="3"/>
  <c r="BC371" i="3"/>
  <c r="BD371" i="3"/>
  <c r="BE371" i="3"/>
  <c r="BF371" i="3"/>
  <c r="BG371" i="3"/>
  <c r="BH371" i="3"/>
  <c r="BI371" i="3"/>
  <c r="BJ371" i="3"/>
  <c r="BK371" i="3"/>
  <c r="BA371" i="3"/>
  <c r="BB372" i="3"/>
  <c r="BC372" i="3"/>
  <c r="BA372" i="3"/>
  <c r="BD372" i="3"/>
  <c r="BE372" i="3"/>
  <c r="BF372" i="3"/>
  <c r="BG372" i="3"/>
  <c r="BH372" i="3"/>
  <c r="BI372" i="3"/>
  <c r="BJ372" i="3"/>
  <c r="BK372" i="3"/>
  <c r="BB373" i="3"/>
  <c r="BC373" i="3"/>
  <c r="BD373" i="3"/>
  <c r="BE373" i="3"/>
  <c r="BF373" i="3"/>
  <c r="BG373" i="3"/>
  <c r="BH373" i="3"/>
  <c r="BI373" i="3"/>
  <c r="BJ373" i="3"/>
  <c r="BK373" i="3"/>
  <c r="BA373" i="3"/>
  <c r="BB374" i="3"/>
  <c r="BC374" i="3"/>
  <c r="BA374" i="3"/>
  <c r="BD374" i="3"/>
  <c r="BE374" i="3"/>
  <c r="BF374" i="3"/>
  <c r="BG374" i="3"/>
  <c r="BH374" i="3"/>
  <c r="BI374" i="3"/>
  <c r="BJ374" i="3"/>
  <c r="BK374" i="3"/>
  <c r="BB375" i="3"/>
  <c r="BC375" i="3"/>
  <c r="BD375" i="3"/>
  <c r="BE375" i="3"/>
  <c r="BF375" i="3"/>
  <c r="BG375" i="3"/>
  <c r="BH375" i="3"/>
  <c r="BI375" i="3"/>
  <c r="BJ375" i="3"/>
  <c r="BK375" i="3"/>
  <c r="BA375" i="3"/>
  <c r="BB376" i="3"/>
  <c r="BC376" i="3"/>
  <c r="BA376" i="3"/>
  <c r="BD376" i="3"/>
  <c r="BE376" i="3"/>
  <c r="BF376" i="3"/>
  <c r="BG376" i="3"/>
  <c r="BH376" i="3"/>
  <c r="BI376" i="3"/>
  <c r="BJ376" i="3"/>
  <c r="BK376" i="3"/>
  <c r="BB377" i="3"/>
  <c r="BC377" i="3"/>
  <c r="BD377" i="3"/>
  <c r="BE377" i="3"/>
  <c r="BF377" i="3"/>
  <c r="BG377" i="3"/>
  <c r="BH377" i="3"/>
  <c r="BI377" i="3"/>
  <c r="BJ377" i="3"/>
  <c r="BK377" i="3"/>
  <c r="BA377" i="3"/>
  <c r="BB378" i="3"/>
  <c r="BC378" i="3"/>
  <c r="BA378" i="3"/>
  <c r="BD378" i="3"/>
  <c r="BE378" i="3"/>
  <c r="BF378" i="3"/>
  <c r="BG378" i="3"/>
  <c r="BH378" i="3"/>
  <c r="BI378" i="3"/>
  <c r="BJ378" i="3"/>
  <c r="BK378" i="3"/>
  <c r="BB379" i="3"/>
  <c r="BC379" i="3"/>
  <c r="BD379" i="3"/>
  <c r="BE379" i="3"/>
  <c r="BF379" i="3"/>
  <c r="BG379" i="3"/>
  <c r="BH379" i="3"/>
  <c r="BI379" i="3"/>
  <c r="BJ379" i="3"/>
  <c r="BK379" i="3"/>
  <c r="BA379" i="3"/>
  <c r="BB380" i="3"/>
  <c r="BC380" i="3"/>
  <c r="BA380" i="3"/>
  <c r="BD380" i="3"/>
  <c r="BE380" i="3"/>
  <c r="BF380" i="3"/>
  <c r="BG380" i="3"/>
  <c r="BH380" i="3"/>
  <c r="BI380" i="3"/>
  <c r="BJ380" i="3"/>
  <c r="BK380" i="3"/>
  <c r="BB381" i="3"/>
  <c r="BC381" i="3"/>
  <c r="BD381" i="3"/>
  <c r="BE381" i="3"/>
  <c r="BF381" i="3"/>
  <c r="BG381" i="3"/>
  <c r="BH381" i="3"/>
  <c r="BI381" i="3"/>
  <c r="BJ381" i="3"/>
  <c r="BK381" i="3"/>
  <c r="BA381" i="3"/>
  <c r="BB382" i="3"/>
  <c r="BC382" i="3"/>
  <c r="BA382" i="3"/>
  <c r="BD382" i="3"/>
  <c r="BE382" i="3"/>
  <c r="BF382" i="3"/>
  <c r="BG382" i="3"/>
  <c r="BH382" i="3"/>
  <c r="BI382" i="3"/>
  <c r="BJ382" i="3"/>
  <c r="BK382" i="3"/>
  <c r="BB383" i="3"/>
  <c r="BC383" i="3"/>
  <c r="BD383" i="3"/>
  <c r="BE383" i="3"/>
  <c r="BF383" i="3"/>
  <c r="BG383" i="3"/>
  <c r="BH383" i="3"/>
  <c r="BI383" i="3"/>
  <c r="BJ383" i="3"/>
  <c r="BK383" i="3"/>
  <c r="BA383" i="3"/>
  <c r="BB384" i="3"/>
  <c r="BC384" i="3"/>
  <c r="BA384" i="3"/>
  <c r="BD384" i="3"/>
  <c r="BE384" i="3"/>
  <c r="BF384" i="3"/>
  <c r="BG384" i="3"/>
  <c r="BH384" i="3"/>
  <c r="BI384" i="3"/>
  <c r="BJ384" i="3"/>
  <c r="BK384" i="3"/>
  <c r="BB385" i="3"/>
  <c r="BC385" i="3"/>
  <c r="BD385" i="3"/>
  <c r="BE385" i="3"/>
  <c r="BF385" i="3"/>
  <c r="BG385" i="3"/>
  <c r="BH385" i="3"/>
  <c r="BI385" i="3"/>
  <c r="BJ385" i="3"/>
  <c r="BK385" i="3"/>
  <c r="BA385" i="3"/>
  <c r="BB386" i="3"/>
  <c r="BC386" i="3"/>
  <c r="BA386" i="3"/>
  <c r="BD386" i="3"/>
  <c r="BE386" i="3"/>
  <c r="BF386" i="3"/>
  <c r="BG386" i="3"/>
  <c r="BH386" i="3"/>
  <c r="BI386" i="3"/>
  <c r="BJ386" i="3"/>
  <c r="BK386" i="3"/>
  <c r="BB387" i="3"/>
  <c r="BC387" i="3"/>
  <c r="BD387" i="3"/>
  <c r="BE387" i="3"/>
  <c r="BF387" i="3"/>
  <c r="BG387" i="3"/>
  <c r="BH387" i="3"/>
  <c r="BI387" i="3"/>
  <c r="BJ387" i="3"/>
  <c r="BK387" i="3"/>
  <c r="BA387" i="3"/>
  <c r="BB388" i="3"/>
  <c r="BC388" i="3"/>
  <c r="BA388" i="3"/>
  <c r="BD388" i="3"/>
  <c r="BE388" i="3"/>
  <c r="BF388" i="3"/>
  <c r="BG388" i="3"/>
  <c r="BH388" i="3"/>
  <c r="BI388" i="3"/>
  <c r="BJ388" i="3"/>
  <c r="BK388" i="3"/>
  <c r="BB389" i="3"/>
  <c r="BC389" i="3"/>
  <c r="BD389" i="3"/>
  <c r="BE389" i="3"/>
  <c r="BF389" i="3"/>
  <c r="BG389" i="3"/>
  <c r="BH389" i="3"/>
  <c r="BI389" i="3"/>
  <c r="BJ389" i="3"/>
  <c r="BK389" i="3"/>
  <c r="BA389" i="3"/>
  <c r="BB390" i="3"/>
  <c r="BC390" i="3"/>
  <c r="BA390" i="3"/>
  <c r="BD390" i="3"/>
  <c r="BE390" i="3"/>
  <c r="BF390" i="3"/>
  <c r="BG390" i="3"/>
  <c r="BH390" i="3"/>
  <c r="BI390" i="3"/>
  <c r="BJ390" i="3"/>
  <c r="BK390" i="3"/>
  <c r="BB391" i="3"/>
  <c r="BC391" i="3"/>
  <c r="BD391" i="3"/>
  <c r="BE391" i="3"/>
  <c r="BF391" i="3"/>
  <c r="BG391" i="3"/>
  <c r="BH391" i="3"/>
  <c r="BI391" i="3"/>
  <c r="BJ391" i="3"/>
  <c r="BK391" i="3"/>
  <c r="BA391" i="3"/>
  <c r="BB392" i="3"/>
  <c r="BC392" i="3"/>
  <c r="BA392" i="3"/>
  <c r="BD392" i="3"/>
  <c r="BE392" i="3"/>
  <c r="BF392" i="3"/>
  <c r="BG392" i="3"/>
  <c r="BH392" i="3"/>
  <c r="BI392" i="3"/>
  <c r="BJ392" i="3"/>
  <c r="BK392" i="3"/>
  <c r="BB393" i="3"/>
  <c r="BC393" i="3"/>
  <c r="BD393" i="3"/>
  <c r="BE393" i="3"/>
  <c r="BF393" i="3"/>
  <c r="BG393" i="3"/>
  <c r="BH393" i="3"/>
  <c r="BI393" i="3"/>
  <c r="BJ393" i="3"/>
  <c r="BK393" i="3"/>
  <c r="BA393" i="3"/>
  <c r="BB394" i="3"/>
  <c r="BC394" i="3"/>
  <c r="BA394" i="3"/>
  <c r="BD394" i="3"/>
  <c r="BE394" i="3"/>
  <c r="BF394" i="3"/>
  <c r="BG394" i="3"/>
  <c r="BH394" i="3"/>
  <c r="BI394" i="3"/>
  <c r="BJ394" i="3"/>
  <c r="BK394" i="3"/>
  <c r="BB395" i="3"/>
  <c r="BC395" i="3"/>
  <c r="BD395" i="3"/>
  <c r="BE395" i="3"/>
  <c r="BF395" i="3"/>
  <c r="BG395" i="3"/>
  <c r="BH395" i="3"/>
  <c r="BI395" i="3"/>
  <c r="BJ395" i="3"/>
  <c r="BK395" i="3"/>
  <c r="BA395" i="3"/>
  <c r="BB396" i="3"/>
  <c r="BC396" i="3"/>
  <c r="BA396" i="3"/>
  <c r="BD396" i="3"/>
  <c r="BE396" i="3"/>
  <c r="BF396" i="3"/>
  <c r="BG396" i="3"/>
  <c r="BH396" i="3"/>
  <c r="BI396" i="3"/>
  <c r="BJ396" i="3"/>
  <c r="BK396" i="3"/>
  <c r="BB397" i="3"/>
  <c r="BC397" i="3"/>
  <c r="BD397" i="3"/>
  <c r="BE397" i="3"/>
  <c r="BF397" i="3"/>
  <c r="BG397" i="3"/>
  <c r="BH397" i="3"/>
  <c r="BI397" i="3"/>
  <c r="BJ397" i="3"/>
  <c r="BK397" i="3"/>
  <c r="BA397" i="3"/>
  <c r="BB398" i="3"/>
  <c r="BC398" i="3"/>
  <c r="BA398" i="3"/>
  <c r="BD398" i="3"/>
  <c r="BE398" i="3"/>
  <c r="BF398" i="3"/>
  <c r="BG398" i="3"/>
  <c r="BH398" i="3"/>
  <c r="BI398" i="3"/>
  <c r="BJ398" i="3"/>
  <c r="BK398" i="3"/>
  <c r="BB399" i="3"/>
  <c r="BC399" i="3"/>
  <c r="BD399" i="3"/>
  <c r="BE399" i="3"/>
  <c r="BF399" i="3"/>
  <c r="BG399" i="3"/>
  <c r="BH399" i="3"/>
  <c r="BI399" i="3"/>
  <c r="BJ399" i="3"/>
  <c r="BK399" i="3"/>
  <c r="BA399" i="3"/>
  <c r="BB400" i="3"/>
  <c r="BC400" i="3"/>
  <c r="BA400" i="3"/>
  <c r="BD400" i="3"/>
  <c r="BE400" i="3"/>
  <c r="BF400" i="3"/>
  <c r="BG400" i="3"/>
  <c r="BH400" i="3"/>
  <c r="BI400" i="3"/>
  <c r="BJ400" i="3"/>
  <c r="BK400" i="3"/>
  <c r="BB401" i="3"/>
  <c r="BC401" i="3"/>
  <c r="BD401" i="3"/>
  <c r="BE401" i="3"/>
  <c r="BF401" i="3"/>
  <c r="BG401" i="3"/>
  <c r="BH401" i="3"/>
  <c r="BI401" i="3"/>
  <c r="BJ401" i="3"/>
  <c r="BK401" i="3"/>
  <c r="BA401" i="3"/>
  <c r="BB402" i="3"/>
  <c r="BC402" i="3"/>
  <c r="BA402" i="3"/>
  <c r="BD402" i="3"/>
  <c r="BE402" i="3"/>
  <c r="BF402" i="3"/>
  <c r="BG402" i="3"/>
  <c r="BH402" i="3"/>
  <c r="BI402" i="3"/>
  <c r="BJ402" i="3"/>
  <c r="BK402" i="3"/>
  <c r="BB403" i="3"/>
  <c r="BC403" i="3"/>
  <c r="BD403" i="3"/>
  <c r="BE403" i="3"/>
  <c r="BF403" i="3"/>
  <c r="BG403" i="3"/>
  <c r="BH403" i="3"/>
  <c r="BI403" i="3"/>
  <c r="BJ403" i="3"/>
  <c r="BK403" i="3"/>
  <c r="BA403" i="3"/>
  <c r="BB404" i="3"/>
  <c r="BC404" i="3"/>
  <c r="BA404" i="3"/>
  <c r="BD404" i="3"/>
  <c r="BE404" i="3"/>
  <c r="BF404" i="3"/>
  <c r="BG404" i="3"/>
  <c r="BH404" i="3"/>
  <c r="BI404" i="3"/>
  <c r="BJ404" i="3"/>
  <c r="BK404" i="3"/>
  <c r="BB405" i="3"/>
  <c r="BC405" i="3"/>
  <c r="BD405" i="3"/>
  <c r="BE405" i="3"/>
  <c r="BF405" i="3"/>
  <c r="BG405" i="3"/>
  <c r="BH405" i="3"/>
  <c r="BI405" i="3"/>
  <c r="BJ405" i="3"/>
  <c r="BK405" i="3"/>
  <c r="BA405" i="3"/>
  <c r="BB406" i="3"/>
  <c r="BC406" i="3"/>
  <c r="BA406" i="3"/>
  <c r="BD406" i="3"/>
  <c r="BE406" i="3"/>
  <c r="BF406" i="3"/>
  <c r="BG406" i="3"/>
  <c r="BH406" i="3"/>
  <c r="BI406" i="3"/>
  <c r="BJ406" i="3"/>
  <c r="BK406" i="3"/>
  <c r="BB407" i="3"/>
  <c r="BC407" i="3"/>
  <c r="BD407" i="3"/>
  <c r="BE407" i="3"/>
  <c r="BF407" i="3"/>
  <c r="BG407" i="3"/>
  <c r="BH407" i="3"/>
  <c r="BI407" i="3"/>
  <c r="BJ407" i="3"/>
  <c r="BK407" i="3"/>
  <c r="BA407" i="3"/>
  <c r="BB408" i="3"/>
  <c r="BC408" i="3"/>
  <c r="BA408" i="3"/>
  <c r="BD408" i="3"/>
  <c r="BE408" i="3"/>
  <c r="BF408" i="3"/>
  <c r="BG408" i="3"/>
  <c r="BH408" i="3"/>
  <c r="BI408" i="3"/>
  <c r="BJ408" i="3"/>
  <c r="BK408" i="3"/>
  <c r="BB409" i="3"/>
  <c r="BC409" i="3"/>
  <c r="BD409" i="3"/>
  <c r="BE409" i="3"/>
  <c r="BF409" i="3"/>
  <c r="BG409" i="3"/>
  <c r="BH409" i="3"/>
  <c r="BI409" i="3"/>
  <c r="BJ409" i="3"/>
  <c r="BK409" i="3"/>
  <c r="BA409" i="3"/>
  <c r="BB410" i="3"/>
  <c r="BC410" i="3"/>
  <c r="BA410" i="3"/>
  <c r="BD410" i="3"/>
  <c r="BE410" i="3"/>
  <c r="BF410" i="3"/>
  <c r="BG410" i="3"/>
  <c r="BH410" i="3"/>
  <c r="BI410" i="3"/>
  <c r="BJ410" i="3"/>
  <c r="BK410" i="3"/>
  <c r="BB411" i="3"/>
  <c r="BC411" i="3"/>
  <c r="BD411" i="3"/>
  <c r="BE411" i="3"/>
  <c r="BF411" i="3"/>
  <c r="BG411" i="3"/>
  <c r="BH411" i="3"/>
  <c r="BI411" i="3"/>
  <c r="BJ411" i="3"/>
  <c r="BK411" i="3"/>
  <c r="BA411" i="3"/>
  <c r="BB412" i="3"/>
  <c r="BC412" i="3"/>
  <c r="BA412" i="3"/>
  <c r="BD412" i="3"/>
  <c r="BE412" i="3"/>
  <c r="BF412" i="3"/>
  <c r="BG412" i="3"/>
  <c r="BH412" i="3"/>
  <c r="BI412" i="3"/>
  <c r="BJ412" i="3"/>
  <c r="BK412" i="3"/>
  <c r="BB413" i="3"/>
  <c r="BC413" i="3"/>
  <c r="BD413" i="3"/>
  <c r="BE413" i="3"/>
  <c r="BF413" i="3"/>
  <c r="BG413" i="3"/>
  <c r="BH413" i="3"/>
  <c r="BI413" i="3"/>
  <c r="BJ413" i="3"/>
  <c r="BK413" i="3"/>
  <c r="BA413" i="3"/>
  <c r="BB414" i="3"/>
  <c r="BC414" i="3"/>
  <c r="BA414" i="3"/>
  <c r="BD414" i="3"/>
  <c r="BE414" i="3"/>
  <c r="BF414" i="3"/>
  <c r="BG414" i="3"/>
  <c r="BH414" i="3"/>
  <c r="BI414" i="3"/>
  <c r="BJ414" i="3"/>
  <c r="BK414" i="3"/>
  <c r="BB415" i="3"/>
  <c r="BC415" i="3"/>
  <c r="BD415" i="3"/>
  <c r="BE415" i="3"/>
  <c r="BF415" i="3"/>
  <c r="BG415" i="3"/>
  <c r="BH415" i="3"/>
  <c r="BI415" i="3"/>
  <c r="BJ415" i="3"/>
  <c r="BK415" i="3"/>
  <c r="BA415" i="3"/>
  <c r="BB416" i="3"/>
  <c r="BC416" i="3"/>
  <c r="BA416" i="3"/>
  <c r="BD416" i="3"/>
  <c r="BE416" i="3"/>
  <c r="BF416" i="3"/>
  <c r="BG416" i="3"/>
  <c r="BH416" i="3"/>
  <c r="BI416" i="3"/>
  <c r="BJ416" i="3"/>
  <c r="BK416" i="3"/>
  <c r="BB417" i="3"/>
  <c r="BC417" i="3"/>
  <c r="BD417" i="3"/>
  <c r="BE417" i="3"/>
  <c r="BF417" i="3"/>
  <c r="BG417" i="3"/>
  <c r="BH417" i="3"/>
  <c r="BI417" i="3"/>
  <c r="BJ417" i="3"/>
  <c r="BK417" i="3"/>
  <c r="BA417" i="3"/>
  <c r="BB418" i="3"/>
  <c r="BC418" i="3"/>
  <c r="BA418" i="3"/>
  <c r="BD418" i="3"/>
  <c r="BE418" i="3"/>
  <c r="BF418" i="3"/>
  <c r="BG418" i="3"/>
  <c r="BH418" i="3"/>
  <c r="BI418" i="3"/>
  <c r="BJ418" i="3"/>
  <c r="BK418" i="3"/>
  <c r="BB419" i="3"/>
  <c r="BC419" i="3"/>
  <c r="BD419" i="3"/>
  <c r="BE419" i="3"/>
  <c r="BF419" i="3"/>
  <c r="BG419" i="3"/>
  <c r="BH419" i="3"/>
  <c r="BI419" i="3"/>
  <c r="BJ419" i="3"/>
  <c r="BK419" i="3"/>
  <c r="BA419" i="3"/>
  <c r="BB420" i="3"/>
  <c r="BC420" i="3"/>
  <c r="BA420" i="3"/>
  <c r="BD420" i="3"/>
  <c r="BE420" i="3"/>
  <c r="BF420" i="3"/>
  <c r="BG420" i="3"/>
  <c r="BH420" i="3"/>
  <c r="BI420" i="3"/>
  <c r="BJ420" i="3"/>
  <c r="BK420" i="3"/>
  <c r="BB421" i="3"/>
  <c r="BC421" i="3"/>
  <c r="BD421" i="3"/>
  <c r="BE421" i="3"/>
  <c r="BF421" i="3"/>
  <c r="BG421" i="3"/>
  <c r="BH421" i="3"/>
  <c r="BI421" i="3"/>
  <c r="BJ421" i="3"/>
  <c r="BK421" i="3"/>
  <c r="BA421" i="3"/>
  <c r="BB422" i="3"/>
  <c r="BC422" i="3"/>
  <c r="BA422" i="3"/>
  <c r="BD422" i="3"/>
  <c r="BE422" i="3"/>
  <c r="BF422" i="3"/>
  <c r="BG422" i="3"/>
  <c r="BH422" i="3"/>
  <c r="BI422" i="3"/>
  <c r="BJ422" i="3"/>
  <c r="BK422" i="3"/>
  <c r="BB423" i="3"/>
  <c r="BC423" i="3"/>
  <c r="BD423" i="3"/>
  <c r="BE423" i="3"/>
  <c r="BF423" i="3"/>
  <c r="BG423" i="3"/>
  <c r="BH423" i="3"/>
  <c r="BI423" i="3"/>
  <c r="BJ423" i="3"/>
  <c r="BK423" i="3"/>
  <c r="BA423" i="3"/>
  <c r="BB424" i="3"/>
  <c r="BC424" i="3"/>
  <c r="BA424" i="3"/>
  <c r="BD424" i="3"/>
  <c r="BE424" i="3"/>
  <c r="BF424" i="3"/>
  <c r="BG424" i="3"/>
  <c r="BH424" i="3"/>
  <c r="BI424" i="3"/>
  <c r="BJ424" i="3"/>
  <c r="BK424" i="3"/>
  <c r="BB425" i="3"/>
  <c r="BC425" i="3"/>
  <c r="BD425" i="3"/>
  <c r="BE425" i="3"/>
  <c r="BF425" i="3"/>
  <c r="BG425" i="3"/>
  <c r="BH425" i="3"/>
  <c r="BI425" i="3"/>
  <c r="BJ425" i="3"/>
  <c r="BK425" i="3"/>
  <c r="BA425" i="3"/>
  <c r="BB426" i="3"/>
  <c r="BC426" i="3"/>
  <c r="BA426" i="3"/>
  <c r="BD426" i="3"/>
  <c r="BE426" i="3"/>
  <c r="BF426" i="3"/>
  <c r="BG426" i="3"/>
  <c r="BH426" i="3"/>
  <c r="BI426" i="3"/>
  <c r="BJ426" i="3"/>
  <c r="BK426" i="3"/>
  <c r="BB427" i="3"/>
  <c r="BC427" i="3"/>
  <c r="BD427" i="3"/>
  <c r="BE427" i="3"/>
  <c r="BF427" i="3"/>
  <c r="BG427" i="3"/>
  <c r="BH427" i="3"/>
  <c r="BI427" i="3"/>
  <c r="BJ427" i="3"/>
  <c r="BK427" i="3"/>
  <c r="BA427" i="3"/>
  <c r="BB428" i="3"/>
  <c r="BC428" i="3"/>
  <c r="BA428" i="3"/>
  <c r="BD428" i="3"/>
  <c r="BE428" i="3"/>
  <c r="BF428" i="3"/>
  <c r="BG428" i="3"/>
  <c r="BH428" i="3"/>
  <c r="BI428" i="3"/>
  <c r="BJ428" i="3"/>
  <c r="BK428" i="3"/>
  <c r="BB429" i="3"/>
  <c r="BC429" i="3"/>
  <c r="BD429" i="3"/>
  <c r="BE429" i="3"/>
  <c r="BF429" i="3"/>
  <c r="BG429" i="3"/>
  <c r="BH429" i="3"/>
  <c r="BI429" i="3"/>
  <c r="BJ429" i="3"/>
  <c r="BK429" i="3"/>
  <c r="BA429" i="3"/>
  <c r="BB430" i="3"/>
  <c r="BC430" i="3"/>
  <c r="BA430" i="3"/>
  <c r="BD430" i="3"/>
  <c r="BE430" i="3"/>
  <c r="BF430" i="3"/>
  <c r="BG430" i="3"/>
  <c r="BH430" i="3"/>
  <c r="BI430" i="3"/>
  <c r="BJ430" i="3"/>
  <c r="BK430" i="3"/>
  <c r="BB431" i="3"/>
  <c r="BC431" i="3"/>
  <c r="BD431" i="3"/>
  <c r="BE431" i="3"/>
  <c r="BF431" i="3"/>
  <c r="BG431" i="3"/>
  <c r="BH431" i="3"/>
  <c r="BI431" i="3"/>
  <c r="BJ431" i="3"/>
  <c r="BK431" i="3"/>
  <c r="BA431" i="3"/>
  <c r="BB432" i="3"/>
  <c r="BC432" i="3"/>
  <c r="BA432" i="3"/>
  <c r="BD432" i="3"/>
  <c r="BE432" i="3"/>
  <c r="BF432" i="3"/>
  <c r="BG432" i="3"/>
  <c r="BH432" i="3"/>
  <c r="BI432" i="3"/>
  <c r="BJ432" i="3"/>
  <c r="BK432" i="3"/>
  <c r="BB433" i="3"/>
  <c r="BC433" i="3"/>
  <c r="BD433" i="3"/>
  <c r="BE433" i="3"/>
  <c r="BF433" i="3"/>
  <c r="BG433" i="3"/>
  <c r="BH433" i="3"/>
  <c r="BI433" i="3"/>
  <c r="BJ433" i="3"/>
  <c r="BK433" i="3"/>
  <c r="BA433" i="3"/>
  <c r="BB434" i="3"/>
  <c r="BC434" i="3"/>
  <c r="BA434" i="3"/>
  <c r="BD434" i="3"/>
  <c r="BE434" i="3"/>
  <c r="BF434" i="3"/>
  <c r="BG434" i="3"/>
  <c r="BH434" i="3"/>
  <c r="BI434" i="3"/>
  <c r="BJ434" i="3"/>
  <c r="BK434" i="3"/>
  <c r="BB435" i="3"/>
  <c r="BC435" i="3"/>
  <c r="BD435" i="3"/>
  <c r="BE435" i="3"/>
  <c r="BF435" i="3"/>
  <c r="BG435" i="3"/>
  <c r="BH435" i="3"/>
  <c r="BI435" i="3"/>
  <c r="BJ435" i="3"/>
  <c r="BK435" i="3"/>
  <c r="BA435" i="3"/>
  <c r="BB436" i="3"/>
  <c r="BC436" i="3"/>
  <c r="BA436" i="3"/>
  <c r="BD436" i="3"/>
  <c r="BE436" i="3"/>
  <c r="BF436" i="3"/>
  <c r="BG436" i="3"/>
  <c r="BH436" i="3"/>
  <c r="BI436" i="3"/>
  <c r="BJ436" i="3"/>
  <c r="BK436" i="3"/>
  <c r="BB437" i="3"/>
  <c r="BC437" i="3"/>
  <c r="BD437" i="3"/>
  <c r="BE437" i="3"/>
  <c r="BF437" i="3"/>
  <c r="BG437" i="3"/>
  <c r="BH437" i="3"/>
  <c r="BI437" i="3"/>
  <c r="BJ437" i="3"/>
  <c r="BK437" i="3"/>
  <c r="BA437" i="3"/>
  <c r="BB438" i="3"/>
  <c r="BC438" i="3"/>
  <c r="BA438" i="3"/>
  <c r="BD438" i="3"/>
  <c r="BE438" i="3"/>
  <c r="BF438" i="3"/>
  <c r="BG438" i="3"/>
  <c r="BH438" i="3"/>
  <c r="BI438" i="3"/>
  <c r="BJ438" i="3"/>
  <c r="BK438" i="3"/>
  <c r="BB439" i="3"/>
  <c r="BC439" i="3"/>
  <c r="BD439" i="3"/>
  <c r="BE439" i="3"/>
  <c r="BF439" i="3"/>
  <c r="BG439" i="3"/>
  <c r="BH439" i="3"/>
  <c r="BI439" i="3"/>
  <c r="BJ439" i="3"/>
  <c r="BK439" i="3"/>
  <c r="BA439" i="3"/>
  <c r="BB440" i="3"/>
  <c r="BC440" i="3"/>
  <c r="BA440" i="3"/>
  <c r="BD440" i="3"/>
  <c r="BE440" i="3"/>
  <c r="BF440" i="3"/>
  <c r="BG440" i="3"/>
  <c r="BH440" i="3"/>
  <c r="BI440" i="3"/>
  <c r="BJ440" i="3"/>
  <c r="BK440" i="3"/>
  <c r="BB441" i="3"/>
  <c r="BC441" i="3"/>
  <c r="BD441" i="3"/>
  <c r="BE441" i="3"/>
  <c r="BF441" i="3"/>
  <c r="BG441" i="3"/>
  <c r="BH441" i="3"/>
  <c r="BI441" i="3"/>
  <c r="BJ441" i="3"/>
  <c r="BK441" i="3"/>
  <c r="BA441" i="3"/>
  <c r="BB442" i="3"/>
  <c r="BC442" i="3"/>
  <c r="BA442" i="3"/>
  <c r="BD442" i="3"/>
  <c r="BE442" i="3"/>
  <c r="BF442" i="3"/>
  <c r="BG442" i="3"/>
  <c r="BH442" i="3"/>
  <c r="BI442" i="3"/>
  <c r="BJ442" i="3"/>
  <c r="BK442" i="3"/>
  <c r="BB443" i="3"/>
  <c r="BC443" i="3"/>
  <c r="BD443" i="3"/>
  <c r="BE443" i="3"/>
  <c r="BF443" i="3"/>
  <c r="BG443" i="3"/>
  <c r="BH443" i="3"/>
  <c r="BI443" i="3"/>
  <c r="BJ443" i="3"/>
  <c r="BK443" i="3"/>
  <c r="BA443" i="3"/>
  <c r="BB444" i="3"/>
  <c r="BC444" i="3"/>
  <c r="BA444" i="3"/>
  <c r="BD444" i="3"/>
  <c r="BE444" i="3"/>
  <c r="BF444" i="3"/>
  <c r="BG444" i="3"/>
  <c r="BH444" i="3"/>
  <c r="BI444" i="3"/>
  <c r="BJ444" i="3"/>
  <c r="BK444" i="3"/>
  <c r="BB445" i="3"/>
  <c r="BC445" i="3"/>
  <c r="BD445" i="3"/>
  <c r="BE445" i="3"/>
  <c r="BF445" i="3"/>
  <c r="BG445" i="3"/>
  <c r="BH445" i="3"/>
  <c r="BI445" i="3"/>
  <c r="BJ445" i="3"/>
  <c r="BK445" i="3"/>
  <c r="BA445" i="3"/>
  <c r="BB446" i="3"/>
  <c r="BC446" i="3"/>
  <c r="BA446" i="3"/>
  <c r="BD446" i="3"/>
  <c r="BE446" i="3"/>
  <c r="BF446" i="3"/>
  <c r="BG446" i="3"/>
  <c r="BH446" i="3"/>
  <c r="BI446" i="3"/>
  <c r="BJ446" i="3"/>
  <c r="BK446" i="3"/>
  <c r="BB447" i="3"/>
  <c r="BC447" i="3"/>
  <c r="BD447" i="3"/>
  <c r="BE447" i="3"/>
  <c r="BF447" i="3"/>
  <c r="BG447" i="3"/>
  <c r="BH447" i="3"/>
  <c r="BI447" i="3"/>
  <c r="BJ447" i="3"/>
  <c r="BK447" i="3"/>
  <c r="BA447" i="3"/>
  <c r="BB448" i="3"/>
  <c r="BC448" i="3"/>
  <c r="BA448" i="3"/>
  <c r="BD448" i="3"/>
  <c r="BE448" i="3"/>
  <c r="BF448" i="3"/>
  <c r="BG448" i="3"/>
  <c r="BH448" i="3"/>
  <c r="BI448" i="3"/>
  <c r="BJ448" i="3"/>
  <c r="BK448" i="3"/>
  <c r="BB449" i="3"/>
  <c r="BC449" i="3"/>
  <c r="BD449" i="3"/>
  <c r="BE449" i="3"/>
  <c r="BF449" i="3"/>
  <c r="BG449" i="3"/>
  <c r="BH449" i="3"/>
  <c r="BI449" i="3"/>
  <c r="BJ449" i="3"/>
  <c r="BK449" i="3"/>
  <c r="BA449" i="3"/>
  <c r="BB450" i="3"/>
  <c r="BC450" i="3"/>
  <c r="BA450" i="3"/>
  <c r="BD450" i="3"/>
  <c r="BE450" i="3"/>
  <c r="BF450" i="3"/>
  <c r="BG450" i="3"/>
  <c r="BH450" i="3"/>
  <c r="BI450" i="3"/>
  <c r="BJ450" i="3"/>
  <c r="BK450" i="3"/>
  <c r="BB451" i="3"/>
  <c r="BC451" i="3"/>
  <c r="BD451" i="3"/>
  <c r="BE451" i="3"/>
  <c r="BF451" i="3"/>
  <c r="BG451" i="3"/>
  <c r="BH451" i="3"/>
  <c r="BI451" i="3"/>
  <c r="BJ451" i="3"/>
  <c r="BK451" i="3"/>
  <c r="BA451" i="3"/>
  <c r="BB452" i="3"/>
  <c r="BC452" i="3"/>
  <c r="BA452" i="3"/>
  <c r="BD452" i="3"/>
  <c r="BE452" i="3"/>
  <c r="BF452" i="3"/>
  <c r="BG452" i="3"/>
  <c r="BH452" i="3"/>
  <c r="BI452" i="3"/>
  <c r="BJ452" i="3"/>
  <c r="BK452" i="3"/>
  <c r="BB453" i="3"/>
  <c r="BC453" i="3"/>
  <c r="BD453" i="3"/>
  <c r="BE453" i="3"/>
  <c r="BF453" i="3"/>
  <c r="BG453" i="3"/>
  <c r="BH453" i="3"/>
  <c r="BI453" i="3"/>
  <c r="BJ453" i="3"/>
  <c r="BK453" i="3"/>
  <c r="BA453" i="3"/>
  <c r="BB454" i="3"/>
  <c r="BC454" i="3"/>
  <c r="BA454" i="3"/>
  <c r="BD454" i="3"/>
  <c r="BE454" i="3"/>
  <c r="BF454" i="3"/>
  <c r="BG454" i="3"/>
  <c r="BH454" i="3"/>
  <c r="BI454" i="3"/>
  <c r="BJ454" i="3"/>
  <c r="BK454" i="3"/>
  <c r="BB455" i="3"/>
  <c r="BC455" i="3"/>
  <c r="BD455" i="3"/>
  <c r="BE455" i="3"/>
  <c r="BF455" i="3"/>
  <c r="BG455" i="3"/>
  <c r="BH455" i="3"/>
  <c r="BI455" i="3"/>
  <c r="BJ455" i="3"/>
  <c r="BK455" i="3"/>
  <c r="BA455" i="3"/>
  <c r="BB456" i="3"/>
  <c r="BC456" i="3"/>
  <c r="BA456" i="3"/>
  <c r="BD456" i="3"/>
  <c r="BE456" i="3"/>
  <c r="BF456" i="3"/>
  <c r="BG456" i="3"/>
  <c r="BH456" i="3"/>
  <c r="BI456" i="3"/>
  <c r="BJ456" i="3"/>
  <c r="BK456" i="3"/>
  <c r="BB457" i="3"/>
  <c r="BC457" i="3"/>
  <c r="BD457" i="3"/>
  <c r="BE457" i="3"/>
  <c r="BF457" i="3"/>
  <c r="BG457" i="3"/>
  <c r="BH457" i="3"/>
  <c r="BI457" i="3"/>
  <c r="BJ457" i="3"/>
  <c r="BK457" i="3"/>
  <c r="BA457" i="3"/>
  <c r="BB458" i="3"/>
  <c r="BC458" i="3"/>
  <c r="BA458" i="3"/>
  <c r="BD458" i="3"/>
  <c r="BE458" i="3"/>
  <c r="BF458" i="3"/>
  <c r="BG458" i="3"/>
  <c r="BH458" i="3"/>
  <c r="BI458" i="3"/>
  <c r="BJ458" i="3"/>
  <c r="BK458" i="3"/>
  <c r="BB459" i="3"/>
  <c r="BC459" i="3"/>
  <c r="BD459" i="3"/>
  <c r="BE459" i="3"/>
  <c r="BF459" i="3"/>
  <c r="BG459" i="3"/>
  <c r="BH459" i="3"/>
  <c r="BI459" i="3"/>
  <c r="BJ459" i="3"/>
  <c r="BK459" i="3"/>
  <c r="BA459" i="3"/>
  <c r="BB460" i="3"/>
  <c r="BC460" i="3"/>
  <c r="BA460" i="3"/>
  <c r="BD460" i="3"/>
  <c r="BE460" i="3"/>
  <c r="BF460" i="3"/>
  <c r="BG460" i="3"/>
  <c r="BH460" i="3"/>
  <c r="BI460" i="3"/>
  <c r="BJ460" i="3"/>
  <c r="BK460" i="3"/>
  <c r="BB461" i="3"/>
  <c r="BC461" i="3"/>
  <c r="BD461" i="3"/>
  <c r="BE461" i="3"/>
  <c r="BF461" i="3"/>
  <c r="BG461" i="3"/>
  <c r="BH461" i="3"/>
  <c r="BI461" i="3"/>
  <c r="BJ461" i="3"/>
  <c r="BK461" i="3"/>
  <c r="BA461" i="3"/>
  <c r="BB462" i="3"/>
  <c r="BC462" i="3"/>
  <c r="BA462" i="3"/>
  <c r="BD462" i="3"/>
  <c r="BE462" i="3"/>
  <c r="BF462" i="3"/>
  <c r="BG462" i="3"/>
  <c r="BH462" i="3"/>
  <c r="BI462" i="3"/>
  <c r="BJ462" i="3"/>
  <c r="BK462" i="3"/>
  <c r="BB463" i="3"/>
  <c r="BC463" i="3"/>
  <c r="BD463" i="3"/>
  <c r="BE463" i="3"/>
  <c r="BF463" i="3"/>
  <c r="BG463" i="3"/>
  <c r="BH463" i="3"/>
  <c r="BI463" i="3"/>
  <c r="BJ463" i="3"/>
  <c r="BK463" i="3"/>
  <c r="BA463" i="3"/>
  <c r="BB464" i="3"/>
  <c r="BC464" i="3"/>
  <c r="BA464" i="3"/>
  <c r="BD464" i="3"/>
  <c r="BE464" i="3"/>
  <c r="BF464" i="3"/>
  <c r="BG464" i="3"/>
  <c r="BH464" i="3"/>
  <c r="BI464" i="3"/>
  <c r="BJ464" i="3"/>
  <c r="BK464" i="3"/>
  <c r="BB465" i="3"/>
  <c r="BC465" i="3"/>
  <c r="BD465" i="3"/>
  <c r="BE465" i="3"/>
  <c r="BF465" i="3"/>
  <c r="BG465" i="3"/>
  <c r="BH465" i="3"/>
  <c r="BI465" i="3"/>
  <c r="BJ465" i="3"/>
  <c r="BK465" i="3"/>
  <c r="BA465" i="3"/>
  <c r="BB466" i="3"/>
  <c r="BC466" i="3"/>
  <c r="BA466" i="3"/>
  <c r="BD466" i="3"/>
  <c r="BE466" i="3"/>
  <c r="BF466" i="3"/>
  <c r="BG466" i="3"/>
  <c r="BH466" i="3"/>
  <c r="BI466" i="3"/>
  <c r="BJ466" i="3"/>
  <c r="BK466" i="3"/>
  <c r="BB467" i="3"/>
  <c r="BC467" i="3"/>
  <c r="BD467" i="3"/>
  <c r="BE467" i="3"/>
  <c r="BF467" i="3"/>
  <c r="BG467" i="3"/>
  <c r="BH467" i="3"/>
  <c r="BI467" i="3"/>
  <c r="BJ467" i="3"/>
  <c r="BK467" i="3"/>
  <c r="BA467" i="3"/>
  <c r="BB468" i="3"/>
  <c r="BC468" i="3"/>
  <c r="BA468" i="3"/>
  <c r="BD468" i="3"/>
  <c r="BE468" i="3"/>
  <c r="BF468" i="3"/>
  <c r="BG468" i="3"/>
  <c r="BH468" i="3"/>
  <c r="BI468" i="3"/>
  <c r="BJ468" i="3"/>
  <c r="BK468" i="3"/>
  <c r="BB469" i="3"/>
  <c r="BC469" i="3"/>
  <c r="BD469" i="3"/>
  <c r="BE469" i="3"/>
  <c r="BF469" i="3"/>
  <c r="BG469" i="3"/>
  <c r="BH469" i="3"/>
  <c r="BI469" i="3"/>
  <c r="BJ469" i="3"/>
  <c r="BK469" i="3"/>
  <c r="BA469" i="3"/>
  <c r="BB470" i="3"/>
  <c r="BC470" i="3"/>
  <c r="BA470" i="3"/>
  <c r="BD470" i="3"/>
  <c r="BE470" i="3"/>
  <c r="BF470" i="3"/>
  <c r="BG470" i="3"/>
  <c r="BH470" i="3"/>
  <c r="BI470" i="3"/>
  <c r="BJ470" i="3"/>
  <c r="BK470" i="3"/>
  <c r="BB471" i="3"/>
  <c r="BC471" i="3"/>
  <c r="BD471" i="3"/>
  <c r="BE471" i="3"/>
  <c r="BF471" i="3"/>
  <c r="BG471" i="3"/>
  <c r="BH471" i="3"/>
  <c r="BI471" i="3"/>
  <c r="BJ471" i="3"/>
  <c r="BK471" i="3"/>
  <c r="BA471" i="3"/>
  <c r="BB472" i="3"/>
  <c r="BC472" i="3"/>
  <c r="BA472" i="3"/>
  <c r="BD472" i="3"/>
  <c r="BE472" i="3"/>
  <c r="BF472" i="3"/>
  <c r="BG472" i="3"/>
  <c r="BH472" i="3"/>
  <c r="BI472" i="3"/>
  <c r="BJ472" i="3"/>
  <c r="BK472" i="3"/>
  <c r="BB473" i="3"/>
  <c r="BC473" i="3"/>
  <c r="BD473" i="3"/>
  <c r="BE473" i="3"/>
  <c r="BF473" i="3"/>
  <c r="BG473" i="3"/>
  <c r="BH473" i="3"/>
  <c r="BI473" i="3"/>
  <c r="BJ473" i="3"/>
  <c r="BK473" i="3"/>
  <c r="BA473" i="3"/>
  <c r="BB474" i="3"/>
  <c r="BC474" i="3"/>
  <c r="BA474" i="3"/>
  <c r="BD474" i="3"/>
  <c r="BE474" i="3"/>
  <c r="BF474" i="3"/>
  <c r="BG474" i="3"/>
  <c r="BH474" i="3"/>
  <c r="BI474" i="3"/>
  <c r="BJ474" i="3"/>
  <c r="BK474" i="3"/>
  <c r="BB475" i="3"/>
  <c r="BC475" i="3"/>
  <c r="BD475" i="3"/>
  <c r="BE475" i="3"/>
  <c r="BF475" i="3"/>
  <c r="BG475" i="3"/>
  <c r="BH475" i="3"/>
  <c r="BI475" i="3"/>
  <c r="BJ475" i="3"/>
  <c r="BK475" i="3"/>
  <c r="BA475" i="3"/>
  <c r="BB476" i="3"/>
  <c r="BC476" i="3"/>
  <c r="BA476" i="3"/>
  <c r="BD476" i="3"/>
  <c r="BE476" i="3"/>
  <c r="BF476" i="3"/>
  <c r="BG476" i="3"/>
  <c r="BH476" i="3"/>
  <c r="BI476" i="3"/>
  <c r="BJ476" i="3"/>
  <c r="BK476" i="3"/>
  <c r="BB477" i="3"/>
  <c r="BC477" i="3"/>
  <c r="BD477" i="3"/>
  <c r="BE477" i="3"/>
  <c r="BF477" i="3"/>
  <c r="BG477" i="3"/>
  <c r="BH477" i="3"/>
  <c r="BI477" i="3"/>
  <c r="BJ477" i="3"/>
  <c r="BK477" i="3"/>
  <c r="BA477" i="3"/>
  <c r="BB478" i="3"/>
  <c r="BC478" i="3"/>
  <c r="BA478" i="3"/>
  <c r="BD478" i="3"/>
  <c r="BE478" i="3"/>
  <c r="BF478" i="3"/>
  <c r="BG478" i="3"/>
  <c r="BH478" i="3"/>
  <c r="BI478" i="3"/>
  <c r="BJ478" i="3"/>
  <c r="BK478" i="3"/>
  <c r="BB479" i="3"/>
  <c r="BC479" i="3"/>
  <c r="BD479" i="3"/>
  <c r="BE479" i="3"/>
  <c r="BF479" i="3"/>
  <c r="BG479" i="3"/>
  <c r="BH479" i="3"/>
  <c r="BI479" i="3"/>
  <c r="BJ479" i="3"/>
  <c r="BK479" i="3"/>
  <c r="BA479" i="3"/>
  <c r="BB480" i="3"/>
  <c r="BC480" i="3"/>
  <c r="BA480" i="3"/>
  <c r="BD480" i="3"/>
  <c r="BE480" i="3"/>
  <c r="BF480" i="3"/>
  <c r="BG480" i="3"/>
  <c r="BH480" i="3"/>
  <c r="BI480" i="3"/>
  <c r="BJ480" i="3"/>
  <c r="BK480" i="3"/>
  <c r="BB481" i="3"/>
  <c r="BC481" i="3"/>
  <c r="BD481" i="3"/>
  <c r="BE481" i="3"/>
  <c r="BF481" i="3"/>
  <c r="BG481" i="3"/>
  <c r="BH481" i="3"/>
  <c r="BI481" i="3"/>
  <c r="BJ481" i="3"/>
  <c r="BK481" i="3"/>
  <c r="BA481" i="3"/>
  <c r="BB482" i="3"/>
  <c r="BC482" i="3"/>
  <c r="BA482" i="3"/>
  <c r="BD482" i="3"/>
  <c r="BE482" i="3"/>
  <c r="BF482" i="3"/>
  <c r="BG482" i="3"/>
  <c r="BH482" i="3"/>
  <c r="BI482" i="3"/>
  <c r="BJ482" i="3"/>
  <c r="BK482" i="3"/>
  <c r="BB483" i="3"/>
  <c r="BC483" i="3"/>
  <c r="BD483" i="3"/>
  <c r="BE483" i="3"/>
  <c r="BF483" i="3"/>
  <c r="BG483" i="3"/>
  <c r="BH483" i="3"/>
  <c r="BI483" i="3"/>
  <c r="BJ483" i="3"/>
  <c r="BK483" i="3"/>
  <c r="BA483" i="3"/>
  <c r="BB484" i="3"/>
  <c r="BC484" i="3"/>
  <c r="BA484" i="3"/>
  <c r="BD484" i="3"/>
  <c r="BE484" i="3"/>
  <c r="BF484" i="3"/>
  <c r="BG484" i="3"/>
  <c r="BH484" i="3"/>
  <c r="BI484" i="3"/>
  <c r="BJ484" i="3"/>
  <c r="BK484" i="3"/>
  <c r="BB485" i="3"/>
  <c r="BC485" i="3"/>
  <c r="BD485" i="3"/>
  <c r="BE485" i="3"/>
  <c r="BF485" i="3"/>
  <c r="BG485" i="3"/>
  <c r="BH485" i="3"/>
  <c r="BI485" i="3"/>
  <c r="BJ485" i="3"/>
  <c r="BK485" i="3"/>
  <c r="BA485" i="3"/>
  <c r="BB486" i="3"/>
  <c r="BC486" i="3"/>
  <c r="BA486" i="3"/>
  <c r="BD486" i="3"/>
  <c r="BE486" i="3"/>
  <c r="BF486" i="3"/>
  <c r="BG486" i="3"/>
  <c r="BH486" i="3"/>
  <c r="BI486" i="3"/>
  <c r="BJ486" i="3"/>
  <c r="BK486" i="3"/>
  <c r="BB487" i="3"/>
  <c r="BC487" i="3"/>
  <c r="BD487" i="3"/>
  <c r="BE487" i="3"/>
  <c r="BF487" i="3"/>
  <c r="BG487" i="3"/>
  <c r="BH487" i="3"/>
  <c r="BI487" i="3"/>
  <c r="BJ487" i="3"/>
  <c r="BK487" i="3"/>
  <c r="BA487" i="3"/>
  <c r="BB488" i="3"/>
  <c r="BC488" i="3"/>
  <c r="BA488" i="3"/>
  <c r="BD488" i="3"/>
  <c r="BE488" i="3"/>
  <c r="BF488" i="3"/>
  <c r="BG488" i="3"/>
  <c r="BH488" i="3"/>
  <c r="BI488" i="3"/>
  <c r="BJ488" i="3"/>
  <c r="BK488" i="3"/>
  <c r="BB489" i="3"/>
  <c r="BC489" i="3"/>
  <c r="BD489" i="3"/>
  <c r="BE489" i="3"/>
  <c r="BF489" i="3"/>
  <c r="BG489" i="3"/>
  <c r="BH489" i="3"/>
  <c r="BI489" i="3"/>
  <c r="BJ489" i="3"/>
  <c r="BK489" i="3"/>
  <c r="BA489" i="3"/>
  <c r="BB490" i="3"/>
  <c r="BC490" i="3"/>
  <c r="BA490" i="3"/>
  <c r="BD490" i="3"/>
  <c r="BE490" i="3"/>
  <c r="BF490" i="3"/>
  <c r="BG490" i="3"/>
  <c r="BH490" i="3"/>
  <c r="BI490" i="3"/>
  <c r="BJ490" i="3"/>
  <c r="BK490" i="3"/>
  <c r="BB491" i="3"/>
  <c r="BC491" i="3"/>
  <c r="BD491" i="3"/>
  <c r="BE491" i="3"/>
  <c r="BF491" i="3"/>
  <c r="BG491" i="3"/>
  <c r="BH491" i="3"/>
  <c r="BI491" i="3"/>
  <c r="BJ491" i="3"/>
  <c r="BK491" i="3"/>
  <c r="BA491" i="3"/>
  <c r="BB492" i="3"/>
  <c r="BC492" i="3"/>
  <c r="BA492" i="3"/>
  <c r="BD492" i="3"/>
  <c r="BE492" i="3"/>
  <c r="BF492" i="3"/>
  <c r="BG492" i="3"/>
  <c r="BH492" i="3"/>
  <c r="BI492" i="3"/>
  <c r="BJ492" i="3"/>
  <c r="BK492" i="3"/>
  <c r="BB493" i="3"/>
  <c r="BC493" i="3"/>
  <c r="BD493" i="3"/>
  <c r="BE493" i="3"/>
  <c r="BF493" i="3"/>
  <c r="BG493" i="3"/>
  <c r="BH493" i="3"/>
  <c r="BI493" i="3"/>
  <c r="BJ493" i="3"/>
  <c r="BK493" i="3"/>
  <c r="BA493" i="3"/>
  <c r="BB494" i="3"/>
  <c r="BC494" i="3"/>
  <c r="BA494" i="3"/>
  <c r="BD494" i="3"/>
  <c r="BE494" i="3"/>
  <c r="BF494" i="3"/>
  <c r="BG494" i="3"/>
  <c r="BH494" i="3"/>
  <c r="BI494" i="3"/>
  <c r="BJ494" i="3"/>
  <c r="BK494" i="3"/>
  <c r="BB495" i="3"/>
  <c r="BC495" i="3"/>
  <c r="BD495" i="3"/>
  <c r="BE495" i="3"/>
  <c r="BF495" i="3"/>
  <c r="BG495" i="3"/>
  <c r="BH495" i="3"/>
  <c r="BI495" i="3"/>
  <c r="BJ495" i="3"/>
  <c r="BK495" i="3"/>
  <c r="BA495" i="3"/>
  <c r="BB496" i="3"/>
  <c r="BC496" i="3"/>
  <c r="BA496" i="3"/>
  <c r="BD496" i="3"/>
  <c r="BE496" i="3"/>
  <c r="BF496" i="3"/>
  <c r="BG496" i="3"/>
  <c r="BH496" i="3"/>
  <c r="BI496" i="3"/>
  <c r="BJ496" i="3"/>
  <c r="BK496" i="3"/>
  <c r="BB497" i="3"/>
  <c r="BC497" i="3"/>
  <c r="BD497" i="3"/>
  <c r="BE497" i="3"/>
  <c r="BF497" i="3"/>
  <c r="BG497" i="3"/>
  <c r="BH497" i="3"/>
  <c r="BI497" i="3"/>
  <c r="BJ497" i="3"/>
  <c r="BK497" i="3"/>
  <c r="BA497" i="3"/>
  <c r="BB498" i="3"/>
  <c r="BC498" i="3"/>
  <c r="BA498" i="3"/>
  <c r="BD498" i="3"/>
  <c r="BE498" i="3"/>
  <c r="BF498" i="3"/>
  <c r="BG498" i="3"/>
  <c r="BH498" i="3"/>
  <c r="BI498" i="3"/>
  <c r="BJ498" i="3"/>
  <c r="BK498" i="3"/>
  <c r="BB499" i="3"/>
  <c r="BC499" i="3"/>
  <c r="BD499" i="3"/>
  <c r="BE499" i="3"/>
  <c r="BF499" i="3"/>
  <c r="BG499" i="3"/>
  <c r="BH499" i="3"/>
  <c r="BI499" i="3"/>
  <c r="BJ499" i="3"/>
  <c r="BK499" i="3"/>
  <c r="BA499" i="3"/>
  <c r="BB500" i="3"/>
  <c r="BC500" i="3"/>
  <c r="BA500" i="3"/>
  <c r="BD500" i="3"/>
  <c r="BE500" i="3"/>
  <c r="BF500" i="3"/>
  <c r="BG500" i="3"/>
  <c r="BH500" i="3"/>
  <c r="BI500" i="3"/>
  <c r="BJ500" i="3"/>
  <c r="BK500" i="3"/>
  <c r="BB501" i="3"/>
  <c r="BC501" i="3"/>
  <c r="BD501" i="3"/>
  <c r="BE501" i="3"/>
  <c r="BF501" i="3"/>
  <c r="BG501" i="3"/>
  <c r="BH501" i="3"/>
  <c r="BI501" i="3"/>
  <c r="BJ501" i="3"/>
  <c r="BK501" i="3"/>
  <c r="BA501" i="3"/>
  <c r="BB502" i="3"/>
  <c r="BC502" i="3"/>
  <c r="BA502" i="3"/>
  <c r="BD502" i="3"/>
  <c r="BE502" i="3"/>
  <c r="BF502" i="3"/>
  <c r="BG502" i="3"/>
  <c r="BH502" i="3"/>
  <c r="BI502" i="3"/>
  <c r="BJ502" i="3"/>
  <c r="BK502" i="3"/>
  <c r="BB503" i="3"/>
  <c r="BC503" i="3"/>
  <c r="BD503" i="3"/>
  <c r="BE503" i="3"/>
  <c r="BF503" i="3"/>
  <c r="BG503" i="3"/>
  <c r="BH503" i="3"/>
  <c r="BI503" i="3"/>
  <c r="BJ503" i="3"/>
  <c r="BK503" i="3"/>
  <c r="BA503" i="3"/>
  <c r="BB504" i="3"/>
  <c r="BC504" i="3"/>
  <c r="BA504" i="3"/>
  <c r="BD504" i="3"/>
  <c r="BE504" i="3"/>
  <c r="BF504" i="3"/>
  <c r="BG504" i="3"/>
  <c r="BH504" i="3"/>
  <c r="BI504" i="3"/>
  <c r="BJ504" i="3"/>
  <c r="BK504" i="3"/>
  <c r="BB505" i="3"/>
  <c r="BC505" i="3"/>
  <c r="BD505" i="3"/>
  <c r="BE505" i="3"/>
  <c r="BF505" i="3"/>
  <c r="BG505" i="3"/>
  <c r="BH505" i="3"/>
  <c r="BI505" i="3"/>
  <c r="BJ505" i="3"/>
  <c r="BK505" i="3"/>
  <c r="BA505" i="3"/>
  <c r="BB506" i="3"/>
  <c r="BC506" i="3"/>
  <c r="BA506" i="3"/>
  <c r="BD506" i="3"/>
  <c r="BE506" i="3"/>
  <c r="BF506" i="3"/>
  <c r="BG506" i="3"/>
  <c r="BH506" i="3"/>
  <c r="BI506" i="3"/>
  <c r="BJ506" i="3"/>
  <c r="BK506" i="3"/>
  <c r="BB507" i="3"/>
  <c r="BC507" i="3"/>
  <c r="BD507" i="3"/>
  <c r="BE507" i="3"/>
  <c r="BF507" i="3"/>
  <c r="BG507" i="3"/>
  <c r="BH507" i="3"/>
  <c r="BI507" i="3"/>
  <c r="BJ507" i="3"/>
  <c r="BK507" i="3"/>
  <c r="BA507" i="3"/>
  <c r="BB508" i="3"/>
  <c r="BC508" i="3"/>
  <c r="BA508" i="3"/>
  <c r="BD508" i="3"/>
  <c r="BE508" i="3"/>
  <c r="BF508" i="3"/>
  <c r="BG508" i="3"/>
  <c r="BH508" i="3"/>
  <c r="BI508" i="3"/>
  <c r="BJ508" i="3"/>
  <c r="BK508" i="3"/>
  <c r="BB509" i="3"/>
  <c r="BC509" i="3"/>
  <c r="BD509" i="3"/>
  <c r="BE509" i="3"/>
  <c r="BF509" i="3"/>
  <c r="BG509" i="3"/>
  <c r="BH509" i="3"/>
  <c r="BI509" i="3"/>
  <c r="BJ509" i="3"/>
  <c r="BK509" i="3"/>
  <c r="BA509" i="3"/>
  <c r="BB510" i="3"/>
  <c r="BC510" i="3"/>
  <c r="BA510" i="3"/>
  <c r="BD510" i="3"/>
  <c r="BE510" i="3"/>
  <c r="BF510" i="3"/>
  <c r="BG510" i="3"/>
  <c r="BH510" i="3"/>
  <c r="BI510" i="3"/>
  <c r="BJ510" i="3"/>
  <c r="BK510" i="3"/>
  <c r="BB511" i="3"/>
  <c r="BC511" i="3"/>
  <c r="BD511" i="3"/>
  <c r="BE511" i="3"/>
  <c r="BF511" i="3"/>
  <c r="BG511" i="3"/>
  <c r="BH511" i="3"/>
  <c r="BI511" i="3"/>
  <c r="BJ511" i="3"/>
  <c r="BK511" i="3"/>
  <c r="BA511" i="3"/>
  <c r="BB512" i="3"/>
  <c r="BC512" i="3"/>
  <c r="BA512" i="3"/>
  <c r="BD512" i="3"/>
  <c r="BE512" i="3"/>
  <c r="BF512" i="3"/>
  <c r="BG512" i="3"/>
  <c r="BH512" i="3"/>
  <c r="BI512" i="3"/>
  <c r="BJ512" i="3"/>
  <c r="BK512" i="3"/>
  <c r="BB513" i="3"/>
  <c r="BC513" i="3"/>
  <c r="BD513" i="3"/>
  <c r="BE513" i="3"/>
  <c r="BF513" i="3"/>
  <c r="BG513" i="3"/>
  <c r="BH513" i="3"/>
  <c r="BI513" i="3"/>
  <c r="BJ513" i="3"/>
  <c r="BK513" i="3"/>
  <c r="BA513" i="3"/>
  <c r="BB514" i="3"/>
  <c r="BC514" i="3"/>
  <c r="BA514" i="3"/>
  <c r="BD514" i="3"/>
  <c r="BE514" i="3"/>
  <c r="BF514" i="3"/>
  <c r="BG514" i="3"/>
  <c r="BH514" i="3"/>
  <c r="BI514" i="3"/>
  <c r="BJ514" i="3"/>
  <c r="BK514" i="3"/>
  <c r="BB515" i="3"/>
  <c r="BC515" i="3"/>
  <c r="BD515" i="3"/>
  <c r="BE515" i="3"/>
  <c r="BF515" i="3"/>
  <c r="BG515" i="3"/>
  <c r="BH515" i="3"/>
  <c r="BI515" i="3"/>
  <c r="BJ515" i="3"/>
  <c r="BK515" i="3"/>
  <c r="BA515" i="3"/>
  <c r="BB516" i="3"/>
  <c r="BC516" i="3"/>
  <c r="BA516" i="3"/>
  <c r="BD516" i="3"/>
  <c r="BE516" i="3"/>
  <c r="BF516" i="3"/>
  <c r="BG516" i="3"/>
  <c r="BH516" i="3"/>
  <c r="BI516" i="3"/>
  <c r="BJ516" i="3"/>
  <c r="BK516" i="3"/>
  <c r="BB517" i="3"/>
  <c r="BC517" i="3"/>
  <c r="BD517" i="3"/>
  <c r="BE517" i="3"/>
  <c r="BF517" i="3"/>
  <c r="BG517" i="3"/>
  <c r="BH517" i="3"/>
  <c r="BI517" i="3"/>
  <c r="BJ517" i="3"/>
  <c r="BK517" i="3"/>
  <c r="BA517" i="3"/>
  <c r="BB518" i="3"/>
  <c r="BC518" i="3"/>
  <c r="BA518" i="3"/>
  <c r="BD518" i="3"/>
  <c r="BE518" i="3"/>
  <c r="BF518" i="3"/>
  <c r="BG518" i="3"/>
  <c r="BH518" i="3"/>
  <c r="BI518" i="3"/>
  <c r="BJ518" i="3"/>
  <c r="BK518" i="3"/>
  <c r="BB519" i="3"/>
  <c r="BC519" i="3"/>
  <c r="BD519" i="3"/>
  <c r="BE519" i="3"/>
  <c r="BF519" i="3"/>
  <c r="BG519" i="3"/>
  <c r="BH519" i="3"/>
  <c r="BI519" i="3"/>
  <c r="BJ519" i="3"/>
  <c r="BK519" i="3"/>
  <c r="BA519" i="3"/>
  <c r="BB520" i="3"/>
  <c r="BC520" i="3"/>
  <c r="BA520" i="3"/>
  <c r="BD520" i="3"/>
  <c r="BE520" i="3"/>
  <c r="BF520" i="3"/>
  <c r="BG520" i="3"/>
  <c r="BH520" i="3"/>
  <c r="BI520" i="3"/>
  <c r="BJ520" i="3"/>
  <c r="BK520" i="3"/>
  <c r="BB521" i="3"/>
  <c r="BC521" i="3"/>
  <c r="BD521" i="3"/>
  <c r="BE521" i="3"/>
  <c r="BF521" i="3"/>
  <c r="BG521" i="3"/>
  <c r="BH521" i="3"/>
  <c r="BI521" i="3"/>
  <c r="BJ521" i="3"/>
  <c r="BK521" i="3"/>
  <c r="BA521" i="3"/>
  <c r="BB522" i="3"/>
  <c r="BC522" i="3"/>
  <c r="BA522" i="3"/>
  <c r="BD522" i="3"/>
  <c r="BE522" i="3"/>
  <c r="BF522" i="3"/>
  <c r="BG522" i="3"/>
  <c r="BH522" i="3"/>
  <c r="BI522" i="3"/>
  <c r="BJ522" i="3"/>
  <c r="BK522" i="3"/>
  <c r="BB523" i="3"/>
  <c r="BC523" i="3"/>
  <c r="BD523" i="3"/>
  <c r="BE523" i="3"/>
  <c r="BF523" i="3"/>
  <c r="BG523" i="3"/>
  <c r="BH523" i="3"/>
  <c r="BI523" i="3"/>
  <c r="BJ523" i="3"/>
  <c r="BK523" i="3"/>
  <c r="BA523" i="3"/>
  <c r="BB524" i="3"/>
  <c r="BC524" i="3"/>
  <c r="BA524" i="3"/>
  <c r="BD524" i="3"/>
  <c r="BE524" i="3"/>
  <c r="BF524" i="3"/>
  <c r="BG524" i="3"/>
  <c r="BH524" i="3"/>
  <c r="BI524" i="3"/>
  <c r="BJ524" i="3"/>
  <c r="BK524" i="3"/>
  <c r="BB525" i="3"/>
  <c r="BC525" i="3"/>
  <c r="BD525" i="3"/>
  <c r="BE525" i="3"/>
  <c r="BF525" i="3"/>
  <c r="BG525" i="3"/>
  <c r="BH525" i="3"/>
  <c r="BI525" i="3"/>
  <c r="BJ525" i="3"/>
  <c r="BK525" i="3"/>
  <c r="BA525" i="3"/>
  <c r="BB526" i="3"/>
  <c r="BC526" i="3"/>
  <c r="BA526" i="3"/>
  <c r="BD526" i="3"/>
  <c r="BE526" i="3"/>
  <c r="BF526" i="3"/>
  <c r="BG526" i="3"/>
  <c r="BH526" i="3"/>
  <c r="BI526" i="3"/>
  <c r="BJ526" i="3"/>
  <c r="BK526" i="3"/>
  <c r="BB527" i="3"/>
  <c r="BC527" i="3"/>
  <c r="BD527" i="3"/>
  <c r="BE527" i="3"/>
  <c r="BF527" i="3"/>
  <c r="BG527" i="3"/>
  <c r="BH527" i="3"/>
  <c r="BI527" i="3"/>
  <c r="BJ527" i="3"/>
  <c r="BK527" i="3"/>
  <c r="BA527" i="3"/>
  <c r="BB528" i="3"/>
  <c r="BC528" i="3"/>
  <c r="BA528" i="3"/>
  <c r="BD528" i="3"/>
  <c r="BE528" i="3"/>
  <c r="BF528" i="3"/>
  <c r="BG528" i="3"/>
  <c r="BH528" i="3"/>
  <c r="BI528" i="3"/>
  <c r="BJ528" i="3"/>
  <c r="BK528" i="3"/>
  <c r="BB529" i="3"/>
  <c r="BC529" i="3"/>
  <c r="BD529" i="3"/>
  <c r="BE529" i="3"/>
  <c r="BF529" i="3"/>
  <c r="BG529" i="3"/>
  <c r="BH529" i="3"/>
  <c r="BI529" i="3"/>
  <c r="BJ529" i="3"/>
  <c r="BK529" i="3"/>
  <c r="BA529" i="3"/>
  <c r="BB530" i="3"/>
  <c r="BC530" i="3"/>
  <c r="BA530" i="3"/>
  <c r="BD530" i="3"/>
  <c r="BE530" i="3"/>
  <c r="BF530" i="3"/>
  <c r="BG530" i="3"/>
  <c r="BH530" i="3"/>
  <c r="BI530" i="3"/>
  <c r="BJ530" i="3"/>
  <c r="BK530" i="3"/>
  <c r="BB531" i="3"/>
  <c r="BC531" i="3"/>
  <c r="BD531" i="3"/>
  <c r="BE531" i="3"/>
  <c r="BF531" i="3"/>
  <c r="BG531" i="3"/>
  <c r="BH531" i="3"/>
  <c r="BI531" i="3"/>
  <c r="BJ531" i="3"/>
  <c r="BK531" i="3"/>
  <c r="BA531" i="3"/>
  <c r="BB532" i="3"/>
  <c r="BC532" i="3"/>
  <c r="BA532" i="3"/>
  <c r="BD532" i="3"/>
  <c r="BE532" i="3"/>
  <c r="BF532" i="3"/>
  <c r="BG532" i="3"/>
  <c r="BH532" i="3"/>
  <c r="BI532" i="3"/>
  <c r="BJ532" i="3"/>
  <c r="BK532" i="3"/>
  <c r="BB533" i="3"/>
  <c r="BC533" i="3"/>
  <c r="BD533" i="3"/>
  <c r="BE533" i="3"/>
  <c r="BF533" i="3"/>
  <c r="BG533" i="3"/>
  <c r="BH533" i="3"/>
  <c r="BI533" i="3"/>
  <c r="BJ533" i="3"/>
  <c r="BK533" i="3"/>
  <c r="BA533" i="3"/>
  <c r="BB534" i="3"/>
  <c r="BC534" i="3"/>
  <c r="BA534" i="3"/>
  <c r="BD534" i="3"/>
  <c r="BE534" i="3"/>
  <c r="BF534" i="3"/>
  <c r="BG534" i="3"/>
  <c r="BH534" i="3"/>
  <c r="BI534" i="3"/>
  <c r="BJ534" i="3"/>
  <c r="BK534" i="3"/>
  <c r="BB535" i="3"/>
  <c r="BC535" i="3"/>
  <c r="BD535" i="3"/>
  <c r="BE535" i="3"/>
  <c r="BF535" i="3"/>
  <c r="BG535" i="3"/>
  <c r="BH535" i="3"/>
  <c r="BI535" i="3"/>
  <c r="BJ535" i="3"/>
  <c r="BK535" i="3"/>
  <c r="BA535" i="3"/>
  <c r="BB536" i="3"/>
  <c r="BC536" i="3"/>
  <c r="BA536" i="3"/>
  <c r="BD536" i="3"/>
  <c r="BE536" i="3"/>
  <c r="BF536" i="3"/>
  <c r="BG536" i="3"/>
  <c r="BH536" i="3"/>
  <c r="BI536" i="3"/>
  <c r="BJ536" i="3"/>
  <c r="BK536" i="3"/>
  <c r="BB537" i="3"/>
  <c r="BC537" i="3"/>
  <c r="BD537" i="3"/>
  <c r="BE537" i="3"/>
  <c r="BF537" i="3"/>
  <c r="BG537" i="3"/>
  <c r="BH537" i="3"/>
  <c r="BI537" i="3"/>
  <c r="BJ537" i="3"/>
  <c r="BK537" i="3"/>
  <c r="BA537" i="3"/>
  <c r="BB538" i="3"/>
  <c r="BC538" i="3"/>
  <c r="BA538" i="3"/>
  <c r="BD538" i="3"/>
  <c r="BE538" i="3"/>
  <c r="BF538" i="3"/>
  <c r="BG538" i="3"/>
  <c r="BH538" i="3"/>
  <c r="BI538" i="3"/>
  <c r="BJ538" i="3"/>
  <c r="BK538" i="3"/>
  <c r="BB539" i="3"/>
  <c r="BC539" i="3"/>
  <c r="BD539" i="3"/>
  <c r="BE539" i="3"/>
  <c r="BF539" i="3"/>
  <c r="BG539" i="3"/>
  <c r="BH539" i="3"/>
  <c r="BI539" i="3"/>
  <c r="BJ539" i="3"/>
  <c r="BK539" i="3"/>
  <c r="BA539" i="3"/>
  <c r="BB540" i="3"/>
  <c r="BC540" i="3"/>
  <c r="BA540" i="3"/>
  <c r="BD540" i="3"/>
  <c r="BE540" i="3"/>
  <c r="BF540" i="3"/>
  <c r="BG540" i="3"/>
  <c r="BH540" i="3"/>
  <c r="BI540" i="3"/>
  <c r="BJ540" i="3"/>
  <c r="BK540" i="3"/>
  <c r="BB541" i="3"/>
  <c r="BC541" i="3"/>
  <c r="BD541" i="3"/>
  <c r="BE541" i="3"/>
  <c r="BF541" i="3"/>
  <c r="BG541" i="3"/>
  <c r="BH541" i="3"/>
  <c r="BI541" i="3"/>
  <c r="BJ541" i="3"/>
  <c r="BK541" i="3"/>
  <c r="BA541" i="3"/>
  <c r="BB542" i="3"/>
  <c r="BC542" i="3"/>
  <c r="BA542" i="3"/>
  <c r="BD542" i="3"/>
  <c r="BE542" i="3"/>
  <c r="BF542" i="3"/>
  <c r="BG542" i="3"/>
  <c r="BH542" i="3"/>
  <c r="BI542" i="3"/>
  <c r="BJ542" i="3"/>
  <c r="BK542" i="3"/>
  <c r="BB543" i="3"/>
  <c r="BC543" i="3"/>
  <c r="BD543" i="3"/>
  <c r="BE543" i="3"/>
  <c r="BF543" i="3"/>
  <c r="BG543" i="3"/>
  <c r="BH543" i="3"/>
  <c r="BI543" i="3"/>
  <c r="BJ543" i="3"/>
  <c r="BK543" i="3"/>
  <c r="BA543" i="3"/>
  <c r="BB544" i="3"/>
  <c r="BC544" i="3"/>
  <c r="BA544" i="3"/>
  <c r="BD544" i="3"/>
  <c r="BE544" i="3"/>
  <c r="BF544" i="3"/>
  <c r="BG544" i="3"/>
  <c r="BH544" i="3"/>
  <c r="BI544" i="3"/>
  <c r="BJ544" i="3"/>
  <c r="BK544" i="3"/>
  <c r="BB545" i="3"/>
  <c r="BC545" i="3"/>
  <c r="BD545" i="3"/>
  <c r="BE545" i="3"/>
  <c r="BF545" i="3"/>
  <c r="BG545" i="3"/>
  <c r="BH545" i="3"/>
  <c r="BI545" i="3"/>
  <c r="BJ545" i="3"/>
  <c r="BK545" i="3"/>
  <c r="BA545" i="3"/>
  <c r="BB546" i="3"/>
  <c r="BC546" i="3"/>
  <c r="BA546" i="3"/>
  <c r="BD546" i="3"/>
  <c r="BE546" i="3"/>
  <c r="BF546" i="3"/>
  <c r="BG546" i="3"/>
  <c r="BH546" i="3"/>
  <c r="BI546" i="3"/>
  <c r="BJ546" i="3"/>
  <c r="BK546" i="3"/>
  <c r="BB547" i="3"/>
  <c r="BC547" i="3"/>
  <c r="BD547" i="3"/>
  <c r="BE547" i="3"/>
  <c r="BF547" i="3"/>
  <c r="BG547" i="3"/>
  <c r="BH547" i="3"/>
  <c r="BI547" i="3"/>
  <c r="BJ547" i="3"/>
  <c r="BK547" i="3"/>
  <c r="BA547" i="3"/>
  <c r="BB548" i="3"/>
  <c r="BC548" i="3"/>
  <c r="BA548" i="3"/>
  <c r="BD548" i="3"/>
  <c r="BE548" i="3"/>
  <c r="BF548" i="3"/>
  <c r="BG548" i="3"/>
  <c r="BH548" i="3"/>
  <c r="BI548" i="3"/>
  <c r="BJ548" i="3"/>
  <c r="BK548" i="3"/>
  <c r="BB549" i="3"/>
  <c r="BC549" i="3"/>
  <c r="BD549" i="3"/>
  <c r="BE549" i="3"/>
  <c r="BF549" i="3"/>
  <c r="BG549" i="3"/>
  <c r="BH549" i="3"/>
  <c r="BI549" i="3"/>
  <c r="BJ549" i="3"/>
  <c r="BK549" i="3"/>
  <c r="BA549" i="3"/>
  <c r="BB550" i="3"/>
  <c r="BC550" i="3"/>
  <c r="BA550" i="3"/>
  <c r="BD550" i="3"/>
  <c r="BE550" i="3"/>
  <c r="BF550" i="3"/>
  <c r="BG550" i="3"/>
  <c r="BH550" i="3"/>
  <c r="BI550" i="3"/>
  <c r="BJ550" i="3"/>
  <c r="BK550" i="3"/>
  <c r="BB551" i="3"/>
  <c r="BC551" i="3"/>
  <c r="BD551" i="3"/>
  <c r="BE551" i="3"/>
  <c r="BF551" i="3"/>
  <c r="BG551" i="3"/>
  <c r="BH551" i="3"/>
  <c r="BI551" i="3"/>
  <c r="BJ551" i="3"/>
  <c r="BK551" i="3"/>
  <c r="BA551" i="3"/>
  <c r="BB552" i="3"/>
  <c r="BC552" i="3"/>
  <c r="BA552" i="3"/>
  <c r="BD552" i="3"/>
  <c r="BE552" i="3"/>
  <c r="BF552" i="3"/>
  <c r="BG552" i="3"/>
  <c r="BH552" i="3"/>
  <c r="BI552" i="3"/>
  <c r="BJ552" i="3"/>
  <c r="BK552" i="3"/>
  <c r="BB553" i="3"/>
  <c r="BC553" i="3"/>
  <c r="BD553" i="3"/>
  <c r="BE553" i="3"/>
  <c r="BF553" i="3"/>
  <c r="BG553" i="3"/>
  <c r="BH553" i="3"/>
  <c r="BI553" i="3"/>
  <c r="BJ553" i="3"/>
  <c r="BK553" i="3"/>
  <c r="BA553" i="3"/>
  <c r="BB554" i="3"/>
  <c r="BC554" i="3"/>
  <c r="BA554" i="3"/>
  <c r="BD554" i="3"/>
  <c r="BE554" i="3"/>
  <c r="BF554" i="3"/>
  <c r="BG554" i="3"/>
  <c r="BH554" i="3"/>
  <c r="BI554" i="3"/>
  <c r="BJ554" i="3"/>
  <c r="BK554" i="3"/>
  <c r="BB555" i="3"/>
  <c r="BC555" i="3"/>
  <c r="BD555" i="3"/>
  <c r="BE555" i="3"/>
  <c r="BF555" i="3"/>
  <c r="BG555" i="3"/>
  <c r="BH555" i="3"/>
  <c r="BI555" i="3"/>
  <c r="BJ555" i="3"/>
  <c r="BK555" i="3"/>
  <c r="BA555" i="3"/>
  <c r="BB556" i="3"/>
  <c r="BC556" i="3"/>
  <c r="BA556" i="3"/>
  <c r="BD556" i="3"/>
  <c r="BE556" i="3"/>
  <c r="BF556" i="3"/>
  <c r="BG556" i="3"/>
  <c r="BH556" i="3"/>
  <c r="BI556" i="3"/>
  <c r="BJ556" i="3"/>
  <c r="BK556" i="3"/>
  <c r="BB557" i="3"/>
  <c r="BC557" i="3"/>
  <c r="BD557" i="3"/>
  <c r="BE557" i="3"/>
  <c r="BF557" i="3"/>
  <c r="BG557" i="3"/>
  <c r="BH557" i="3"/>
  <c r="BI557" i="3"/>
  <c r="BJ557" i="3"/>
  <c r="BK557" i="3"/>
  <c r="BA557" i="3"/>
  <c r="BB558" i="3"/>
  <c r="BC558" i="3"/>
  <c r="BA558" i="3"/>
  <c r="BD558" i="3"/>
  <c r="BE558" i="3"/>
  <c r="BF558" i="3"/>
  <c r="BG558" i="3"/>
  <c r="BH558" i="3"/>
  <c r="BI558" i="3"/>
  <c r="BJ558" i="3"/>
  <c r="BK558" i="3"/>
  <c r="BB559" i="3"/>
  <c r="BC559" i="3"/>
  <c r="BD559" i="3"/>
  <c r="BE559" i="3"/>
  <c r="BF559" i="3"/>
  <c r="BG559" i="3"/>
  <c r="BH559" i="3"/>
  <c r="BI559" i="3"/>
  <c r="BJ559" i="3"/>
  <c r="BK559" i="3"/>
  <c r="BA559" i="3"/>
  <c r="BB560" i="3"/>
  <c r="BC560" i="3"/>
  <c r="BA560" i="3"/>
  <c r="BD560" i="3"/>
  <c r="BE560" i="3"/>
  <c r="BF560" i="3"/>
  <c r="BG560" i="3"/>
  <c r="BH560" i="3"/>
  <c r="BI560" i="3"/>
  <c r="BJ560" i="3"/>
  <c r="BK560" i="3"/>
  <c r="BB561" i="3"/>
  <c r="BC561" i="3"/>
  <c r="BD561" i="3"/>
  <c r="BE561" i="3"/>
  <c r="BF561" i="3"/>
  <c r="BG561" i="3"/>
  <c r="BH561" i="3"/>
  <c r="BI561" i="3"/>
  <c r="BJ561" i="3"/>
  <c r="BK561" i="3"/>
  <c r="BA561" i="3"/>
  <c r="BB562" i="3"/>
  <c r="BC562" i="3"/>
  <c r="BA562" i="3"/>
  <c r="BD562" i="3"/>
  <c r="BE562" i="3"/>
  <c r="BF562" i="3"/>
  <c r="BG562" i="3"/>
  <c r="BH562" i="3"/>
  <c r="BI562" i="3"/>
  <c r="BJ562" i="3"/>
  <c r="BK562" i="3"/>
  <c r="BB563" i="3"/>
  <c r="BC563" i="3"/>
  <c r="BD563" i="3"/>
  <c r="BE563" i="3"/>
  <c r="BF563" i="3"/>
  <c r="BG563" i="3"/>
  <c r="BH563" i="3"/>
  <c r="BI563" i="3"/>
  <c r="BJ563" i="3"/>
  <c r="BK563" i="3"/>
  <c r="BA563" i="3"/>
  <c r="BB564" i="3"/>
  <c r="BC564" i="3"/>
  <c r="BA564" i="3"/>
  <c r="BD564" i="3"/>
  <c r="BE564" i="3"/>
  <c r="BF564" i="3"/>
  <c r="BG564" i="3"/>
  <c r="BH564" i="3"/>
  <c r="BI564" i="3"/>
  <c r="BJ564" i="3"/>
  <c r="BK564" i="3"/>
  <c r="BB565" i="3"/>
  <c r="BC565" i="3"/>
  <c r="BD565" i="3"/>
  <c r="BE565" i="3"/>
  <c r="BF565" i="3"/>
  <c r="BG565" i="3"/>
  <c r="BH565" i="3"/>
  <c r="BI565" i="3"/>
  <c r="BJ565" i="3"/>
  <c r="BK565" i="3"/>
  <c r="BA565" i="3"/>
  <c r="BB566" i="3"/>
  <c r="BC566" i="3"/>
  <c r="BA566" i="3"/>
  <c r="BD566" i="3"/>
  <c r="BE566" i="3"/>
  <c r="BF566" i="3"/>
  <c r="BG566" i="3"/>
  <c r="BH566" i="3"/>
  <c r="BI566" i="3"/>
  <c r="BJ566" i="3"/>
  <c r="BK566" i="3"/>
  <c r="BB567" i="3"/>
  <c r="BC567" i="3"/>
  <c r="BD567" i="3"/>
  <c r="BE567" i="3"/>
  <c r="BF567" i="3"/>
  <c r="BG567" i="3"/>
  <c r="BH567" i="3"/>
  <c r="BI567" i="3"/>
  <c r="BJ567" i="3"/>
  <c r="BK567" i="3"/>
  <c r="BA567" i="3"/>
  <c r="BB568" i="3"/>
  <c r="BC568" i="3"/>
  <c r="BA568" i="3"/>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A571" i="3"/>
  <c r="BB572" i="3"/>
  <c r="BC572" i="3"/>
  <c r="BD572" i="3"/>
  <c r="BE572" i="3"/>
  <c r="BF572" i="3"/>
  <c r="BG572" i="3"/>
  <c r="BH572" i="3"/>
  <c r="BI572" i="3"/>
  <c r="BJ572" i="3"/>
  <c r="BK572" i="3"/>
  <c r="A8" i="1"/>
  <c r="S8" i="1"/>
  <c r="A9" i="1"/>
  <c r="S9" i="1"/>
  <c r="A10" i="1"/>
  <c r="S10" i="1"/>
  <c r="A11" i="1"/>
  <c r="S11" i="1"/>
  <c r="A12" i="1"/>
  <c r="S12" i="1"/>
  <c r="A13" i="1"/>
  <c r="S13" i="1"/>
  <c r="H1" i="65"/>
  <c r="B2" i="1"/>
  <c r="C42" i="1"/>
  <c r="F28" i="15"/>
  <c r="C28" i="15"/>
  <c r="AY3" i="3"/>
  <c r="AY6" i="3"/>
  <c r="D3" i="6"/>
  <c r="BM13" i="3"/>
  <c r="BN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BM55" i="3"/>
  <c r="BN55" i="3"/>
  <c r="BO55" i="3"/>
  <c r="BP55" i="3"/>
  <c r="BL55" i="3"/>
  <c r="AZ55" i="3"/>
  <c r="BM56" i="3"/>
  <c r="BN56" i="3"/>
  <c r="BO56" i="3"/>
  <c r="BP56" i="3"/>
  <c r="BL56" i="3"/>
  <c r="BM57" i="3"/>
  <c r="BN57" i="3"/>
  <c r="BO57" i="3"/>
  <c r="BP57" i="3"/>
  <c r="BL57" i="3"/>
  <c r="AZ57" i="3"/>
  <c r="BM58" i="3"/>
  <c r="BN58" i="3"/>
  <c r="BO58" i="3"/>
  <c r="BP58" i="3"/>
  <c r="BL58" i="3"/>
  <c r="BM59" i="3"/>
  <c r="BN59" i="3"/>
  <c r="BO59" i="3"/>
  <c r="BP59" i="3"/>
  <c r="BL59" i="3"/>
  <c r="AZ59" i="3"/>
  <c r="BM60" i="3"/>
  <c r="BN60" i="3"/>
  <c r="BO60" i="3"/>
  <c r="BP60" i="3"/>
  <c r="BL60" i="3"/>
  <c r="BM61" i="3"/>
  <c r="BN61" i="3"/>
  <c r="BO61" i="3"/>
  <c r="BP61" i="3"/>
  <c r="BL61" i="3"/>
  <c r="AZ61" i="3"/>
  <c r="BM62" i="3"/>
  <c r="BN62" i="3"/>
  <c r="BO62" i="3"/>
  <c r="BP62" i="3"/>
  <c r="BL62" i="3"/>
  <c r="BM63" i="3"/>
  <c r="BN63" i="3"/>
  <c r="BO63" i="3"/>
  <c r="BP63" i="3"/>
  <c r="BL63" i="3"/>
  <c r="AZ63" i="3"/>
  <c r="BM64" i="3"/>
  <c r="BN64" i="3"/>
  <c r="BO64" i="3"/>
  <c r="BP64" i="3"/>
  <c r="BL64" i="3"/>
  <c r="BM65" i="3"/>
  <c r="BN65" i="3"/>
  <c r="BO65" i="3"/>
  <c r="BP65" i="3"/>
  <c r="BL65" i="3"/>
  <c r="AZ65" i="3"/>
  <c r="BM66" i="3"/>
  <c r="BN66" i="3"/>
  <c r="BO66" i="3"/>
  <c r="BP66" i="3"/>
  <c r="BL66" i="3"/>
  <c r="BM67" i="3"/>
  <c r="BN67" i="3"/>
  <c r="BO67" i="3"/>
  <c r="BP67" i="3"/>
  <c r="BL67" i="3"/>
  <c r="AZ67" i="3"/>
  <c r="BM68" i="3"/>
  <c r="BN68" i="3"/>
  <c r="BO68" i="3"/>
  <c r="BP68" i="3"/>
  <c r="BL68" i="3"/>
  <c r="BM69" i="3"/>
  <c r="BN69" i="3"/>
  <c r="BO69" i="3"/>
  <c r="BP69" i="3"/>
  <c r="BL69" i="3"/>
  <c r="AZ69" i="3"/>
  <c r="BM70" i="3"/>
  <c r="BN70" i="3"/>
  <c r="BO70" i="3"/>
  <c r="BP70" i="3"/>
  <c r="BL70" i="3"/>
  <c r="BM71" i="3"/>
  <c r="BN71" i="3"/>
  <c r="BO71" i="3"/>
  <c r="BP71" i="3"/>
  <c r="BL71" i="3"/>
  <c r="AZ71" i="3"/>
  <c r="BM72" i="3"/>
  <c r="BN72" i="3"/>
  <c r="BO72" i="3"/>
  <c r="BP72" i="3"/>
  <c r="BL72" i="3"/>
  <c r="BM73" i="3"/>
  <c r="BN73" i="3"/>
  <c r="BO73" i="3"/>
  <c r="BP73" i="3"/>
  <c r="BL73" i="3"/>
  <c r="AZ73" i="3"/>
  <c r="BM74" i="3"/>
  <c r="BN74" i="3"/>
  <c r="BO74" i="3"/>
  <c r="BP74" i="3"/>
  <c r="BL74" i="3"/>
  <c r="BM75" i="3"/>
  <c r="BN75" i="3"/>
  <c r="BO75" i="3"/>
  <c r="BP75" i="3"/>
  <c r="BL75" i="3"/>
  <c r="AZ75" i="3"/>
  <c r="BM76" i="3"/>
  <c r="BN76" i="3"/>
  <c r="BO76" i="3"/>
  <c r="BP76" i="3"/>
  <c r="BL76" i="3"/>
  <c r="BM77" i="3"/>
  <c r="BN77" i="3"/>
  <c r="BO77" i="3"/>
  <c r="BP77" i="3"/>
  <c r="BL77" i="3"/>
  <c r="AZ77" i="3"/>
  <c r="BM78" i="3"/>
  <c r="BN78" i="3"/>
  <c r="BO78" i="3"/>
  <c r="BP78" i="3"/>
  <c r="BL78" i="3"/>
  <c r="BM79" i="3"/>
  <c r="BN79" i="3"/>
  <c r="BO79" i="3"/>
  <c r="BP79" i="3"/>
  <c r="BL79" i="3"/>
  <c r="AZ79" i="3"/>
  <c r="BM80" i="3"/>
  <c r="BN80" i="3"/>
  <c r="BO80" i="3"/>
  <c r="BP80" i="3"/>
  <c r="BL80" i="3"/>
  <c r="BM81" i="3"/>
  <c r="BN81" i="3"/>
  <c r="BO81" i="3"/>
  <c r="BP81" i="3"/>
  <c r="BL81" i="3"/>
  <c r="AZ81" i="3"/>
  <c r="BM82" i="3"/>
  <c r="BN82" i="3"/>
  <c r="BO82" i="3"/>
  <c r="BP82" i="3"/>
  <c r="BL82" i="3"/>
  <c r="BM83" i="3"/>
  <c r="BN83" i="3"/>
  <c r="BO83" i="3"/>
  <c r="BP83" i="3"/>
  <c r="BL83" i="3"/>
  <c r="AZ83" i="3"/>
  <c r="BM84" i="3"/>
  <c r="BN84" i="3"/>
  <c r="BO84" i="3"/>
  <c r="BP84" i="3"/>
  <c r="BL84" i="3"/>
  <c r="BM85" i="3"/>
  <c r="BN85" i="3"/>
  <c r="BO85" i="3"/>
  <c r="BP85" i="3"/>
  <c r="BL85" i="3"/>
  <c r="AZ85" i="3"/>
  <c r="BM86" i="3"/>
  <c r="BN86" i="3"/>
  <c r="BO86" i="3"/>
  <c r="BP86" i="3"/>
  <c r="BL86" i="3"/>
  <c r="BM87" i="3"/>
  <c r="BN87" i="3"/>
  <c r="BO87" i="3"/>
  <c r="BP87" i="3"/>
  <c r="BL87" i="3"/>
  <c r="AZ87" i="3"/>
  <c r="BM88" i="3"/>
  <c r="BN88" i="3"/>
  <c r="BO88" i="3"/>
  <c r="BP88" i="3"/>
  <c r="BL88" i="3"/>
  <c r="BM89" i="3"/>
  <c r="BN89" i="3"/>
  <c r="BO89" i="3"/>
  <c r="BP89" i="3"/>
  <c r="BL89" i="3"/>
  <c r="AZ89" i="3"/>
  <c r="BM90" i="3"/>
  <c r="BN90" i="3"/>
  <c r="BO90" i="3"/>
  <c r="BP90" i="3"/>
  <c r="BL90" i="3"/>
  <c r="BM91" i="3"/>
  <c r="BN91" i="3"/>
  <c r="BO91" i="3"/>
  <c r="BP91" i="3"/>
  <c r="BL91" i="3"/>
  <c r="AZ91" i="3"/>
  <c r="BM92" i="3"/>
  <c r="BN92" i="3"/>
  <c r="BO92" i="3"/>
  <c r="BP92" i="3"/>
  <c r="BL92" i="3"/>
  <c r="BM93" i="3"/>
  <c r="BN93" i="3"/>
  <c r="BO93" i="3"/>
  <c r="BP93" i="3"/>
  <c r="BL93" i="3"/>
  <c r="AZ93" i="3"/>
  <c r="BM94" i="3"/>
  <c r="BN94" i="3"/>
  <c r="BO94" i="3"/>
  <c r="BP94" i="3"/>
  <c r="BL94" i="3"/>
  <c r="BM95" i="3"/>
  <c r="BN95" i="3"/>
  <c r="BO95" i="3"/>
  <c r="BP95" i="3"/>
  <c r="BL95" i="3"/>
  <c r="AZ95" i="3"/>
  <c r="BM96" i="3"/>
  <c r="BN96" i="3"/>
  <c r="BO96" i="3"/>
  <c r="BP96" i="3"/>
  <c r="BL96" i="3"/>
  <c r="BM97" i="3"/>
  <c r="BN97" i="3"/>
  <c r="BO97" i="3"/>
  <c r="BP97" i="3"/>
  <c r="BL97" i="3"/>
  <c r="AZ97" i="3"/>
  <c r="BM98" i="3"/>
  <c r="BN98" i="3"/>
  <c r="BO98" i="3"/>
  <c r="BP98" i="3"/>
  <c r="BL98" i="3"/>
  <c r="BM99" i="3"/>
  <c r="BN99" i="3"/>
  <c r="BO99" i="3"/>
  <c r="BP99" i="3"/>
  <c r="BL99" i="3"/>
  <c r="AZ99" i="3"/>
  <c r="BM100" i="3"/>
  <c r="BN100" i="3"/>
  <c r="BO100" i="3"/>
  <c r="BP100" i="3"/>
  <c r="BL100" i="3"/>
  <c r="BM101" i="3"/>
  <c r="BN101" i="3"/>
  <c r="BO101" i="3"/>
  <c r="BP101" i="3"/>
  <c r="BL101" i="3"/>
  <c r="AZ101" i="3"/>
  <c r="BM102" i="3"/>
  <c r="BN102" i="3"/>
  <c r="BO102" i="3"/>
  <c r="BP102" i="3"/>
  <c r="BL102" i="3"/>
  <c r="BM103" i="3"/>
  <c r="BN103" i="3"/>
  <c r="BO103" i="3"/>
  <c r="BP103" i="3"/>
  <c r="BL103" i="3"/>
  <c r="AZ103" i="3"/>
  <c r="BM104" i="3"/>
  <c r="BN104" i="3"/>
  <c r="BO104" i="3"/>
  <c r="BP104" i="3"/>
  <c r="BL104" i="3"/>
  <c r="BM105" i="3"/>
  <c r="BN105" i="3"/>
  <c r="BO105" i="3"/>
  <c r="BP105" i="3"/>
  <c r="BL105" i="3"/>
  <c r="AZ105" i="3"/>
  <c r="BM106" i="3"/>
  <c r="BN106" i="3"/>
  <c r="BO106" i="3"/>
  <c r="BP106" i="3"/>
  <c r="BL106" i="3"/>
  <c r="BM107" i="3"/>
  <c r="BN107" i="3"/>
  <c r="BO107" i="3"/>
  <c r="BP107" i="3"/>
  <c r="BL107" i="3"/>
  <c r="AZ107" i="3"/>
  <c r="BM108" i="3"/>
  <c r="BN108" i="3"/>
  <c r="BO108" i="3"/>
  <c r="BP108" i="3"/>
  <c r="BL108" i="3"/>
  <c r="BM109" i="3"/>
  <c r="BN109" i="3"/>
  <c r="BO109" i="3"/>
  <c r="BP109" i="3"/>
  <c r="BL109" i="3"/>
  <c r="AZ109" i="3"/>
  <c r="BM110" i="3"/>
  <c r="BN110" i="3"/>
  <c r="BO110" i="3"/>
  <c r="BP110" i="3"/>
  <c r="BL110" i="3"/>
  <c r="BM111" i="3"/>
  <c r="BN111" i="3"/>
  <c r="BO111" i="3"/>
  <c r="BP111" i="3"/>
  <c r="BL111" i="3"/>
  <c r="AZ111" i="3"/>
  <c r="BM112" i="3"/>
  <c r="BN112" i="3"/>
  <c r="BO112" i="3"/>
  <c r="BP112" i="3"/>
  <c r="BL112" i="3"/>
  <c r="BM113" i="3"/>
  <c r="BN113" i="3"/>
  <c r="BO113" i="3"/>
  <c r="BP113" i="3"/>
  <c r="BL113" i="3"/>
  <c r="AZ113" i="3"/>
  <c r="BM114" i="3"/>
  <c r="BN114" i="3"/>
  <c r="BO114" i="3"/>
  <c r="BP114" i="3"/>
  <c r="BL114" i="3"/>
  <c r="BM115" i="3"/>
  <c r="BN115" i="3"/>
  <c r="BO115" i="3"/>
  <c r="BP115" i="3"/>
  <c r="BL115" i="3"/>
  <c r="AZ115" i="3"/>
  <c r="BM116" i="3"/>
  <c r="BN116" i="3"/>
  <c r="BO116" i="3"/>
  <c r="BP116" i="3"/>
  <c r="BL116" i="3"/>
  <c r="BM117" i="3"/>
  <c r="BN117" i="3"/>
  <c r="BO117" i="3"/>
  <c r="BP117" i="3"/>
  <c r="BL117" i="3"/>
  <c r="AZ117" i="3"/>
  <c r="BM118" i="3"/>
  <c r="BN118" i="3"/>
  <c r="BO118" i="3"/>
  <c r="BP118" i="3"/>
  <c r="BL118" i="3"/>
  <c r="BM119" i="3"/>
  <c r="BN119" i="3"/>
  <c r="BO119" i="3"/>
  <c r="BP119" i="3"/>
  <c r="BL119" i="3"/>
  <c r="AZ119" i="3"/>
  <c r="BM120" i="3"/>
  <c r="BN120" i="3"/>
  <c r="BO120" i="3"/>
  <c r="BP120" i="3"/>
  <c r="BL120" i="3"/>
  <c r="BM121" i="3"/>
  <c r="BN121" i="3"/>
  <c r="BO121" i="3"/>
  <c r="BP121" i="3"/>
  <c r="BL121" i="3"/>
  <c r="AZ121" i="3"/>
  <c r="BM122" i="3"/>
  <c r="BN122" i="3"/>
  <c r="BO122" i="3"/>
  <c r="BP122" i="3"/>
  <c r="BL122" i="3"/>
  <c r="BM123" i="3"/>
  <c r="BN123" i="3"/>
  <c r="BO123" i="3"/>
  <c r="BP123" i="3"/>
  <c r="BL123" i="3"/>
  <c r="AZ123" i="3"/>
  <c r="BM124" i="3"/>
  <c r="BN124" i="3"/>
  <c r="BO124" i="3"/>
  <c r="BP124" i="3"/>
  <c r="BL124" i="3"/>
  <c r="BM125" i="3"/>
  <c r="BN125" i="3"/>
  <c r="BO125" i="3"/>
  <c r="BP125" i="3"/>
  <c r="BL125" i="3"/>
  <c r="AZ125" i="3"/>
  <c r="BM126" i="3"/>
  <c r="BN126" i="3"/>
  <c r="BO126" i="3"/>
  <c r="BP126" i="3"/>
  <c r="BL126" i="3"/>
  <c r="BM127" i="3"/>
  <c r="BN127" i="3"/>
  <c r="BO127" i="3"/>
  <c r="BP127" i="3"/>
  <c r="BL127" i="3"/>
  <c r="AZ127" i="3"/>
  <c r="BM128" i="3"/>
  <c r="BN128" i="3"/>
  <c r="BO128" i="3"/>
  <c r="BP128" i="3"/>
  <c r="BL128" i="3"/>
  <c r="BM129" i="3"/>
  <c r="BN129" i="3"/>
  <c r="BO129" i="3"/>
  <c r="BP129" i="3"/>
  <c r="BL129" i="3"/>
  <c r="AZ129" i="3"/>
  <c r="BM130" i="3"/>
  <c r="BN130" i="3"/>
  <c r="BO130" i="3"/>
  <c r="BP130" i="3"/>
  <c r="BL130" i="3"/>
  <c r="BM131" i="3"/>
  <c r="BN131" i="3"/>
  <c r="BO131" i="3"/>
  <c r="BP131" i="3"/>
  <c r="BL131" i="3"/>
  <c r="AZ131" i="3"/>
  <c r="BM132" i="3"/>
  <c r="BN132" i="3"/>
  <c r="BO132" i="3"/>
  <c r="BP132" i="3"/>
  <c r="BL132" i="3"/>
  <c r="BM133" i="3"/>
  <c r="BN133" i="3"/>
  <c r="BO133" i="3"/>
  <c r="BP133" i="3"/>
  <c r="BL133" i="3"/>
  <c r="AZ133" i="3"/>
  <c r="BM134" i="3"/>
  <c r="BN134" i="3"/>
  <c r="BO134" i="3"/>
  <c r="BP134" i="3"/>
  <c r="BL134" i="3"/>
  <c r="BM135" i="3"/>
  <c r="BN135" i="3"/>
  <c r="BO135" i="3"/>
  <c r="BP135" i="3"/>
  <c r="BL135" i="3"/>
  <c r="AZ135" i="3"/>
  <c r="BM136" i="3"/>
  <c r="BN136" i="3"/>
  <c r="BO136" i="3"/>
  <c r="BP136" i="3"/>
  <c r="BL136" i="3"/>
  <c r="BM137" i="3"/>
  <c r="BN137" i="3"/>
  <c r="BO137" i="3"/>
  <c r="BP137" i="3"/>
  <c r="BL137" i="3"/>
  <c r="AZ137" i="3"/>
  <c r="BM138" i="3"/>
  <c r="BN138" i="3"/>
  <c r="BO138" i="3"/>
  <c r="BP138" i="3"/>
  <c r="BL138" i="3"/>
  <c r="BM139" i="3"/>
  <c r="BN139" i="3"/>
  <c r="BO139" i="3"/>
  <c r="BP139" i="3"/>
  <c r="BL139" i="3"/>
  <c r="AZ139" i="3"/>
  <c r="BM140" i="3"/>
  <c r="BN140" i="3"/>
  <c r="BO140" i="3"/>
  <c r="BP140" i="3"/>
  <c r="BL140" i="3"/>
  <c r="BM141" i="3"/>
  <c r="BN141" i="3"/>
  <c r="BO141" i="3"/>
  <c r="BP141" i="3"/>
  <c r="BL141" i="3"/>
  <c r="AZ141" i="3"/>
  <c r="BM142" i="3"/>
  <c r="BN142" i="3"/>
  <c r="BO142" i="3"/>
  <c r="BP142" i="3"/>
  <c r="BL142" i="3"/>
  <c r="BM143" i="3"/>
  <c r="BN143" i="3"/>
  <c r="BO143" i="3"/>
  <c r="BP143" i="3"/>
  <c r="BL143" i="3"/>
  <c r="AZ143" i="3"/>
  <c r="BM144" i="3"/>
  <c r="BN144" i="3"/>
  <c r="BO144" i="3"/>
  <c r="BP144" i="3"/>
  <c r="BL144" i="3"/>
  <c r="BM145" i="3"/>
  <c r="BN145" i="3"/>
  <c r="BO145" i="3"/>
  <c r="BP145" i="3"/>
  <c r="BL145" i="3"/>
  <c r="AZ145" i="3"/>
  <c r="BM146" i="3"/>
  <c r="BN146" i="3"/>
  <c r="BO146" i="3"/>
  <c r="BP146" i="3"/>
  <c r="BL146" i="3"/>
  <c r="BM147" i="3"/>
  <c r="BN147" i="3"/>
  <c r="BO147" i="3"/>
  <c r="BP147" i="3"/>
  <c r="BL147" i="3"/>
  <c r="AZ147" i="3"/>
  <c r="BM148" i="3"/>
  <c r="BN148" i="3"/>
  <c r="BO148" i="3"/>
  <c r="BP148" i="3"/>
  <c r="BL148" i="3"/>
  <c r="BM149" i="3"/>
  <c r="BN149" i="3"/>
  <c r="BO149" i="3"/>
  <c r="BP149" i="3"/>
  <c r="BL149" i="3"/>
  <c r="AZ149" i="3"/>
  <c r="BM150" i="3"/>
  <c r="BN150" i="3"/>
  <c r="BO150" i="3"/>
  <c r="BP150" i="3"/>
  <c r="BL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BM249" i="3"/>
  <c r="BN249" i="3"/>
  <c r="BO249" i="3"/>
  <c r="BP249" i="3"/>
  <c r="BL249" i="3"/>
  <c r="AZ249" i="3"/>
  <c r="BM250" i="3"/>
  <c r="BN250" i="3"/>
  <c r="BO250" i="3"/>
  <c r="BP250" i="3"/>
  <c r="BL250" i="3"/>
  <c r="BM251" i="3"/>
  <c r="BN251" i="3"/>
  <c r="BO251" i="3"/>
  <c r="BP251" i="3"/>
  <c r="BL251" i="3"/>
  <c r="AZ251" i="3"/>
  <c r="BM252" i="3"/>
  <c r="BN252" i="3"/>
  <c r="BO252" i="3"/>
  <c r="BP252" i="3"/>
  <c r="BL252" i="3"/>
  <c r="BM253" i="3"/>
  <c r="BN253" i="3"/>
  <c r="BO253" i="3"/>
  <c r="BP253" i="3"/>
  <c r="BL253" i="3"/>
  <c r="AZ253" i="3"/>
  <c r="BM254" i="3"/>
  <c r="BN254" i="3"/>
  <c r="BO254" i="3"/>
  <c r="BP254" i="3"/>
  <c r="BL254" i="3"/>
  <c r="BM255" i="3"/>
  <c r="BN255" i="3"/>
  <c r="BO255" i="3"/>
  <c r="BP255" i="3"/>
  <c r="BL255" i="3"/>
  <c r="AZ255" i="3"/>
  <c r="BM256" i="3"/>
  <c r="BN256" i="3"/>
  <c r="BO256" i="3"/>
  <c r="BP256" i="3"/>
  <c r="BL256" i="3"/>
  <c r="BM257" i="3"/>
  <c r="BN257" i="3"/>
  <c r="BO257" i="3"/>
  <c r="BP257" i="3"/>
  <c r="BL257" i="3"/>
  <c r="AZ257" i="3"/>
  <c r="BM258" i="3"/>
  <c r="BN258" i="3"/>
  <c r="BO258" i="3"/>
  <c r="BP258" i="3"/>
  <c r="BL258" i="3"/>
  <c r="BM259" i="3"/>
  <c r="BN259" i="3"/>
  <c r="BO259" i="3"/>
  <c r="BP259" i="3"/>
  <c r="BL259" i="3"/>
  <c r="AZ259" i="3"/>
  <c r="BM260" i="3"/>
  <c r="BN260" i="3"/>
  <c r="BO260" i="3"/>
  <c r="BP260" i="3"/>
  <c r="BL260" i="3"/>
  <c r="BM261" i="3"/>
  <c r="BN261" i="3"/>
  <c r="BO261" i="3"/>
  <c r="BP261" i="3"/>
  <c r="BL261" i="3"/>
  <c r="AZ261" i="3"/>
  <c r="BM262" i="3"/>
  <c r="BN262" i="3"/>
  <c r="BO262" i="3"/>
  <c r="BP262" i="3"/>
  <c r="BL262" i="3"/>
  <c r="BM263" i="3"/>
  <c r="BN263" i="3"/>
  <c r="BO263" i="3"/>
  <c r="BP263" i="3"/>
  <c r="BL263" i="3"/>
  <c r="AZ263" i="3"/>
  <c r="BM264" i="3"/>
  <c r="BN264" i="3"/>
  <c r="BO264" i="3"/>
  <c r="BP264" i="3"/>
  <c r="BL264" i="3"/>
  <c r="BM265" i="3"/>
  <c r="BN265" i="3"/>
  <c r="BO265" i="3"/>
  <c r="BP265" i="3"/>
  <c r="BL265" i="3"/>
  <c r="AZ265" i="3"/>
  <c r="BM266" i="3"/>
  <c r="BN266" i="3"/>
  <c r="BO266" i="3"/>
  <c r="BP266" i="3"/>
  <c r="BL266" i="3"/>
  <c r="BM267" i="3"/>
  <c r="BN267" i="3"/>
  <c r="BO267" i="3"/>
  <c r="BP267" i="3"/>
  <c r="BL267" i="3"/>
  <c r="AZ267" i="3"/>
  <c r="BM268" i="3"/>
  <c r="BN268" i="3"/>
  <c r="BO268" i="3"/>
  <c r="BP268" i="3"/>
  <c r="BL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L351" i="3"/>
  <c r="AZ351" i="3"/>
  <c r="BO351" i="3"/>
  <c r="BP351" i="3"/>
  <c r="BM352" i="3"/>
  <c r="BN352" i="3"/>
  <c r="BL352" i="3"/>
  <c r="AZ352" i="3"/>
  <c r="BO352" i="3"/>
  <c r="BP352" i="3"/>
  <c r="BM353" i="3"/>
  <c r="BN353" i="3"/>
  <c r="BL353" i="3"/>
  <c r="AZ353" i="3"/>
  <c r="BO353" i="3"/>
  <c r="BP353" i="3"/>
  <c r="BM354" i="3"/>
  <c r="BN354" i="3"/>
  <c r="BL354" i="3"/>
  <c r="AZ354" i="3"/>
  <c r="BO354" i="3"/>
  <c r="BP354" i="3"/>
  <c r="BM355" i="3"/>
  <c r="BN355" i="3"/>
  <c r="BL355" i="3"/>
  <c r="AZ355" i="3"/>
  <c r="BO355" i="3"/>
  <c r="BP355" i="3"/>
  <c r="BM356" i="3"/>
  <c r="BN356" i="3"/>
  <c r="BL356" i="3"/>
  <c r="AZ356" i="3"/>
  <c r="BO356" i="3"/>
  <c r="BP356" i="3"/>
  <c r="BM357" i="3"/>
  <c r="BN357" i="3"/>
  <c r="BL357" i="3"/>
  <c r="AZ357" i="3"/>
  <c r="BO357" i="3"/>
  <c r="BP357" i="3"/>
  <c r="BM358" i="3"/>
  <c r="BN358" i="3"/>
  <c r="BL358" i="3"/>
  <c r="AZ358" i="3"/>
  <c r="BO358" i="3"/>
  <c r="BP358" i="3"/>
  <c r="BM359" i="3"/>
  <c r="BN359" i="3"/>
  <c r="BL359" i="3"/>
  <c r="AZ359" i="3"/>
  <c r="BO359" i="3"/>
  <c r="BP359" i="3"/>
  <c r="BM360" i="3"/>
  <c r="BN360" i="3"/>
  <c r="BL360" i="3"/>
  <c r="AZ360" i="3"/>
  <c r="BO360" i="3"/>
  <c r="BP360" i="3"/>
  <c r="BM361" i="3"/>
  <c r="BN361" i="3"/>
  <c r="BL361" i="3"/>
  <c r="AZ361" i="3"/>
  <c r="BO361" i="3"/>
  <c r="BP361" i="3"/>
  <c r="BM362" i="3"/>
  <c r="BN362" i="3"/>
  <c r="BL362" i="3"/>
  <c r="AZ362" i="3"/>
  <c r="BO362" i="3"/>
  <c r="BP362" i="3"/>
  <c r="BM363" i="3"/>
  <c r="BN363" i="3"/>
  <c r="BL363" i="3"/>
  <c r="AZ363" i="3"/>
  <c r="BO363" i="3"/>
  <c r="BP363" i="3"/>
  <c r="BM364" i="3"/>
  <c r="BN364" i="3"/>
  <c r="BL364" i="3"/>
  <c r="AZ364" i="3"/>
  <c r="BO364" i="3"/>
  <c r="BP364" i="3"/>
  <c r="BM365" i="3"/>
  <c r="BN365" i="3"/>
  <c r="BL365" i="3"/>
  <c r="AZ365" i="3"/>
  <c r="BO365" i="3"/>
  <c r="BP365" i="3"/>
  <c r="BM366" i="3"/>
  <c r="BN366" i="3"/>
  <c r="BL366" i="3"/>
  <c r="AZ366" i="3"/>
  <c r="BO366" i="3"/>
  <c r="BP366" i="3"/>
  <c r="BM367" i="3"/>
  <c r="BN367" i="3"/>
  <c r="BL367" i="3"/>
  <c r="AZ367" i="3"/>
  <c r="BO367" i="3"/>
  <c r="BP367" i="3"/>
  <c r="BM368" i="3"/>
  <c r="BN368" i="3"/>
  <c r="BL368" i="3"/>
  <c r="AZ368" i="3"/>
  <c r="BO368" i="3"/>
  <c r="BP368" i="3"/>
  <c r="BM369" i="3"/>
  <c r="BN369" i="3"/>
  <c r="BL369" i="3"/>
  <c r="AZ369" i="3"/>
  <c r="BO369" i="3"/>
  <c r="BP369" i="3"/>
  <c r="BM370" i="3"/>
  <c r="BN370" i="3"/>
  <c r="BL370" i="3"/>
  <c r="AZ370" i="3"/>
  <c r="BO370" i="3"/>
  <c r="BP370" i="3"/>
  <c r="BM371" i="3"/>
  <c r="BN371" i="3"/>
  <c r="BL371" i="3"/>
  <c r="AZ371" i="3"/>
  <c r="BO371" i="3"/>
  <c r="BP371" i="3"/>
  <c r="BM372" i="3"/>
  <c r="BN372" i="3"/>
  <c r="BL372" i="3"/>
  <c r="AZ372" i="3"/>
  <c r="BO372" i="3"/>
  <c r="BP372" i="3"/>
  <c r="BM373" i="3"/>
  <c r="BN373" i="3"/>
  <c r="BL373" i="3"/>
  <c r="AZ373" i="3"/>
  <c r="BO373" i="3"/>
  <c r="BP373" i="3"/>
  <c r="BM374" i="3"/>
  <c r="BN374" i="3"/>
  <c r="BL374" i="3"/>
  <c r="AZ374" i="3"/>
  <c r="BO374" i="3"/>
  <c r="BP374" i="3"/>
  <c r="BM375" i="3"/>
  <c r="BN375" i="3"/>
  <c r="BL375" i="3"/>
  <c r="AZ375" i="3"/>
  <c r="BO375" i="3"/>
  <c r="BP375" i="3"/>
  <c r="BM376" i="3"/>
  <c r="BN376" i="3"/>
  <c r="BL376" i="3"/>
  <c r="AZ376" i="3"/>
  <c r="BO376" i="3"/>
  <c r="BP376" i="3"/>
  <c r="BM377" i="3"/>
  <c r="BN377" i="3"/>
  <c r="BL377" i="3"/>
  <c r="AZ377" i="3"/>
  <c r="BO377" i="3"/>
  <c r="BP377" i="3"/>
  <c r="BM378" i="3"/>
  <c r="BN378" i="3"/>
  <c r="BL378" i="3"/>
  <c r="AZ378" i="3"/>
  <c r="BO378" i="3"/>
  <c r="BP378" i="3"/>
  <c r="BM379" i="3"/>
  <c r="BN379" i="3"/>
  <c r="BL379" i="3"/>
  <c r="AZ379" i="3"/>
  <c r="BO379" i="3"/>
  <c r="BP379" i="3"/>
  <c r="BM380" i="3"/>
  <c r="BN380" i="3"/>
  <c r="BL380" i="3"/>
  <c r="AZ380" i="3"/>
  <c r="BO380" i="3"/>
  <c r="BP380" i="3"/>
  <c r="BM381" i="3"/>
  <c r="BN381" i="3"/>
  <c r="BL381" i="3"/>
  <c r="AZ381" i="3"/>
  <c r="BO381" i="3"/>
  <c r="BP381" i="3"/>
  <c r="BM382" i="3"/>
  <c r="BN382" i="3"/>
  <c r="BL382" i="3"/>
  <c r="AZ382" i="3"/>
  <c r="BO382" i="3"/>
  <c r="BP382" i="3"/>
  <c r="BM383" i="3"/>
  <c r="BN383" i="3"/>
  <c r="BL383" i="3"/>
  <c r="AZ383" i="3"/>
  <c r="BO383" i="3"/>
  <c r="BP383" i="3"/>
  <c r="BM384" i="3"/>
  <c r="BN384" i="3"/>
  <c r="BL384" i="3"/>
  <c r="AZ384" i="3"/>
  <c r="BO384" i="3"/>
  <c r="BP384" i="3"/>
  <c r="BM385" i="3"/>
  <c r="BN385" i="3"/>
  <c r="BL385" i="3"/>
  <c r="AZ385" i="3"/>
  <c r="BO385" i="3"/>
  <c r="BP385" i="3"/>
  <c r="BM386" i="3"/>
  <c r="BN386" i="3"/>
  <c r="BL386" i="3"/>
  <c r="AZ386" i="3"/>
  <c r="BO386" i="3"/>
  <c r="BP386" i="3"/>
  <c r="BM387" i="3"/>
  <c r="BN387" i="3"/>
  <c r="BL387" i="3"/>
  <c r="AZ387" i="3"/>
  <c r="BO387" i="3"/>
  <c r="BP387" i="3"/>
  <c r="BM388" i="3"/>
  <c r="BN388" i="3"/>
  <c r="BL388" i="3"/>
  <c r="AZ388" i="3"/>
  <c r="BO388" i="3"/>
  <c r="BP388" i="3"/>
  <c r="BM389" i="3"/>
  <c r="BN389" i="3"/>
  <c r="BL389" i="3"/>
  <c r="AZ389" i="3"/>
  <c r="BO389" i="3"/>
  <c r="BP389" i="3"/>
  <c r="BM390" i="3"/>
  <c r="BN390" i="3"/>
  <c r="BL390" i="3"/>
  <c r="AZ390" i="3"/>
  <c r="BO390" i="3"/>
  <c r="BP390" i="3"/>
  <c r="BM391" i="3"/>
  <c r="BN391" i="3"/>
  <c r="BL391" i="3"/>
  <c r="AZ391" i="3"/>
  <c r="BO391" i="3"/>
  <c r="BP391" i="3"/>
  <c r="BM392" i="3"/>
  <c r="BN392" i="3"/>
  <c r="BL392" i="3"/>
  <c r="AZ392" i="3"/>
  <c r="BO392" i="3"/>
  <c r="BP392" i="3"/>
  <c r="BM393" i="3"/>
  <c r="BN393" i="3"/>
  <c r="BL393" i="3"/>
  <c r="AZ393" i="3"/>
  <c r="BO393" i="3"/>
  <c r="BP393" i="3"/>
  <c r="BM394" i="3"/>
  <c r="BN394" i="3"/>
  <c r="BL394" i="3"/>
  <c r="AZ394" i="3"/>
  <c r="BO394" i="3"/>
  <c r="BP394" i="3"/>
  <c r="BM395" i="3"/>
  <c r="BN395" i="3"/>
  <c r="BL395" i="3"/>
  <c r="AZ395" i="3"/>
  <c r="BO395" i="3"/>
  <c r="BP395" i="3"/>
  <c r="BM396" i="3"/>
  <c r="BN396" i="3"/>
  <c r="BL396" i="3"/>
  <c r="AZ396" i="3"/>
  <c r="BO396" i="3"/>
  <c r="BP396" i="3"/>
  <c r="BM397" i="3"/>
  <c r="BN397" i="3"/>
  <c r="BL397" i="3"/>
  <c r="AZ397" i="3"/>
  <c r="BO397" i="3"/>
  <c r="BP397" i="3"/>
  <c r="BM398" i="3"/>
  <c r="BN398" i="3"/>
  <c r="BL398" i="3"/>
  <c r="AZ398" i="3"/>
  <c r="BO398" i="3"/>
  <c r="BP398" i="3"/>
  <c r="BM399" i="3"/>
  <c r="BN399" i="3"/>
  <c r="BL399" i="3"/>
  <c r="AZ399" i="3"/>
  <c r="BO399" i="3"/>
  <c r="BP399" i="3"/>
  <c r="BM400" i="3"/>
  <c r="BN400" i="3"/>
  <c r="BL400" i="3"/>
  <c r="AZ400" i="3"/>
  <c r="BO400" i="3"/>
  <c r="BP400" i="3"/>
  <c r="BM401" i="3"/>
  <c r="BN401" i="3"/>
  <c r="BL401" i="3"/>
  <c r="AZ401" i="3"/>
  <c r="BO401" i="3"/>
  <c r="BP401" i="3"/>
  <c r="BM402" i="3"/>
  <c r="BN402" i="3"/>
  <c r="BL402" i="3"/>
  <c r="AZ402" i="3"/>
  <c r="BO402" i="3"/>
  <c r="BP402" i="3"/>
  <c r="BM403" i="3"/>
  <c r="BN403" i="3"/>
  <c r="BL403" i="3"/>
  <c r="AZ403" i="3"/>
  <c r="BO403" i="3"/>
  <c r="BP403" i="3"/>
  <c r="BM404" i="3"/>
  <c r="BN404" i="3"/>
  <c r="BL404" i="3"/>
  <c r="AZ404" i="3"/>
  <c r="BO404" i="3"/>
  <c r="BP404" i="3"/>
  <c r="BM405" i="3"/>
  <c r="BN405" i="3"/>
  <c r="BL405" i="3"/>
  <c r="AZ405" i="3"/>
  <c r="BO405" i="3"/>
  <c r="BP405" i="3"/>
  <c r="BM406" i="3"/>
  <c r="BN406" i="3"/>
  <c r="BL406" i="3"/>
  <c r="AZ406" i="3"/>
  <c r="BO406" i="3"/>
  <c r="BP406" i="3"/>
  <c r="BM407" i="3"/>
  <c r="BN407" i="3"/>
  <c r="BL407" i="3"/>
  <c r="AZ407" i="3"/>
  <c r="BO407" i="3"/>
  <c r="BP407" i="3"/>
  <c r="BM408" i="3"/>
  <c r="BN408" i="3"/>
  <c r="BL408" i="3"/>
  <c r="AZ408" i="3"/>
  <c r="BO408" i="3"/>
  <c r="BP408" i="3"/>
  <c r="BM409" i="3"/>
  <c r="BN409" i="3"/>
  <c r="BL409" i="3"/>
  <c r="AZ409" i="3"/>
  <c r="BO409" i="3"/>
  <c r="BP409" i="3"/>
  <c r="BM410" i="3"/>
  <c r="BN410" i="3"/>
  <c r="BL410" i="3"/>
  <c r="AZ410" i="3"/>
  <c r="BO410" i="3"/>
  <c r="BP410" i="3"/>
  <c r="BM411" i="3"/>
  <c r="BN411" i="3"/>
  <c r="BL411" i="3"/>
  <c r="AZ411" i="3"/>
  <c r="BO411" i="3"/>
  <c r="BP411" i="3"/>
  <c r="BM412" i="3"/>
  <c r="BN412" i="3"/>
  <c r="BL412" i="3"/>
  <c r="AZ412" i="3"/>
  <c r="BO412" i="3"/>
  <c r="BP412" i="3"/>
  <c r="BM413" i="3"/>
  <c r="BN413" i="3"/>
  <c r="BL413" i="3"/>
  <c r="AZ413" i="3"/>
  <c r="BO413" i="3"/>
  <c r="BP413" i="3"/>
  <c r="BM414" i="3"/>
  <c r="BN414" i="3"/>
  <c r="BL414" i="3"/>
  <c r="AZ414" i="3"/>
  <c r="BO414" i="3"/>
  <c r="BP414" i="3"/>
  <c r="BM415" i="3"/>
  <c r="BN415" i="3"/>
  <c r="BL415" i="3"/>
  <c r="AZ415" i="3"/>
  <c r="BO415" i="3"/>
  <c r="BP415" i="3"/>
  <c r="BM416" i="3"/>
  <c r="BN416" i="3"/>
  <c r="BL416" i="3"/>
  <c r="AZ416" i="3"/>
  <c r="BO416" i="3"/>
  <c r="BP416" i="3"/>
  <c r="BM417" i="3"/>
  <c r="BN417" i="3"/>
  <c r="BL417" i="3"/>
  <c r="AZ417" i="3"/>
  <c r="BO417" i="3"/>
  <c r="BP417" i="3"/>
  <c r="BM418" i="3"/>
  <c r="BN418" i="3"/>
  <c r="BL418" i="3"/>
  <c r="AZ418" i="3"/>
  <c r="BO418" i="3"/>
  <c r="BP418" i="3"/>
  <c r="BM419" i="3"/>
  <c r="BN419" i="3"/>
  <c r="BL419" i="3"/>
  <c r="AZ419" i="3"/>
  <c r="BO419" i="3"/>
  <c r="BP419" i="3"/>
  <c r="BM420" i="3"/>
  <c r="BN420" i="3"/>
  <c r="BL420" i="3"/>
  <c r="AZ420" i="3"/>
  <c r="BO420" i="3"/>
  <c r="BP420" i="3"/>
  <c r="BM421" i="3"/>
  <c r="BN421" i="3"/>
  <c r="BL421" i="3"/>
  <c r="AZ421" i="3"/>
  <c r="BO421" i="3"/>
  <c r="BP421" i="3"/>
  <c r="BM422" i="3"/>
  <c r="BN422" i="3"/>
  <c r="BL422" i="3"/>
  <c r="AZ422" i="3"/>
  <c r="BO422" i="3"/>
  <c r="BP422" i="3"/>
  <c r="BM423" i="3"/>
  <c r="BN423" i="3"/>
  <c r="BL423" i="3"/>
  <c r="AZ423" i="3"/>
  <c r="BO423" i="3"/>
  <c r="BP423" i="3"/>
  <c r="BM424" i="3"/>
  <c r="BN424" i="3"/>
  <c r="BL424" i="3"/>
  <c r="AZ424" i="3"/>
  <c r="BO424" i="3"/>
  <c r="BP424" i="3"/>
  <c r="BM425" i="3"/>
  <c r="BN425" i="3"/>
  <c r="BL425" i="3"/>
  <c r="AZ425" i="3"/>
  <c r="BO425" i="3"/>
  <c r="BP425" i="3"/>
  <c r="BM426" i="3"/>
  <c r="BN426" i="3"/>
  <c r="BL426" i="3"/>
  <c r="AZ426" i="3"/>
  <c r="BO426" i="3"/>
  <c r="BP426" i="3"/>
  <c r="BM427" i="3"/>
  <c r="BN427" i="3"/>
  <c r="BL427" i="3"/>
  <c r="AZ427" i="3"/>
  <c r="BO427" i="3"/>
  <c r="BP427" i="3"/>
  <c r="BM428" i="3"/>
  <c r="BN428" i="3"/>
  <c r="BL428" i="3"/>
  <c r="AZ428" i="3"/>
  <c r="BO428" i="3"/>
  <c r="BP428" i="3"/>
  <c r="BM429" i="3"/>
  <c r="BN429" i="3"/>
  <c r="BL429" i="3"/>
  <c r="AZ429" i="3"/>
  <c r="BO429" i="3"/>
  <c r="BP429" i="3"/>
  <c r="BM430" i="3"/>
  <c r="BN430" i="3"/>
  <c r="BL430" i="3"/>
  <c r="AZ430" i="3"/>
  <c r="BO430" i="3"/>
  <c r="BP430" i="3"/>
  <c r="BM431" i="3"/>
  <c r="BN431" i="3"/>
  <c r="BL431" i="3"/>
  <c r="AZ431" i="3"/>
  <c r="BO431" i="3"/>
  <c r="BP431" i="3"/>
  <c r="BM432" i="3"/>
  <c r="BN432" i="3"/>
  <c r="BL432" i="3"/>
  <c r="AZ432" i="3"/>
  <c r="BO432" i="3"/>
  <c r="BP432" i="3"/>
  <c r="BM433" i="3"/>
  <c r="BN433" i="3"/>
  <c r="BL433" i="3"/>
  <c r="AZ433" i="3"/>
  <c r="BO433" i="3"/>
  <c r="BP433" i="3"/>
  <c r="BM434" i="3"/>
  <c r="BN434" i="3"/>
  <c r="BL434" i="3"/>
  <c r="AZ434" i="3"/>
  <c r="BO434" i="3"/>
  <c r="BP434" i="3"/>
  <c r="BM435" i="3"/>
  <c r="BN435" i="3"/>
  <c r="BL435" i="3"/>
  <c r="AZ435" i="3"/>
  <c r="BO435" i="3"/>
  <c r="BP435" i="3"/>
  <c r="BM436" i="3"/>
  <c r="BN436" i="3"/>
  <c r="BL436" i="3"/>
  <c r="AZ436" i="3"/>
  <c r="BO436" i="3"/>
  <c r="BP436" i="3"/>
  <c r="BM437" i="3"/>
  <c r="BN437" i="3"/>
  <c r="BL437" i="3"/>
  <c r="AZ437" i="3"/>
  <c r="BO437" i="3"/>
  <c r="BP437" i="3"/>
  <c r="BM438" i="3"/>
  <c r="BN438" i="3"/>
  <c r="BL438" i="3"/>
  <c r="AZ438" i="3"/>
  <c r="BO438" i="3"/>
  <c r="BP438" i="3"/>
  <c r="BM439" i="3"/>
  <c r="BN439" i="3"/>
  <c r="BL439" i="3"/>
  <c r="AZ439" i="3"/>
  <c r="BO439" i="3"/>
  <c r="BP439" i="3"/>
  <c r="BM440" i="3"/>
  <c r="BN440" i="3"/>
  <c r="BL440" i="3"/>
  <c r="AZ440" i="3"/>
  <c r="BO440" i="3"/>
  <c r="BP440" i="3"/>
  <c r="BM441" i="3"/>
  <c r="BN441" i="3"/>
  <c r="BL441" i="3"/>
  <c r="AZ441" i="3"/>
  <c r="BO441" i="3"/>
  <c r="BP441" i="3"/>
  <c r="BM442" i="3"/>
  <c r="BN442" i="3"/>
  <c r="BL442" i="3"/>
  <c r="AZ442" i="3"/>
  <c r="BO442" i="3"/>
  <c r="BP442" i="3"/>
  <c r="BM443" i="3"/>
  <c r="BN443" i="3"/>
  <c r="BL443" i="3"/>
  <c r="AZ443" i="3"/>
  <c r="BO443" i="3"/>
  <c r="BP443" i="3"/>
  <c r="BM444" i="3"/>
  <c r="BN444" i="3"/>
  <c r="BL444" i="3"/>
  <c r="AZ444" i="3"/>
  <c r="BO444" i="3"/>
  <c r="BP444" i="3"/>
  <c r="BM445" i="3"/>
  <c r="BN445" i="3"/>
  <c r="BL445" i="3"/>
  <c r="AZ445" i="3"/>
  <c r="BO445" i="3"/>
  <c r="BP445" i="3"/>
  <c r="BM446" i="3"/>
  <c r="BN446" i="3"/>
  <c r="BL446" i="3"/>
  <c r="AZ446" i="3"/>
  <c r="BO446" i="3"/>
  <c r="BP446" i="3"/>
  <c r="BM447" i="3"/>
  <c r="BN447" i="3"/>
  <c r="BL447" i="3"/>
  <c r="AZ447" i="3"/>
  <c r="BO447" i="3"/>
  <c r="BP447" i="3"/>
  <c r="BM448" i="3"/>
  <c r="BN448" i="3"/>
  <c r="BL448" i="3"/>
  <c r="AZ448" i="3"/>
  <c r="BO448" i="3"/>
  <c r="BP448" i="3"/>
  <c r="BM449" i="3"/>
  <c r="BN449" i="3"/>
  <c r="BL449" i="3"/>
  <c r="AZ449" i="3"/>
  <c r="BO449" i="3"/>
  <c r="BP449" i="3"/>
  <c r="BM450" i="3"/>
  <c r="BN450" i="3"/>
  <c r="BL450" i="3"/>
  <c r="AZ450" i="3"/>
  <c r="BO450" i="3"/>
  <c r="BP450" i="3"/>
  <c r="BM451" i="3"/>
  <c r="BN451" i="3"/>
  <c r="BL451" i="3"/>
  <c r="AZ451" i="3"/>
  <c r="BO451" i="3"/>
  <c r="BP451" i="3"/>
  <c r="BM452" i="3"/>
  <c r="BN452" i="3"/>
  <c r="BL452" i="3"/>
  <c r="AZ452" i="3"/>
  <c r="BO452" i="3"/>
  <c r="BP452" i="3"/>
  <c r="BM453" i="3"/>
  <c r="BN453" i="3"/>
  <c r="BL453" i="3"/>
  <c r="AZ453" i="3"/>
  <c r="BO453" i="3"/>
  <c r="BP453" i="3"/>
  <c r="BM454" i="3"/>
  <c r="BN454" i="3"/>
  <c r="BL454" i="3"/>
  <c r="AZ454" i="3"/>
  <c r="BO454" i="3"/>
  <c r="BP454" i="3"/>
  <c r="BM455" i="3"/>
  <c r="BN455" i="3"/>
  <c r="BL455" i="3"/>
  <c r="AZ455" i="3"/>
  <c r="BO455" i="3"/>
  <c r="BP455" i="3"/>
  <c r="BM456" i="3"/>
  <c r="BN456" i="3"/>
  <c r="BL456" i="3"/>
  <c r="AZ456" i="3"/>
  <c r="BO456" i="3"/>
  <c r="BP456" i="3"/>
  <c r="BM457" i="3"/>
  <c r="BN457" i="3"/>
  <c r="BL457" i="3"/>
  <c r="AZ457" i="3"/>
  <c r="BO457" i="3"/>
  <c r="BP457" i="3"/>
  <c r="BM458" i="3"/>
  <c r="BN458" i="3"/>
  <c r="BL458" i="3"/>
  <c r="AZ458" i="3"/>
  <c r="BO458" i="3"/>
  <c r="BP458" i="3"/>
  <c r="BM459" i="3"/>
  <c r="BN459" i="3"/>
  <c r="BL459" i="3"/>
  <c r="AZ459" i="3"/>
  <c r="BO459" i="3"/>
  <c r="BP459" i="3"/>
  <c r="BM460" i="3"/>
  <c r="BN460" i="3"/>
  <c r="BL460" i="3"/>
  <c r="AZ460" i="3"/>
  <c r="BO460" i="3"/>
  <c r="BP460" i="3"/>
  <c r="BM461" i="3"/>
  <c r="BN461" i="3"/>
  <c r="BL461" i="3"/>
  <c r="AZ461" i="3"/>
  <c r="BO461" i="3"/>
  <c r="BP461" i="3"/>
  <c r="BM462" i="3"/>
  <c r="BN462" i="3"/>
  <c r="BL462" i="3"/>
  <c r="AZ462" i="3"/>
  <c r="BO462" i="3"/>
  <c r="BP462" i="3"/>
  <c r="BM463" i="3"/>
  <c r="BN463" i="3"/>
  <c r="BL463" i="3"/>
  <c r="AZ463" i="3"/>
  <c r="BO463" i="3"/>
  <c r="BP463" i="3"/>
  <c r="BM464" i="3"/>
  <c r="BN464" i="3"/>
  <c r="BL464" i="3"/>
  <c r="AZ464" i="3"/>
  <c r="BO464" i="3"/>
  <c r="BP464" i="3"/>
  <c r="BM465" i="3"/>
  <c r="BN465" i="3"/>
  <c r="BL465" i="3"/>
  <c r="AZ465" i="3"/>
  <c r="BO465" i="3"/>
  <c r="BP465" i="3"/>
  <c r="BM466" i="3"/>
  <c r="BN466" i="3"/>
  <c r="BL466" i="3"/>
  <c r="AZ466" i="3"/>
  <c r="BO466" i="3"/>
  <c r="BP466" i="3"/>
  <c r="BM467" i="3"/>
  <c r="BN467" i="3"/>
  <c r="BL467" i="3"/>
  <c r="AZ467" i="3"/>
  <c r="BO467" i="3"/>
  <c r="BP467" i="3"/>
  <c r="BM468" i="3"/>
  <c r="BN468" i="3"/>
  <c r="BL468" i="3"/>
  <c r="AZ468" i="3"/>
  <c r="BO468" i="3"/>
  <c r="BP468" i="3"/>
  <c r="BM469" i="3"/>
  <c r="BN469" i="3"/>
  <c r="BL469" i="3"/>
  <c r="AZ469" i="3"/>
  <c r="BO469" i="3"/>
  <c r="BP469" i="3"/>
  <c r="BM470" i="3"/>
  <c r="BN470" i="3"/>
  <c r="BL470" i="3"/>
  <c r="AZ470" i="3"/>
  <c r="BO470" i="3"/>
  <c r="BP470" i="3"/>
  <c r="BM471" i="3"/>
  <c r="BN471" i="3"/>
  <c r="BL471" i="3"/>
  <c r="AZ471" i="3"/>
  <c r="BO471" i="3"/>
  <c r="BP471" i="3"/>
  <c r="BM472" i="3"/>
  <c r="BN472" i="3"/>
  <c r="BL472" i="3"/>
  <c r="AZ472" i="3"/>
  <c r="BO472" i="3"/>
  <c r="BP472" i="3"/>
  <c r="BM473" i="3"/>
  <c r="BN473" i="3"/>
  <c r="BL473" i="3"/>
  <c r="AZ473" i="3"/>
  <c r="BO473" i="3"/>
  <c r="BP473" i="3"/>
  <c r="BM474" i="3"/>
  <c r="BN474" i="3"/>
  <c r="BL474" i="3"/>
  <c r="AZ474" i="3"/>
  <c r="BO474" i="3"/>
  <c r="BP474" i="3"/>
  <c r="BM475" i="3"/>
  <c r="BN475" i="3"/>
  <c r="BL475" i="3"/>
  <c r="AZ475" i="3"/>
  <c r="BO475" i="3"/>
  <c r="BP475" i="3"/>
  <c r="BM476" i="3"/>
  <c r="BN476" i="3"/>
  <c r="BL476" i="3"/>
  <c r="AZ476" i="3"/>
  <c r="BO476" i="3"/>
  <c r="BP476" i="3"/>
  <c r="BM477" i="3"/>
  <c r="BN477" i="3"/>
  <c r="BL477" i="3"/>
  <c r="AZ477" i="3"/>
  <c r="BO477" i="3"/>
  <c r="BP477" i="3"/>
  <c r="BM478" i="3"/>
  <c r="BN478" i="3"/>
  <c r="BL478" i="3"/>
  <c r="AZ478" i="3"/>
  <c r="BO478" i="3"/>
  <c r="BP478" i="3"/>
  <c r="BM479" i="3"/>
  <c r="BN479" i="3"/>
  <c r="BL479" i="3"/>
  <c r="AZ479" i="3"/>
  <c r="BO479" i="3"/>
  <c r="BP479" i="3"/>
  <c r="BM480" i="3"/>
  <c r="BN480" i="3"/>
  <c r="BL480" i="3"/>
  <c r="AZ480" i="3"/>
  <c r="BO480" i="3"/>
  <c r="BP480" i="3"/>
  <c r="BM481" i="3"/>
  <c r="BN481" i="3"/>
  <c r="BL481" i="3"/>
  <c r="AZ481" i="3"/>
  <c r="BO481" i="3"/>
  <c r="BP481" i="3"/>
  <c r="BM482" i="3"/>
  <c r="BN482" i="3"/>
  <c r="BL482" i="3"/>
  <c r="AZ482" i="3"/>
  <c r="BO482" i="3"/>
  <c r="BP482" i="3"/>
  <c r="BM483" i="3"/>
  <c r="BN483" i="3"/>
  <c r="BL483" i="3"/>
  <c r="AZ483" i="3"/>
  <c r="BO483" i="3"/>
  <c r="BP483" i="3"/>
  <c r="BM484" i="3"/>
  <c r="BN484" i="3"/>
  <c r="BL484" i="3"/>
  <c r="AZ484" i="3"/>
  <c r="BO484" i="3"/>
  <c r="BP484" i="3"/>
  <c r="BM485" i="3"/>
  <c r="BN485" i="3"/>
  <c r="BL485" i="3"/>
  <c r="AZ485" i="3"/>
  <c r="BO485" i="3"/>
  <c r="BP485" i="3"/>
  <c r="BM486" i="3"/>
  <c r="BN486" i="3"/>
  <c r="BL486" i="3"/>
  <c r="AZ486" i="3"/>
  <c r="BO486" i="3"/>
  <c r="BP486" i="3"/>
  <c r="BM487" i="3"/>
  <c r="BN487" i="3"/>
  <c r="BL487" i="3"/>
  <c r="AZ487" i="3"/>
  <c r="BO487" i="3"/>
  <c r="BP487" i="3"/>
  <c r="BM488" i="3"/>
  <c r="BN488" i="3"/>
  <c r="BL488" i="3"/>
  <c r="AZ488" i="3"/>
  <c r="BO488" i="3"/>
  <c r="BP488" i="3"/>
  <c r="BM489" i="3"/>
  <c r="BN489" i="3"/>
  <c r="BL489" i="3"/>
  <c r="AZ489" i="3"/>
  <c r="BO489" i="3"/>
  <c r="BP489" i="3"/>
  <c r="BM490" i="3"/>
  <c r="BN490" i="3"/>
  <c r="BL490" i="3"/>
  <c r="AZ490" i="3"/>
  <c r="BO490" i="3"/>
  <c r="BP490" i="3"/>
  <c r="BM491" i="3"/>
  <c r="BN491" i="3"/>
  <c r="BL491" i="3"/>
  <c r="AZ491" i="3"/>
  <c r="BO491" i="3"/>
  <c r="BP491" i="3"/>
  <c r="BM492" i="3"/>
  <c r="BN492" i="3"/>
  <c r="BL492" i="3"/>
  <c r="AZ492" i="3"/>
  <c r="BO492" i="3"/>
  <c r="BP492" i="3"/>
  <c r="BM493" i="3"/>
  <c r="BN493" i="3"/>
  <c r="BL493" i="3"/>
  <c r="AZ493" i="3"/>
  <c r="BO493" i="3"/>
  <c r="BP493" i="3"/>
  <c r="BM494" i="3"/>
  <c r="BN494" i="3"/>
  <c r="BL494" i="3"/>
  <c r="AZ494" i="3"/>
  <c r="BO494" i="3"/>
  <c r="BP494" i="3"/>
  <c r="BM495" i="3"/>
  <c r="BN495" i="3"/>
  <c r="BL495" i="3"/>
  <c r="AZ495" i="3"/>
  <c r="BO495" i="3"/>
  <c r="BP495" i="3"/>
  <c r="BM496" i="3"/>
  <c r="BN496" i="3"/>
  <c r="BL496" i="3"/>
  <c r="AZ496" i="3"/>
  <c r="BO496" i="3"/>
  <c r="BP496" i="3"/>
  <c r="BM497" i="3"/>
  <c r="BN497" i="3"/>
  <c r="BL497" i="3"/>
  <c r="AZ497" i="3"/>
  <c r="BO497" i="3"/>
  <c r="BP497" i="3"/>
  <c r="BM498" i="3"/>
  <c r="BN498" i="3"/>
  <c r="BL498" i="3"/>
  <c r="AZ498" i="3"/>
  <c r="BO498" i="3"/>
  <c r="BP498" i="3"/>
  <c r="BM499" i="3"/>
  <c r="BN499" i="3"/>
  <c r="BL499" i="3"/>
  <c r="AZ499" i="3"/>
  <c r="BO499" i="3"/>
  <c r="BP499" i="3"/>
  <c r="BM500" i="3"/>
  <c r="BN500" i="3"/>
  <c r="BL500" i="3"/>
  <c r="AZ500" i="3"/>
  <c r="BO500" i="3"/>
  <c r="BP500" i="3"/>
  <c r="BM501" i="3"/>
  <c r="BN501" i="3"/>
  <c r="BL501" i="3"/>
  <c r="AZ501" i="3"/>
  <c r="BO501" i="3"/>
  <c r="BP501" i="3"/>
  <c r="BM502" i="3"/>
  <c r="BN502" i="3"/>
  <c r="BL502" i="3"/>
  <c r="AZ502" i="3"/>
  <c r="BO502" i="3"/>
  <c r="BP502" i="3"/>
  <c r="BM503" i="3"/>
  <c r="BN503" i="3"/>
  <c r="BL503" i="3"/>
  <c r="AZ503" i="3"/>
  <c r="BO503" i="3"/>
  <c r="BP503" i="3"/>
  <c r="BM504" i="3"/>
  <c r="BN504" i="3"/>
  <c r="BL504" i="3"/>
  <c r="AZ504" i="3"/>
  <c r="BO504" i="3"/>
  <c r="BP504" i="3"/>
  <c r="BM505" i="3"/>
  <c r="BN505" i="3"/>
  <c r="BL505" i="3"/>
  <c r="AZ505" i="3"/>
  <c r="BO505" i="3"/>
  <c r="BP505" i="3"/>
  <c r="BM506" i="3"/>
  <c r="BN506" i="3"/>
  <c r="BL506" i="3"/>
  <c r="AZ506" i="3"/>
  <c r="BO506" i="3"/>
  <c r="BP506" i="3"/>
  <c r="BM507" i="3"/>
  <c r="BN507" i="3"/>
  <c r="BL507" i="3"/>
  <c r="AZ507" i="3"/>
  <c r="BO507" i="3"/>
  <c r="BP507" i="3"/>
  <c r="BM508" i="3"/>
  <c r="BN508" i="3"/>
  <c r="BL508" i="3"/>
  <c r="AZ508" i="3"/>
  <c r="BO508" i="3"/>
  <c r="BP508" i="3"/>
  <c r="BM509" i="3"/>
  <c r="BN509" i="3"/>
  <c r="BL509" i="3"/>
  <c r="AZ509" i="3"/>
  <c r="BO509" i="3"/>
  <c r="BP509" i="3"/>
  <c r="BM510" i="3"/>
  <c r="BN510" i="3"/>
  <c r="BL510" i="3"/>
  <c r="AZ510" i="3"/>
  <c r="BO510" i="3"/>
  <c r="BP510" i="3"/>
  <c r="BM511" i="3"/>
  <c r="BN511" i="3"/>
  <c r="BL511" i="3"/>
  <c r="AZ511" i="3"/>
  <c r="BO511" i="3"/>
  <c r="BP511" i="3"/>
  <c r="BM512" i="3"/>
  <c r="BN512" i="3"/>
  <c r="BL512" i="3"/>
  <c r="AZ512" i="3"/>
  <c r="BO512" i="3"/>
  <c r="BP512" i="3"/>
  <c r="BM513" i="3"/>
  <c r="BN513" i="3"/>
  <c r="BL513" i="3"/>
  <c r="AZ513" i="3"/>
  <c r="BO513" i="3"/>
  <c r="BP513" i="3"/>
  <c r="BM514" i="3"/>
  <c r="BN514" i="3"/>
  <c r="BL514" i="3"/>
  <c r="AZ514" i="3"/>
  <c r="BO514" i="3"/>
  <c r="BP514" i="3"/>
  <c r="BM515" i="3"/>
  <c r="BN515" i="3"/>
  <c r="BL515" i="3"/>
  <c r="AZ515" i="3"/>
  <c r="BO515" i="3"/>
  <c r="BP515" i="3"/>
  <c r="BM516" i="3"/>
  <c r="BN516" i="3"/>
  <c r="BL516" i="3"/>
  <c r="AZ516" i="3"/>
  <c r="BO516" i="3"/>
  <c r="BP516" i="3"/>
  <c r="BM517" i="3"/>
  <c r="BN517" i="3"/>
  <c r="BL517" i="3"/>
  <c r="AZ517" i="3"/>
  <c r="BO517" i="3"/>
  <c r="BP517" i="3"/>
  <c r="BM518" i="3"/>
  <c r="BN518" i="3"/>
  <c r="BL518" i="3"/>
  <c r="AZ518" i="3"/>
  <c r="BO518" i="3"/>
  <c r="BP518" i="3"/>
  <c r="BM519" i="3"/>
  <c r="BN519" i="3"/>
  <c r="BL519" i="3"/>
  <c r="AZ519" i="3"/>
  <c r="BO519" i="3"/>
  <c r="BP519" i="3"/>
  <c r="BM520" i="3"/>
  <c r="BN520" i="3"/>
  <c r="BL520" i="3"/>
  <c r="AZ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M549" i="3"/>
  <c r="BN549" i="3"/>
  <c r="BO549" i="3"/>
  <c r="BP549" i="3"/>
  <c r="BM550" i="3"/>
  <c r="BN550" i="3"/>
  <c r="BO550" i="3"/>
  <c r="BP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L20" i="6"/>
  <c r="B52" i="1"/>
  <c r="F34" i="15"/>
  <c r="E19" i="4"/>
  <c r="F7" i="1"/>
  <c r="J50" i="15"/>
  <c r="J51" i="15"/>
  <c r="M47" i="15"/>
  <c r="C7" i="21"/>
  <c r="C58" i="21"/>
  <c r="D58" i="21"/>
  <c r="E58" i="21"/>
  <c r="F58" i="21"/>
  <c r="G58" i="21"/>
  <c r="H58" i="21"/>
  <c r="I58" i="21"/>
  <c r="J58" i="21"/>
  <c r="K58" i="21"/>
  <c r="L58" i="21"/>
  <c r="M58" i="21"/>
  <c r="N58" i="21"/>
  <c r="O58" i="21"/>
  <c r="F8" i="21"/>
  <c r="AA8" i="21"/>
  <c r="C63" i="21"/>
  <c r="F9" i="21"/>
  <c r="AA9" i="21"/>
  <c r="F10" i="21"/>
  <c r="AA10" i="21"/>
  <c r="C13" i="39"/>
  <c r="B94" i="21"/>
  <c r="F29" i="21"/>
  <c r="AA29" i="21"/>
  <c r="B96" i="21"/>
  <c r="F30" i="21"/>
  <c r="AA30" i="21"/>
  <c r="B98" i="21"/>
  <c r="F31" i="21"/>
  <c r="AA31" i="21"/>
  <c r="F32" i="21"/>
  <c r="AA32" i="21"/>
  <c r="F34" i="21"/>
  <c r="AA34" i="21"/>
  <c r="D108" i="21"/>
  <c r="E108" i="21"/>
  <c r="F35" i="21"/>
  <c r="AA35" i="21"/>
  <c r="F36" i="21"/>
  <c r="AA36" i="21"/>
  <c r="D113" i="21"/>
  <c r="E113" i="21"/>
  <c r="F113" i="21"/>
  <c r="G113" i="21"/>
  <c r="F38" i="21"/>
  <c r="AA38" i="21"/>
  <c r="D117" i="21"/>
  <c r="F39" i="21"/>
  <c r="AA39" i="21"/>
  <c r="D119" i="21"/>
  <c r="F40" i="21"/>
  <c r="AA40" i="21"/>
  <c r="F41" i="21"/>
  <c r="AA41" i="21"/>
  <c r="D125" i="21"/>
  <c r="F43" i="21"/>
  <c r="AA43" i="21"/>
  <c r="B126" i="21"/>
  <c r="F44" i="21"/>
  <c r="AA44" i="21"/>
  <c r="B128" i="21"/>
  <c r="F45" i="21"/>
  <c r="AA45" i="21"/>
  <c r="B130" i="21"/>
  <c r="F46" i="21"/>
  <c r="AA46" i="21"/>
  <c r="T47" i="21"/>
  <c r="H8" i="21"/>
  <c r="AB8" i="21"/>
  <c r="H9" i="21"/>
  <c r="AB9" i="21"/>
  <c r="H10" i="21"/>
  <c r="AB10" i="21"/>
  <c r="H29" i="21"/>
  <c r="AB29" i="21"/>
  <c r="H30" i="21"/>
  <c r="AB30" i="21"/>
  <c r="H31" i="21"/>
  <c r="AB31" i="21"/>
  <c r="H32" i="21"/>
  <c r="AB32" i="21"/>
  <c r="H34" i="21"/>
  <c r="AB34" i="21"/>
  <c r="H35" i="21"/>
  <c r="AB35" i="21"/>
  <c r="H36" i="21"/>
  <c r="AB36" i="21"/>
  <c r="H38" i="21"/>
  <c r="AB38" i="21"/>
  <c r="H39" i="21"/>
  <c r="AB39" i="21"/>
  <c r="H40" i="21"/>
  <c r="AB40" i="21"/>
  <c r="H41" i="21"/>
  <c r="AB41" i="21"/>
  <c r="D123" i="21"/>
  <c r="E123" i="21"/>
  <c r="F123" i="21"/>
  <c r="H43" i="21"/>
  <c r="AB43" i="21"/>
  <c r="H45" i="21"/>
  <c r="AB45" i="21"/>
  <c r="J8" i="21"/>
  <c r="AC8" i="21"/>
  <c r="J9" i="21"/>
  <c r="AC9" i="21"/>
  <c r="J10" i="21"/>
  <c r="AC10" i="21"/>
  <c r="J30" i="21"/>
  <c r="AC30" i="21"/>
  <c r="J32" i="21"/>
  <c r="AC32" i="21"/>
  <c r="J34" i="21"/>
  <c r="AC34" i="21"/>
  <c r="J36" i="21"/>
  <c r="AC36" i="21"/>
  <c r="J38" i="21"/>
  <c r="AC38" i="21"/>
  <c r="J39" i="21"/>
  <c r="AC39" i="21"/>
  <c r="J41" i="21"/>
  <c r="AC41" i="21"/>
  <c r="J43" i="21"/>
  <c r="AC43" i="21"/>
  <c r="J45" i="21"/>
  <c r="AC45" i="21"/>
  <c r="K8" i="1"/>
  <c r="M8" i="1"/>
  <c r="K9" i="1"/>
  <c r="M9" i="1"/>
  <c r="K10" i="1"/>
  <c r="M10" i="1"/>
  <c r="K11" i="1"/>
  <c r="M11" i="1"/>
  <c r="K12" i="1"/>
  <c r="M12" i="1"/>
  <c r="K13" i="1"/>
  <c r="M13" i="1"/>
  <c r="E19" i="12"/>
  <c r="BB11" i="3"/>
  <c r="BC11" i="3"/>
  <c r="BD11" i="3"/>
  <c r="BE11" i="3"/>
  <c r="BF11" i="3"/>
  <c r="BG11" i="3"/>
  <c r="BH11" i="3"/>
  <c r="BI11" i="3"/>
  <c r="BJ11" i="3"/>
  <c r="BK11" i="3"/>
  <c r="BM11" i="3"/>
  <c r="BN11" i="3"/>
  <c r="BO11" i="3"/>
  <c r="BP11" i="3"/>
  <c r="BQ11" i="3"/>
  <c r="BR11" i="3"/>
  <c r="BS11" i="3"/>
  <c r="BT11" i="3"/>
  <c r="F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J5" i="3"/>
  <c r="L5" i="3"/>
  <c r="M5" i="3"/>
  <c r="N5" i="3"/>
  <c r="O5" i="3"/>
  <c r="P5" i="3"/>
  <c r="Q5" i="3"/>
  <c r="R5" i="3"/>
  <c r="S5" i="3"/>
  <c r="T5" i="3"/>
  <c r="U5" i="3"/>
  <c r="V5" i="3"/>
  <c r="W5" i="3"/>
  <c r="X5" i="3"/>
  <c r="Y5" i="3"/>
  <c r="Z5" i="3"/>
  <c r="AA5" i="3"/>
  <c r="AB5" i="3"/>
  <c r="AD5" i="3"/>
  <c r="AE5" i="3"/>
  <c r="AF5" i="3"/>
  <c r="AG5" i="3"/>
  <c r="AI5" i="3"/>
  <c r="AK5" i="3"/>
  <c r="AL5" i="3"/>
  <c r="AM5" i="3"/>
  <c r="AO5" i="3"/>
  <c r="AP5" i="3"/>
  <c r="AQ5" i="3"/>
  <c r="AR5" i="3"/>
  <c r="AS5" i="3"/>
  <c r="AT5" i="3"/>
  <c r="BD5" i="3"/>
  <c r="BE5" i="3"/>
  <c r="BF5" i="3"/>
  <c r="BG5" i="3"/>
  <c r="BH5" i="3"/>
  <c r="BI5" i="3"/>
  <c r="BJ5" i="3"/>
  <c r="BK5" i="3"/>
  <c r="BM5" i="3"/>
  <c r="BN5" i="3"/>
  <c r="E21" i="12"/>
  <c r="E22" i="12"/>
  <c r="F29" i="12"/>
  <c r="F25" i="12"/>
  <c r="C25" i="12"/>
  <c r="C9" i="39"/>
  <c r="C70" i="39"/>
  <c r="D70" i="39"/>
  <c r="E70" i="39"/>
  <c r="F70" i="39"/>
  <c r="G70" i="39"/>
  <c r="H70" i="39"/>
  <c r="I70" i="39"/>
  <c r="J70" i="39"/>
  <c r="K70" i="39"/>
  <c r="L70" i="39"/>
  <c r="M70" i="39"/>
  <c r="N70" i="39"/>
  <c r="C72" i="39"/>
  <c r="D72" i="39"/>
  <c r="E72" i="39"/>
  <c r="F72" i="39"/>
  <c r="G72" i="39"/>
  <c r="H72" i="39"/>
  <c r="I72" i="39"/>
  <c r="J72" i="39"/>
  <c r="K72" i="39"/>
  <c r="L72" i="39"/>
  <c r="M72" i="39"/>
  <c r="N72" i="39"/>
  <c r="G19" i="46"/>
  <c r="I5" i="59"/>
  <c r="J5" i="59"/>
  <c r="J4" i="59"/>
  <c r="K5" i="59"/>
  <c r="K4" i="59"/>
  <c r="L5" i="59"/>
  <c r="AE5" i="59"/>
  <c r="AF5" i="59"/>
  <c r="AG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E9" i="39"/>
  <c r="BB10" i="3"/>
  <c r="BC10" i="3"/>
  <c r="BD10" i="3"/>
  <c r="BE10" i="3"/>
  <c r="BF10" i="3"/>
  <c r="BG10" i="3"/>
  <c r="BH10" i="3"/>
  <c r="BI10" i="3"/>
  <c r="BJ10" i="3"/>
  <c r="BK10" i="3"/>
  <c r="AZ3" i="3"/>
  <c r="D107" i="9"/>
  <c r="E40" i="39"/>
  <c r="B129" i="39"/>
  <c r="G40" i="39"/>
  <c r="I40" i="39"/>
  <c r="C59" i="39"/>
  <c r="C63" i="39"/>
  <c r="C109" i="9"/>
  <c r="C95" i="73"/>
  <c r="D95" i="73"/>
  <c r="E95" i="73"/>
  <c r="F95" i="73"/>
  <c r="B95" i="73"/>
  <c r="U24" i="31"/>
  <c r="U25" i="31"/>
  <c r="U26" i="31"/>
  <c r="U27" i="31"/>
  <c r="U28" i="31"/>
  <c r="U29" i="31"/>
  <c r="G6" i="73"/>
  <c r="G4" i="73"/>
  <c r="G5" i="73"/>
  <c r="C6" i="73"/>
  <c r="F62" i="73"/>
  <c r="C62" i="73"/>
  <c r="D62" i="73"/>
  <c r="E62" i="73"/>
  <c r="B62" i="73"/>
  <c r="P6" i="73"/>
  <c r="N6" i="73"/>
  <c r="L6" i="73"/>
  <c r="J6" i="73"/>
  <c r="H6" i="73"/>
  <c r="B25" i="31"/>
  <c r="B26" i="31"/>
  <c r="B27" i="31"/>
  <c r="B28" i="31"/>
  <c r="B29" i="31"/>
  <c r="B24" i="31"/>
  <c r="A25" i="31"/>
  <c r="A26" i="31"/>
  <c r="A27" i="31"/>
  <c r="A28" i="31"/>
  <c r="A29" i="31"/>
  <c r="A24" i="31"/>
  <c r="C54" i="73"/>
  <c r="E53" i="73"/>
  <c r="E52" i="73"/>
  <c r="E51" i="73"/>
  <c r="E50" i="73"/>
  <c r="E49" i="73"/>
  <c r="E48" i="73"/>
  <c r="E47" i="73"/>
  <c r="E46" i="73"/>
  <c r="E45" i="73"/>
  <c r="E44" i="73"/>
  <c r="E43" i="73"/>
  <c r="E42" i="73"/>
  <c r="E41" i="73"/>
  <c r="E40" i="73"/>
  <c r="E39" i="73"/>
  <c r="E38" i="73"/>
  <c r="E37" i="73"/>
  <c r="E36" i="73"/>
  <c r="E54" i="73"/>
  <c r="N33" i="73"/>
  <c r="P33" i="73"/>
  <c r="H30" i="73"/>
  <c r="C30" i="73"/>
  <c r="C31" i="73"/>
  <c r="I29" i="73"/>
  <c r="I28" i="73"/>
  <c r="I30" i="73"/>
  <c r="I27" i="73"/>
  <c r="I26" i="73"/>
  <c r="P23" i="73"/>
  <c r="N23" i="73"/>
  <c r="L23" i="73"/>
  <c r="J23" i="73"/>
  <c r="H23" i="73"/>
  <c r="C23" i="73"/>
  <c r="I22" i="73"/>
  <c r="R22" i="73"/>
  <c r="I21" i="73"/>
  <c r="I23" i="73"/>
  <c r="F23" i="73"/>
  <c r="N18" i="73"/>
  <c r="P18" i="73"/>
  <c r="G18" i="73"/>
  <c r="I5" i="73"/>
  <c r="R5" i="73"/>
  <c r="S5" i="73"/>
  <c r="I4" i="73"/>
  <c r="R4" i="73"/>
  <c r="S4" i="73"/>
  <c r="I3" i="73"/>
  <c r="I6" i="73"/>
  <c r="M6" i="73"/>
  <c r="G3" i="71"/>
  <c r="I3" i="71"/>
  <c r="R3" i="71"/>
  <c r="S3" i="71"/>
  <c r="G4" i="71"/>
  <c r="G6" i="71"/>
  <c r="I4" i="71"/>
  <c r="R4" i="71"/>
  <c r="S4" i="71"/>
  <c r="G5" i="71"/>
  <c r="I5" i="71"/>
  <c r="R5" i="71"/>
  <c r="S5" i="71"/>
  <c r="C6" i="71"/>
  <c r="H6" i="71"/>
  <c r="I6" i="71"/>
  <c r="J6" i="71"/>
  <c r="L6" i="71"/>
  <c r="N6" i="71"/>
  <c r="P6" i="71"/>
  <c r="G9" i="71"/>
  <c r="I9" i="71"/>
  <c r="Q9" i="71"/>
  <c r="G10" i="71"/>
  <c r="I10" i="71"/>
  <c r="Q10" i="71"/>
  <c r="G11" i="71"/>
  <c r="I11" i="71"/>
  <c r="Q11" i="71"/>
  <c r="G12" i="71"/>
  <c r="I12" i="71"/>
  <c r="Q12" i="71"/>
  <c r="C13" i="71"/>
  <c r="G13" i="71"/>
  <c r="C14" i="71"/>
  <c r="G14" i="71"/>
  <c r="I13" i="71"/>
  <c r="Q13" i="71"/>
  <c r="I14" i="71"/>
  <c r="O14" i="71"/>
  <c r="Q14" i="71"/>
  <c r="H15" i="71"/>
  <c r="H16" i="71"/>
  <c r="J15" i="71"/>
  <c r="J16" i="71"/>
  <c r="L15" i="71"/>
  <c r="N15" i="71"/>
  <c r="P15" i="71"/>
  <c r="L16" i="71"/>
  <c r="P16" i="71"/>
  <c r="C17" i="71"/>
  <c r="N17" i="71"/>
  <c r="P17" i="71"/>
  <c r="G18" i="71"/>
  <c r="N18" i="71"/>
  <c r="I21" i="71"/>
  <c r="R21" i="71"/>
  <c r="I22" i="71"/>
  <c r="R22" i="71"/>
  <c r="R23" i="71"/>
  <c r="C23" i="71"/>
  <c r="H23" i="71"/>
  <c r="J23" i="71"/>
  <c r="L23" i="71"/>
  <c r="N23" i="71"/>
  <c r="P23" i="71"/>
  <c r="I26" i="71"/>
  <c r="J26" i="71"/>
  <c r="R26" i="71"/>
  <c r="I27" i="71"/>
  <c r="R27" i="71"/>
  <c r="I28" i="71"/>
  <c r="J28" i="71"/>
  <c r="R28" i="71"/>
  <c r="I29" i="71"/>
  <c r="C30" i="71"/>
  <c r="C31" i="71"/>
  <c r="H30" i="71"/>
  <c r="N33" i="71"/>
  <c r="P33" i="71"/>
  <c r="J28" i="73"/>
  <c r="J26" i="73"/>
  <c r="H31" i="73"/>
  <c r="N27" i="73"/>
  <c r="R21" i="73"/>
  <c r="R23" i="73"/>
  <c r="N26" i="73"/>
  <c r="R26" i="73"/>
  <c r="J29" i="73"/>
  <c r="N29" i="73"/>
  <c r="P29" i="73"/>
  <c r="R29" i="73"/>
  <c r="L29" i="73"/>
  <c r="L30" i="73"/>
  <c r="L31" i="73"/>
  <c r="R29" i="71"/>
  <c r="I23" i="71"/>
  <c r="F23" i="71"/>
  <c r="N16" i="71"/>
  <c r="C15" i="71"/>
  <c r="C16" i="71"/>
  <c r="R14" i="71"/>
  <c r="S14" i="71"/>
  <c r="O6" i="73"/>
  <c r="P26" i="73"/>
  <c r="C60" i="39"/>
  <c r="C61" i="39"/>
  <c r="C62" i="39"/>
  <c r="B33" i="72"/>
  <c r="D2" i="72"/>
  <c r="D33" i="72"/>
  <c r="C33" i="72"/>
  <c r="B20" i="72"/>
  <c r="D3" i="72"/>
  <c r="D4" i="72"/>
  <c r="D5" i="72"/>
  <c r="D6" i="72"/>
  <c r="D7" i="72"/>
  <c r="D8" i="72"/>
  <c r="D9" i="72"/>
  <c r="D10" i="72"/>
  <c r="D11" i="72"/>
  <c r="D12" i="72"/>
  <c r="D13" i="72"/>
  <c r="D14" i="72"/>
  <c r="D15" i="72"/>
  <c r="D16" i="72"/>
  <c r="D17" i="72"/>
  <c r="D18" i="72"/>
  <c r="D19" i="72"/>
  <c r="D20" i="72"/>
  <c r="D19" i="4"/>
  <c r="C12" i="39"/>
  <c r="I9" i="39"/>
  <c r="I7" i="39"/>
  <c r="I8" i="39"/>
  <c r="G9" i="39"/>
  <c r="E7" i="39"/>
  <c r="E8" i="39"/>
  <c r="G7" i="39"/>
  <c r="G8" i="39"/>
  <c r="Q8" i="59"/>
  <c r="Q7" i="59"/>
  <c r="AB7" i="59"/>
  <c r="Q6" i="59"/>
  <c r="Q5" i="59"/>
  <c r="AB5" i="59"/>
  <c r="P8" i="59"/>
  <c r="E8" i="59"/>
  <c r="P7" i="59"/>
  <c r="P6" i="59"/>
  <c r="P5" i="59"/>
  <c r="O8" i="59"/>
  <c r="O7" i="59"/>
  <c r="O6" i="59"/>
  <c r="O5" i="59"/>
  <c r="N8" i="59"/>
  <c r="B8" i="59"/>
  <c r="S8" i="59"/>
  <c r="N7" i="59"/>
  <c r="B7" i="59"/>
  <c r="N6" i="59"/>
  <c r="B6" i="59"/>
  <c r="K59" i="15"/>
  <c r="P62" i="15"/>
  <c r="Q74" i="44"/>
  <c r="Q61" i="44"/>
  <c r="Q60" i="44"/>
  <c r="Q53" i="44"/>
  <c r="J51" i="44"/>
  <c r="J52" i="44"/>
  <c r="M48" i="44"/>
  <c r="A16" i="55"/>
  <c r="A15" i="55"/>
  <c r="A10" i="55"/>
  <c r="A9" i="55"/>
  <c r="A8" i="55"/>
  <c r="A6" i="54"/>
  <c r="A8" i="54"/>
  <c r="B53" i="63"/>
  <c r="A7" i="54"/>
  <c r="C57" i="10"/>
  <c r="A28" i="51"/>
  <c r="B21" i="63"/>
  <c r="A27" i="51"/>
  <c r="B20" i="63"/>
  <c r="D5" i="46"/>
  <c r="K75" i="9"/>
  <c r="K6" i="4"/>
  <c r="L76" i="9"/>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A44" i="9"/>
  <c r="C56" i="10"/>
  <c r="C55" i="10"/>
  <c r="C54" i="10"/>
  <c r="A26" i="51"/>
  <c r="B19" i="63"/>
  <c r="B49" i="63"/>
  <c r="B44" i="63"/>
  <c r="B40" i="63"/>
  <c r="B30" i="63"/>
  <c r="B27" i="63"/>
  <c r="B25" i="63"/>
  <c r="A11" i="51"/>
  <c r="A26" i="64"/>
  <c r="K39" i="9"/>
  <c r="B58" i="63"/>
  <c r="B51" i="63"/>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D45" i="59"/>
  <c r="Q44" i="59"/>
  <c r="P44" i="59"/>
  <c r="O44" i="59"/>
  <c r="N44" i="59"/>
  <c r="Q43" i="59"/>
  <c r="P43" i="59"/>
  <c r="O43" i="59"/>
  <c r="N43" i="59"/>
  <c r="Q42" i="59"/>
  <c r="P42" i="59"/>
  <c r="O42" i="59"/>
  <c r="N42" i="59"/>
  <c r="Q41" i="59"/>
  <c r="F42" i="59"/>
  <c r="P41" i="59"/>
  <c r="E42" i="59"/>
  <c r="E43" i="59"/>
  <c r="E44" i="59"/>
  <c r="U44" i="59"/>
  <c r="O41" i="59"/>
  <c r="C42" i="59"/>
  <c r="C43"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C39"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C35"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F23" i="59"/>
  <c r="F24" i="59"/>
  <c r="V24"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D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C15" i="59"/>
  <c r="N13" i="59"/>
  <c r="B14" i="59"/>
  <c r="B15" i="59"/>
  <c r="B16" i="59"/>
  <c r="S16" i="59"/>
  <c r="D13" i="59"/>
  <c r="Q12" i="59"/>
  <c r="P12" i="59"/>
  <c r="O12" i="59"/>
  <c r="N12" i="59"/>
  <c r="Q11" i="59"/>
  <c r="P11" i="59"/>
  <c r="O11" i="59"/>
  <c r="N11" i="59"/>
  <c r="Q10" i="59"/>
  <c r="P10" i="59"/>
  <c r="O10" i="59"/>
  <c r="N10" i="59"/>
  <c r="Q9" i="59"/>
  <c r="F10" i="59"/>
  <c r="P9" i="59"/>
  <c r="O9" i="59"/>
  <c r="C10" i="59"/>
  <c r="D10" i="59"/>
  <c r="N9" i="59"/>
  <c r="D9" i="59"/>
  <c r="X7" i="59"/>
  <c r="AA6" i="59"/>
  <c r="AB6" i="59"/>
  <c r="E10" i="59"/>
  <c r="E11" i="59"/>
  <c r="E12" i="59"/>
  <c r="U12" i="59"/>
  <c r="B32" i="59"/>
  <c r="S32" i="59"/>
  <c r="S48" i="59"/>
  <c r="AA19" i="59"/>
  <c r="F11" i="59"/>
  <c r="F12" i="59"/>
  <c r="V12" i="59"/>
  <c r="F15" i="59"/>
  <c r="F16" i="59"/>
  <c r="V16" i="59"/>
  <c r="F19" i="59"/>
  <c r="F20" i="59"/>
  <c r="V20" i="59"/>
  <c r="F27" i="59"/>
  <c r="F28" i="59"/>
  <c r="V28" i="59"/>
  <c r="F35" i="59"/>
  <c r="F36" i="59"/>
  <c r="V36" i="59"/>
  <c r="F39" i="59"/>
  <c r="F40" i="59"/>
  <c r="V40" i="59"/>
  <c r="F43" i="59"/>
  <c r="F44" i="59"/>
  <c r="V44" i="59"/>
  <c r="C11" i="59"/>
  <c r="D11" i="59"/>
  <c r="C19" i="59"/>
  <c r="D19" i="59"/>
  <c r="C23" i="59"/>
  <c r="D23" i="59"/>
  <c r="D22" i="59"/>
  <c r="C27" i="59"/>
  <c r="D27" i="59"/>
  <c r="D26" i="59"/>
  <c r="C31" i="59"/>
  <c r="D30" i="59"/>
  <c r="D34" i="59"/>
  <c r="D38" i="59"/>
  <c r="D42" i="59"/>
  <c r="D14" i="59"/>
  <c r="E46" i="59"/>
  <c r="T48" i="59"/>
  <c r="O48" i="59"/>
  <c r="D48" i="59"/>
  <c r="C47" i="59"/>
  <c r="C46" i="59"/>
  <c r="P48" i="59"/>
  <c r="U48" i="59"/>
  <c r="C51" i="59"/>
  <c r="C50" i="59"/>
  <c r="D50" i="59"/>
  <c r="E51" i="59"/>
  <c r="E50" i="59"/>
  <c r="D52" i="59"/>
  <c r="C55" i="59"/>
  <c r="D55" i="59"/>
  <c r="E55" i="59"/>
  <c r="E54" i="59"/>
  <c r="C59" i="59"/>
  <c r="D59" i="59"/>
  <c r="E59" i="59"/>
  <c r="E58" i="59"/>
  <c r="D60" i="59"/>
  <c r="C63" i="59"/>
  <c r="C62" i="59"/>
  <c r="D62" i="59"/>
  <c r="C67" i="59"/>
  <c r="U16" i="4"/>
  <c r="S16" i="4"/>
  <c r="Q16" i="4"/>
  <c r="O16" i="4"/>
  <c r="M16" i="4"/>
  <c r="L16" i="4"/>
  <c r="K16" i="4"/>
  <c r="P45" i="59"/>
  <c r="P46" i="59"/>
  <c r="D67" i="59"/>
  <c r="C66" i="59"/>
  <c r="D66" i="59"/>
  <c r="C58" i="59"/>
  <c r="D58" i="59"/>
  <c r="D51" i="59"/>
  <c r="O47" i="59"/>
  <c r="D63" i="59"/>
  <c r="C54" i="59"/>
  <c r="D54" i="59"/>
  <c r="C32" i="59"/>
  <c r="D32" i="59"/>
  <c r="D31" i="59"/>
  <c r="C24" i="59"/>
  <c r="D24" i="59"/>
  <c r="C20" i="59"/>
  <c r="D20" i="59"/>
  <c r="C12" i="59"/>
  <c r="D12" i="59"/>
  <c r="N16" i="4"/>
  <c r="T12" i="59"/>
  <c r="T20" i="59"/>
  <c r="T24" i="59"/>
  <c r="T3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H59" i="39"/>
  <c r="I59" i="39"/>
  <c r="H67" i="39"/>
  <c r="I67" i="39"/>
  <c r="C67" i="39"/>
  <c r="H66" i="39"/>
  <c r="I66" i="39"/>
  <c r="C66" i="39"/>
  <c r="H65" i="39"/>
  <c r="I65" i="39"/>
  <c r="C65" i="39"/>
  <c r="H64" i="39"/>
  <c r="I64" i="39"/>
  <c r="C64" i="39"/>
  <c r="H62" i="39"/>
  <c r="I62" i="39"/>
  <c r="H61" i="39"/>
  <c r="I61" i="39"/>
  <c r="H60" i="39"/>
  <c r="I60" i="39"/>
  <c r="L25" i="4"/>
  <c r="C145" i="21"/>
  <c r="K139" i="21"/>
  <c r="K145" i="21"/>
  <c r="J142" i="21"/>
  <c r="J140" i="21"/>
  <c r="M87" i="21"/>
  <c r="L87" i="21"/>
  <c r="K87" i="21"/>
  <c r="J87" i="21"/>
  <c r="I87" i="21"/>
  <c r="H87" i="21"/>
  <c r="G87" i="21"/>
  <c r="F87" i="21"/>
  <c r="E87" i="21"/>
  <c r="D87" i="21"/>
  <c r="G2" i="46"/>
  <c r="X7"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I19" i="4"/>
  <c r="H19" i="4"/>
  <c r="G19" i="4"/>
  <c r="F9" i="1"/>
  <c r="F19" i="4"/>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D38" i="4"/>
  <c r="C39" i="4"/>
  <c r="C35" i="4"/>
  <c r="K47" i="9"/>
  <c r="I73" i="9"/>
  <c r="F73" i="9"/>
  <c r="P73"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F11" i="39"/>
  <c r="C25" i="39"/>
  <c r="H10" i="39"/>
  <c r="H11" i="39"/>
  <c r="J10" i="39"/>
  <c r="J11"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G107" i="39"/>
  <c r="H107" i="39"/>
  <c r="I107" i="39"/>
  <c r="J107" i="39"/>
  <c r="K107" i="39"/>
  <c r="L107" i="39"/>
  <c r="M107"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G99" i="39"/>
  <c r="D95" i="39"/>
  <c r="E95" i="39"/>
  <c r="F95" i="39"/>
  <c r="G95" i="39"/>
  <c r="G93"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2" i="21"/>
  <c r="S38" i="21"/>
  <c r="S36" i="21"/>
  <c r="U10" i="21"/>
  <c r="W34" i="21"/>
  <c r="U36" i="21"/>
  <c r="U12" i="21"/>
  <c r="W26" i="21"/>
  <c r="S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H32" i="33"/>
  <c r="AB32" i="33"/>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S46" i="21"/>
  <c r="W30" i="21"/>
  <c r="S28" i="21"/>
  <c r="S46" i="33"/>
  <c r="U36" i="37"/>
  <c r="AC13" i="36"/>
  <c r="AB45" i="33"/>
  <c r="AB31" i="33"/>
  <c r="AA27" i="33"/>
  <c r="AB27" i="33"/>
  <c r="S45" i="21"/>
  <c r="AC28" i="33"/>
  <c r="S505" i="31"/>
  <c r="S503" i="31"/>
  <c r="S501" i="31"/>
  <c r="S499" i="31"/>
  <c r="O27" i="31"/>
  <c r="O28" i="31"/>
  <c r="O26"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AC33" i="36"/>
  <c r="AC12" i="35"/>
  <c r="W23" i="35"/>
  <c r="AC23" i="37"/>
  <c r="S27" i="37"/>
  <c r="U39" i="37"/>
  <c r="AC8" i="37"/>
  <c r="S25" i="37"/>
  <c r="AC36" i="34"/>
  <c r="AB8" i="34"/>
  <c r="AC37" i="33"/>
  <c r="AA13" i="33"/>
  <c r="AC45"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U32" i="21"/>
  <c r="U26" i="21"/>
  <c r="W9" i="21"/>
  <c r="S1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U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U8" i="21"/>
  <c r="S34"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AB36" i="35"/>
  <c r="U36" i="35"/>
  <c r="W12" i="36"/>
  <c r="AC12" i="36"/>
  <c r="U31" i="36"/>
  <c r="S8" i="37"/>
  <c r="AA8" i="37"/>
  <c r="U16" i="39"/>
  <c r="F15" i="40"/>
  <c r="AA15" i="40"/>
  <c r="J15" i="40"/>
  <c r="H15" i="40"/>
  <c r="AB15" i="40"/>
  <c r="E92" i="40"/>
  <c r="F92" i="40"/>
  <c r="G92" i="40"/>
  <c r="H23" i="40"/>
  <c r="U23" i="40"/>
  <c r="H41" i="40"/>
  <c r="AB41" i="40"/>
  <c r="F41" i="40"/>
  <c r="AA41" i="40"/>
  <c r="J41" i="40"/>
  <c r="AC41" i="40"/>
  <c r="H36" i="33"/>
  <c r="AB36" i="33"/>
  <c r="H37" i="34"/>
  <c r="U15" i="39"/>
  <c r="U25" i="39"/>
  <c r="F47" i="39"/>
  <c r="H47" i="39"/>
  <c r="J47"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AB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S33" i="40"/>
  <c r="S47" i="39"/>
  <c r="U37" i="34"/>
  <c r="AB37" i="34"/>
  <c r="W41" i="40"/>
  <c r="J23" i="40"/>
  <c r="AC23" i="40"/>
  <c r="F23" i="40"/>
  <c r="S23" i="40"/>
  <c r="AC15" i="40"/>
  <c r="W15" i="40"/>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B33" i="36"/>
  <c r="AA11" i="36"/>
  <c r="AA14" i="35"/>
  <c r="S14" i="35"/>
  <c r="G99" i="37"/>
  <c r="H99" i="37"/>
  <c r="I99" i="37"/>
  <c r="J99" i="37"/>
  <c r="K99" i="37"/>
  <c r="L99" i="37"/>
  <c r="M99" i="37"/>
  <c r="F33" i="37"/>
  <c r="U46" i="34"/>
  <c r="AC30" i="34"/>
  <c r="AA14" i="34"/>
  <c r="W12" i="34"/>
  <c r="U29" i="33"/>
  <c r="AC13" i="33"/>
  <c r="U17" i="34"/>
  <c r="AA11" i="34"/>
  <c r="W32" i="33"/>
  <c r="H15" i="33"/>
  <c r="U15" i="33"/>
  <c r="AA11" i="33"/>
  <c r="U16" i="40"/>
  <c r="W34" i="40"/>
  <c r="AB34" i="40"/>
  <c r="U42" i="40"/>
  <c r="W32" i="40"/>
  <c r="H25" i="40"/>
  <c r="AB25" i="40"/>
  <c r="F94" i="40"/>
  <c r="G94" i="40"/>
  <c r="U47" i="39"/>
  <c r="W15" i="39"/>
  <c r="J37" i="34"/>
  <c r="AC37" i="34"/>
  <c r="J36" i="33"/>
  <c r="W36" i="33"/>
  <c r="AB23" i="40"/>
  <c r="S15" i="34"/>
  <c r="AA41" i="33"/>
  <c r="AA34" i="33"/>
  <c r="F106" i="33"/>
  <c r="G106" i="33"/>
  <c r="H106" i="33"/>
  <c r="I106" i="33"/>
  <c r="J106" i="33"/>
  <c r="K106" i="33"/>
  <c r="L106" i="33"/>
  <c r="M106" i="33"/>
  <c r="J34" i="33"/>
  <c r="AC34" i="33"/>
  <c r="U30" i="40"/>
  <c r="W29" i="35"/>
  <c r="W39" i="39"/>
  <c r="S39"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J11" i="34"/>
  <c r="W11" i="34"/>
  <c r="S17" i="34"/>
  <c r="AC36" i="33"/>
  <c r="F25" i="40"/>
  <c r="AA25" i="40"/>
  <c r="J11" i="33"/>
  <c r="W11" i="33"/>
  <c r="H33" i="37"/>
  <c r="AB33" i="37"/>
  <c r="W15" i="34"/>
  <c r="U20" i="35"/>
  <c r="AB20" i="35"/>
  <c r="W23" i="40"/>
  <c r="B11" i="1"/>
  <c r="E11" i="1"/>
  <c r="B9" i="1"/>
  <c r="E9" i="1"/>
  <c r="B7" i="1"/>
  <c r="E7" i="1"/>
  <c r="C20" i="43"/>
  <c r="A14" i="55"/>
  <c r="B65" i="63"/>
  <c r="S33" i="39"/>
  <c r="A2" i="55"/>
  <c r="B55" i="63"/>
  <c r="A11" i="55"/>
  <c r="B62" i="63"/>
  <c r="U17" i="21"/>
  <c r="U28" i="21"/>
  <c r="G123" i="21"/>
  <c r="H123" i="21"/>
  <c r="I123" i="21"/>
  <c r="J123" i="21"/>
  <c r="K123" i="21"/>
  <c r="L123" i="21"/>
  <c r="M123" i="21"/>
  <c r="U43" i="21"/>
  <c r="S35" i="21"/>
  <c r="U40" i="21"/>
  <c r="U39" i="21"/>
  <c r="U38" i="21"/>
  <c r="U9" i="21"/>
  <c r="U27" i="39"/>
  <c r="U19" i="39"/>
  <c r="W14" i="39"/>
  <c r="U39" i="39"/>
  <c r="S43" i="39"/>
  <c r="J42" i="39"/>
  <c r="F42" i="39"/>
  <c r="H42" i="39"/>
  <c r="W17" i="39"/>
  <c r="W43" i="39"/>
  <c r="W27" i="39"/>
  <c r="A30" i="51"/>
  <c r="A30" i="64"/>
  <c r="G13" i="1"/>
  <c r="F8" i="1"/>
  <c r="G8" i="1"/>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W28" i="21"/>
  <c r="G85" i="21"/>
  <c r="S15" i="21"/>
  <c r="F77" i="21"/>
  <c r="G77" i="21"/>
  <c r="W13"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S14" i="39"/>
  <c r="U11" i="39"/>
  <c r="U41" i="39"/>
  <c r="U31" i="39"/>
  <c r="S25" i="39"/>
  <c r="S38" i="39"/>
  <c r="D18" i="9"/>
  <c r="M44" i="9"/>
  <c r="M43" i="9"/>
  <c r="B22" i="63"/>
  <c r="M20" i="15"/>
  <c r="D96" i="9"/>
  <c r="M18" i="15"/>
  <c r="A18" i="64"/>
  <c r="B74" i="63"/>
  <c r="C53" i="10"/>
  <c r="A25" i="64"/>
  <c r="A18" i="51"/>
  <c r="B14" i="63"/>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C16" i="46"/>
  <c r="C5" i="46"/>
  <c r="F39" i="46"/>
  <c r="H13" i="48"/>
  <c r="H11" i="48"/>
  <c r="E8" i="46"/>
  <c r="C7" i="46"/>
  <c r="I17" i="46"/>
  <c r="E17" i="46"/>
  <c r="D71" i="46"/>
  <c r="D84" i="46"/>
  <c r="E80" i="46"/>
  <c r="B78" i="46"/>
  <c r="D69" i="46"/>
  <c r="E69" i="46"/>
  <c r="B67" i="46"/>
  <c r="E47" i="46"/>
  <c r="E58" i="46"/>
  <c r="A4" i="64"/>
  <c r="A4" i="51"/>
  <c r="B6" i="63"/>
  <c r="C51" i="10"/>
  <c r="A9" i="51"/>
  <c r="B9" i="63"/>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I20" i="46"/>
  <c r="C20" i="46"/>
  <c r="L5" i="54"/>
  <c r="B39" i="63"/>
  <c r="K5" i="54"/>
  <c r="B38" i="63"/>
  <c r="T41" i="4"/>
  <c r="A17" i="64"/>
  <c r="B46" i="50"/>
  <c r="B4" i="63"/>
  <c r="C46" i="36"/>
  <c r="D46" i="36"/>
  <c r="C59" i="34"/>
  <c r="D59" i="34"/>
  <c r="C48" i="35"/>
  <c r="D48" i="35"/>
  <c r="C52" i="37"/>
  <c r="D52" i="37"/>
  <c r="E52" i="37"/>
  <c r="C67" i="40"/>
  <c r="D65" i="40"/>
  <c r="E65" i="40"/>
  <c r="O19" i="46"/>
  <c r="K17" i="4"/>
  <c r="A22" i="51"/>
  <c r="B16" i="63"/>
  <c r="H73" i="46"/>
  <c r="H74" i="46"/>
  <c r="H86" i="46"/>
  <c r="H82" i="46"/>
  <c r="H63" i="46"/>
  <c r="H59" i="46"/>
  <c r="H64" i="46"/>
  <c r="H60" i="46"/>
  <c r="H10" i="48"/>
  <c r="H87" i="46"/>
  <c r="H85" i="46"/>
  <c r="H83" i="46"/>
  <c r="B6" i="1"/>
  <c r="E6" i="1"/>
  <c r="B10" i="1"/>
  <c r="E10" i="1"/>
  <c r="B8" i="1"/>
  <c r="E8" i="1"/>
  <c r="B12" i="1"/>
  <c r="E12"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S27" i="21"/>
  <c r="G96" i="40"/>
  <c r="J27" i="40"/>
  <c r="W27" i="40"/>
  <c r="W37" i="40"/>
  <c r="S17" i="40"/>
  <c r="W30" i="40"/>
  <c r="S34" i="40"/>
  <c r="U17" i="40"/>
  <c r="U38" i="40"/>
  <c r="S40" i="40"/>
  <c r="S42" i="40"/>
  <c r="G105" i="39"/>
  <c r="W41" i="39"/>
  <c r="W42" i="39"/>
  <c r="W36"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B14" i="52"/>
  <c r="B5" i="52"/>
  <c r="E4" i="52"/>
  <c r="D24" i="15"/>
  <c r="S42" i="21"/>
  <c r="G103" i="39"/>
  <c r="AP8" i="1"/>
  <c r="U42" i="21"/>
  <c r="W42" i="21"/>
  <c r="S42" i="39"/>
  <c r="U17" i="39"/>
  <c r="G91" i="39"/>
  <c r="S17" i="39"/>
  <c r="G6" i="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AT6" i="3"/>
  <c r="H70" i="46"/>
  <c r="H72" i="46"/>
  <c r="A9" i="64"/>
  <c r="A25" i="51"/>
  <c r="B18" i="63"/>
  <c r="E48" i="35"/>
  <c r="F48" i="35"/>
  <c r="D67" i="40"/>
  <c r="G39" i="46"/>
  <c r="I39" i="46"/>
  <c r="E4" i="4"/>
  <c r="B21" i="55"/>
  <c r="B72" i="63"/>
  <c r="C4" i="4"/>
  <c r="G66" i="36"/>
  <c r="J18" i="36"/>
  <c r="AE8" i="1"/>
  <c r="AE6" i="1"/>
  <c r="F33" i="44"/>
  <c r="M17" i="15"/>
  <c r="M19" i="44"/>
  <c r="F58" i="15"/>
  <c r="F31" i="15"/>
  <c r="S29" i="39"/>
  <c r="W29" i="39"/>
  <c r="W18" i="36"/>
  <c r="AC18" i="36"/>
  <c r="AG6" i="1"/>
  <c r="B20" i="55"/>
  <c r="B70" i="63"/>
  <c r="R9" i="1"/>
  <c r="R8" i="1"/>
  <c r="R10" i="1"/>
  <c r="R11" i="1"/>
  <c r="R13" i="1"/>
  <c r="R12" i="1"/>
  <c r="S9" i="39"/>
  <c r="W9" i="39"/>
  <c r="C45" i="9"/>
  <c r="H14" i="66"/>
  <c r="B7" i="66"/>
  <c r="O40" i="9"/>
  <c r="R7" i="54"/>
  <c r="B52" i="63"/>
  <c r="K31" i="9"/>
  <c r="K32" i="9"/>
  <c r="D77" i="9"/>
  <c r="N75" i="9"/>
  <c r="N76" i="9"/>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 r="B10" i="67"/>
  <c r="F14" i="67"/>
  <c r="J3" i="65"/>
  <c r="F18" i="44"/>
  <c r="F11" i="67"/>
  <c r="M24" i="44"/>
  <c r="E13" i="67"/>
  <c r="J5" i="65"/>
  <c r="L48" i="44"/>
  <c r="E12" i="67"/>
  <c r="F12" i="67"/>
  <c r="B9" i="67"/>
  <c r="I4" i="65"/>
  <c r="F43" i="44"/>
  <c r="L49" i="44"/>
  <c r="F15" i="44"/>
  <c r="F28" i="44"/>
  <c r="F10" i="44"/>
  <c r="F8" i="67"/>
  <c r="N3" i="65"/>
  <c r="M30" i="44"/>
  <c r="M23" i="44"/>
  <c r="B11" i="67"/>
  <c r="N5" i="65"/>
  <c r="L47" i="15"/>
  <c r="F37" i="44"/>
  <c r="F40" i="44"/>
  <c r="E10" i="67"/>
  <c r="I7" i="65"/>
  <c r="J17" i="44"/>
  <c r="J36" i="15"/>
  <c r="F38" i="44"/>
  <c r="N6" i="65"/>
  <c r="M25" i="44"/>
  <c r="I3" i="65"/>
  <c r="C19" i="44"/>
  <c r="E8" i="67"/>
  <c r="B8" i="67"/>
  <c r="F9" i="44"/>
  <c r="M28" i="15"/>
  <c r="E9" i="67"/>
  <c r="F39" i="44"/>
  <c r="E14" i="67"/>
  <c r="M28" i="44"/>
  <c r="M31" i="44"/>
  <c r="B14" i="67"/>
  <c r="F10" i="67"/>
  <c r="J6" i="65"/>
  <c r="J4" i="65"/>
  <c r="F8" i="44"/>
  <c r="F45" i="44"/>
  <c r="J15" i="15"/>
  <c r="M23" i="15"/>
  <c r="F13" i="67"/>
  <c r="J7" i="65"/>
  <c r="M29" i="44"/>
  <c r="M24" i="15"/>
  <c r="B13" i="67"/>
  <c r="N7" i="65"/>
  <c r="M11" i="44"/>
  <c r="F46" i="44"/>
  <c r="M8" i="44"/>
  <c r="F9" i="67"/>
  <c r="M26" i="44"/>
  <c r="F11" i="44"/>
  <c r="M26" i="15"/>
  <c r="E11" i="67"/>
  <c r="M10" i="44"/>
  <c r="B12" i="67"/>
  <c r="M27" i="15"/>
  <c r="M22" i="15"/>
  <c r="B11" i="52"/>
  <c r="B22" i="52"/>
  <c r="G48" i="35"/>
  <c r="H48" i="35"/>
  <c r="I48" i="35"/>
  <c r="J48" i="35"/>
  <c r="K48" i="35"/>
  <c r="L48" i="35"/>
  <c r="M48" i="35"/>
  <c r="N48" i="35"/>
  <c r="O48" i="35"/>
  <c r="J7" i="35"/>
  <c r="H7" i="35"/>
  <c r="E46" i="36"/>
  <c r="F46" i="36"/>
  <c r="G46" i="36"/>
  <c r="H46" i="36"/>
  <c r="I46" i="36"/>
  <c r="J46" i="36"/>
  <c r="K46" i="36"/>
  <c r="L46" i="36"/>
  <c r="M46" i="36"/>
  <c r="N46" i="36"/>
  <c r="O46" i="36"/>
  <c r="H7" i="36"/>
  <c r="J7" i="36"/>
  <c r="U29" i="39"/>
  <c r="D58" i="33"/>
  <c r="E58" i="33"/>
  <c r="F58" i="33"/>
  <c r="G58" i="33"/>
  <c r="H58" i="33"/>
  <c r="I58" i="33"/>
  <c r="J58" i="33"/>
  <c r="K58" i="33"/>
  <c r="L58" i="33"/>
  <c r="M58" i="33"/>
  <c r="N58" i="33"/>
  <c r="O58" i="33"/>
  <c r="H7" i="33"/>
  <c r="F65" i="40"/>
  <c r="E67" i="40"/>
  <c r="F52" i="37"/>
  <c r="G52" i="37"/>
  <c r="H52" i="37"/>
  <c r="I52" i="37"/>
  <c r="J52" i="37"/>
  <c r="K52" i="37"/>
  <c r="L52" i="37"/>
  <c r="M52" i="37"/>
  <c r="N52" i="37"/>
  <c r="O52" i="37"/>
  <c r="F7" i="37"/>
  <c r="E59" i="34"/>
  <c r="F59" i="34"/>
  <c r="G59" i="34"/>
  <c r="H59" i="34"/>
  <c r="I59" i="34"/>
  <c r="J59" i="34"/>
  <c r="K59" i="34"/>
  <c r="L59" i="34"/>
  <c r="M59" i="34"/>
  <c r="N59" i="34"/>
  <c r="O59" i="34"/>
  <c r="J7" i="34"/>
  <c r="U23" i="39"/>
  <c r="U9" i="39"/>
  <c r="F7" i="36"/>
  <c r="F7" i="34"/>
  <c r="A3" i="55"/>
  <c r="B56" i="63"/>
  <c r="A17" i="51"/>
  <c r="B13" i="63"/>
  <c r="H69" i="46"/>
  <c r="H77" i="46"/>
  <c r="AC13" i="40"/>
  <c r="S16" i="39"/>
  <c r="S41" i="40"/>
  <c r="AC16" i="40"/>
  <c r="AA29" i="35"/>
  <c r="U41" i="40"/>
  <c r="AB32" i="40"/>
  <c r="W35" i="40"/>
  <c r="U12" i="37"/>
  <c r="S39" i="33"/>
  <c r="W31" i="34"/>
  <c r="AB40" i="37"/>
  <c r="W46" i="33"/>
  <c r="W35" i="35"/>
  <c r="AA39" i="37"/>
  <c r="O46" i="59"/>
  <c r="O45" i="59"/>
  <c r="D46" i="59"/>
  <c r="C16" i="59"/>
  <c r="D15" i="59"/>
  <c r="D39" i="59"/>
  <c r="C40" i="59"/>
  <c r="C44" i="59"/>
  <c r="D43" i="59"/>
  <c r="P28" i="71"/>
  <c r="I21" i="57"/>
  <c r="D1" i="57"/>
  <c r="E10" i="57"/>
  <c r="C36" i="59"/>
  <c r="D35" i="59"/>
  <c r="S6" i="71"/>
  <c r="K6" i="71"/>
  <c r="M6" i="71"/>
  <c r="O6" i="71"/>
  <c r="Q6" i="71"/>
  <c r="F30" i="73"/>
  <c r="I31" i="73"/>
  <c r="D100" i="46"/>
  <c r="S18" i="36"/>
  <c r="D47" i="59"/>
  <c r="D56" i="59"/>
  <c r="Q48" i="59"/>
  <c r="AA8" i="59"/>
  <c r="B10" i="59"/>
  <c r="B11" i="59"/>
  <c r="B12" i="59"/>
  <c r="S12" i="59"/>
  <c r="X6" i="59"/>
  <c r="X8" i="59"/>
  <c r="F47" i="59"/>
  <c r="AH10" i="46"/>
  <c r="AH12" i="46"/>
  <c r="AD10" i="46"/>
  <c r="AD12" i="46"/>
  <c r="P75" i="15"/>
  <c r="Y6" i="59"/>
  <c r="Z6" i="59"/>
  <c r="C8" i="59"/>
  <c r="Y8" i="59"/>
  <c r="Z8" i="59"/>
  <c r="AA5" i="59"/>
  <c r="AA7" i="59"/>
  <c r="F8" i="59"/>
  <c r="AB8" i="59"/>
  <c r="N27" i="71"/>
  <c r="R6" i="71"/>
  <c r="R3" i="73"/>
  <c r="H31" i="71"/>
  <c r="J29" i="71"/>
  <c r="L29" i="71"/>
  <c r="L30" i="71"/>
  <c r="L31" i="71"/>
  <c r="N29" i="71"/>
  <c r="J27" i="71"/>
  <c r="J30" i="71"/>
  <c r="J31" i="71"/>
  <c r="I30" i="71"/>
  <c r="P27" i="71"/>
  <c r="P18" i="71"/>
  <c r="G15" i="71"/>
  <c r="O15" i="71"/>
  <c r="O11" i="71"/>
  <c r="N28" i="71"/>
  <c r="R11" i="71"/>
  <c r="S11" i="71"/>
  <c r="O9" i="71"/>
  <c r="N26" i="71"/>
  <c r="N30" i="71"/>
  <c r="N31" i="71"/>
  <c r="I15" i="71"/>
  <c r="R9" i="71"/>
  <c r="R27" i="73"/>
  <c r="J27" i="73"/>
  <c r="U30" i="31"/>
  <c r="AG3" i="59"/>
  <c r="P4" i="59"/>
  <c r="AA3" i="59"/>
  <c r="I4" i="59"/>
  <c r="AD5" i="59"/>
  <c r="N5" i="59"/>
  <c r="X5" i="59"/>
  <c r="H37" i="21"/>
  <c r="F37" i="21"/>
  <c r="J37" i="21"/>
  <c r="F9" i="36"/>
  <c r="H9" i="36"/>
  <c r="H24" i="36"/>
  <c r="N48" i="59"/>
  <c r="B47" i="59"/>
  <c r="K40" i="9"/>
  <c r="A46" i="9"/>
  <c r="K41" i="9"/>
  <c r="O76" i="9"/>
  <c r="K76" i="9"/>
  <c r="K77" i="9"/>
  <c r="K79" i="9"/>
  <c r="K81" i="9"/>
  <c r="Y5" i="59"/>
  <c r="Z5" i="59"/>
  <c r="Y7" i="59"/>
  <c r="Z7" i="59"/>
  <c r="E7" i="59"/>
  <c r="E6" i="59"/>
  <c r="E5" i="59"/>
  <c r="E4" i="59"/>
  <c r="U8" i="59"/>
  <c r="R30" i="71"/>
  <c r="R31" i="71"/>
  <c r="O13" i="71"/>
  <c r="R13" i="71"/>
  <c r="S13" i="71"/>
  <c r="O12" i="71"/>
  <c r="R12" i="71"/>
  <c r="S12" i="71"/>
  <c r="O10" i="71"/>
  <c r="R10" i="71"/>
  <c r="S10" i="71"/>
  <c r="R28" i="73"/>
  <c r="R30" i="73"/>
  <c r="R31" i="73"/>
  <c r="N28" i="73"/>
  <c r="P28" i="73"/>
  <c r="B22" i="31"/>
  <c r="K6" i="73"/>
  <c r="G3" i="73"/>
  <c r="F6" i="73"/>
  <c r="Q6" i="73"/>
  <c r="L4" i="59"/>
  <c r="AH5" i="59"/>
  <c r="AE3" i="59"/>
  <c r="AF3" i="59"/>
  <c r="O4" i="59"/>
  <c r="Y3" i="59"/>
  <c r="Z3" i="59"/>
  <c r="J46" i="21"/>
  <c r="J44" i="21"/>
  <c r="J40" i="21"/>
  <c r="J35" i="21"/>
  <c r="J31" i="21"/>
  <c r="J29" i="21"/>
  <c r="J7" i="21"/>
  <c r="H46" i="21"/>
  <c r="H44" i="21"/>
  <c r="H7" i="21"/>
  <c r="F7" i="21"/>
  <c r="BL572" i="3"/>
  <c r="BL570" i="3"/>
  <c r="BL568" i="3"/>
  <c r="AZ568" i="3"/>
  <c r="BL566" i="3"/>
  <c r="AZ566" i="3"/>
  <c r="BL564" i="3"/>
  <c r="AZ564" i="3"/>
  <c r="BL562" i="3"/>
  <c r="AZ562" i="3"/>
  <c r="BL560" i="3"/>
  <c r="AZ560" i="3"/>
  <c r="BL558" i="3"/>
  <c r="AZ558" i="3"/>
  <c r="BL556" i="3"/>
  <c r="AZ556" i="3"/>
  <c r="BL554" i="3"/>
  <c r="AZ554" i="3"/>
  <c r="BL552" i="3"/>
  <c r="AZ552" i="3"/>
  <c r="BL550" i="3"/>
  <c r="AZ550" i="3"/>
  <c r="BL548" i="3"/>
  <c r="AZ548" i="3"/>
  <c r="BL546" i="3"/>
  <c r="AZ546" i="3"/>
  <c r="BL544" i="3"/>
  <c r="AZ544" i="3"/>
  <c r="BL542" i="3"/>
  <c r="AZ542" i="3"/>
  <c r="BL540" i="3"/>
  <c r="AZ540" i="3"/>
  <c r="BL538" i="3"/>
  <c r="AZ538" i="3"/>
  <c r="BL536" i="3"/>
  <c r="AZ536" i="3"/>
  <c r="BL534" i="3"/>
  <c r="AZ534" i="3"/>
  <c r="BL532" i="3"/>
  <c r="AZ532" i="3"/>
  <c r="BL530" i="3"/>
  <c r="AZ530" i="3"/>
  <c r="BL528" i="3"/>
  <c r="AZ528" i="3"/>
  <c r="BL526" i="3"/>
  <c r="AZ526" i="3"/>
  <c r="BL524" i="3"/>
  <c r="AZ524" i="3"/>
  <c r="BL522" i="3"/>
  <c r="AZ522" i="3"/>
  <c r="BL571" i="3"/>
  <c r="AZ571" i="3"/>
  <c r="BL569" i="3"/>
  <c r="AZ569" i="3"/>
  <c r="BL567" i="3"/>
  <c r="AZ567" i="3"/>
  <c r="BL565" i="3"/>
  <c r="AZ565" i="3"/>
  <c r="BL563" i="3"/>
  <c r="AZ563" i="3"/>
  <c r="BL561" i="3"/>
  <c r="AZ561" i="3"/>
  <c r="BL559" i="3"/>
  <c r="AZ559" i="3"/>
  <c r="BL557" i="3"/>
  <c r="AZ557" i="3"/>
  <c r="BL555" i="3"/>
  <c r="AZ555" i="3"/>
  <c r="BL553" i="3"/>
  <c r="AZ553" i="3"/>
  <c r="BL551" i="3"/>
  <c r="AZ551" i="3"/>
  <c r="BL549" i="3"/>
  <c r="AZ549"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A572" i="3"/>
  <c r="AZ572" i="3"/>
  <c r="BA570" i="3"/>
  <c r="AZ570" i="3"/>
  <c r="BA268" i="3"/>
  <c r="AZ268" i="3"/>
  <c r="BA264" i="3"/>
  <c r="AZ264" i="3"/>
  <c r="BA260" i="3"/>
  <c r="AZ260" i="3"/>
  <c r="BA256" i="3"/>
  <c r="AZ256" i="3"/>
  <c r="BA252" i="3"/>
  <c r="AZ252" i="3"/>
  <c r="BA248" i="3"/>
  <c r="AZ248" i="3"/>
  <c r="BA266" i="3"/>
  <c r="AZ266" i="3"/>
  <c r="BA262" i="3"/>
  <c r="AZ262" i="3"/>
  <c r="BA258" i="3"/>
  <c r="AZ258" i="3"/>
  <c r="BA254" i="3"/>
  <c r="AZ254" i="3"/>
  <c r="BA250" i="3"/>
  <c r="AZ250" i="3"/>
  <c r="BA148" i="3"/>
  <c r="AZ148" i="3"/>
  <c r="BA144" i="3"/>
  <c r="AZ144" i="3"/>
  <c r="BA140" i="3"/>
  <c r="AZ140" i="3"/>
  <c r="BA136" i="3"/>
  <c r="AZ136" i="3"/>
  <c r="BA132" i="3"/>
  <c r="AZ132" i="3"/>
  <c r="BA128" i="3"/>
  <c r="AZ128" i="3"/>
  <c r="BA124" i="3"/>
  <c r="AZ124" i="3"/>
  <c r="BA120" i="3"/>
  <c r="AZ120" i="3"/>
  <c r="BA116" i="3"/>
  <c r="AZ116" i="3"/>
  <c r="BA112" i="3"/>
  <c r="AZ112" i="3"/>
  <c r="BA108" i="3"/>
  <c r="AZ108" i="3"/>
  <c r="BA104" i="3"/>
  <c r="AZ104" i="3"/>
  <c r="BA100" i="3"/>
  <c r="AZ100" i="3"/>
  <c r="BA96" i="3"/>
  <c r="AZ96" i="3"/>
  <c r="BA92" i="3"/>
  <c r="AZ92" i="3"/>
  <c r="BA88" i="3"/>
  <c r="AZ88" i="3"/>
  <c r="BA84" i="3"/>
  <c r="AZ84" i="3"/>
  <c r="BA80" i="3"/>
  <c r="AZ80" i="3"/>
  <c r="BA76" i="3"/>
  <c r="AZ76" i="3"/>
  <c r="BA72" i="3"/>
  <c r="AZ72" i="3"/>
  <c r="BA68" i="3"/>
  <c r="AZ68" i="3"/>
  <c r="BA64" i="3"/>
  <c r="AZ64" i="3"/>
  <c r="BA60" i="3"/>
  <c r="AZ60" i="3"/>
  <c r="BA56" i="3"/>
  <c r="AZ56" i="3"/>
  <c r="O9" i="73"/>
  <c r="K13" i="3"/>
  <c r="K9" i="73"/>
  <c r="I13" i="3"/>
  <c r="S9" i="73"/>
  <c r="BA150" i="3"/>
  <c r="AZ150" i="3"/>
  <c r="BA146" i="3"/>
  <c r="AZ146" i="3"/>
  <c r="BA142" i="3"/>
  <c r="AZ142" i="3"/>
  <c r="BA138" i="3"/>
  <c r="AZ138" i="3"/>
  <c r="BA134" i="3"/>
  <c r="AZ134" i="3"/>
  <c r="BA130" i="3"/>
  <c r="AZ130" i="3"/>
  <c r="BA126" i="3"/>
  <c r="AZ126" i="3"/>
  <c r="BA122" i="3"/>
  <c r="AZ122" i="3"/>
  <c r="BA118" i="3"/>
  <c r="AZ118" i="3"/>
  <c r="BA114" i="3"/>
  <c r="AZ114" i="3"/>
  <c r="BA110" i="3"/>
  <c r="AZ110" i="3"/>
  <c r="BA106" i="3"/>
  <c r="AZ106" i="3"/>
  <c r="BA102" i="3"/>
  <c r="AZ102" i="3"/>
  <c r="BA98" i="3"/>
  <c r="AZ98" i="3"/>
  <c r="BA94" i="3"/>
  <c r="AZ94" i="3"/>
  <c r="BA90" i="3"/>
  <c r="AZ90" i="3"/>
  <c r="BA86" i="3"/>
  <c r="AZ86" i="3"/>
  <c r="BA82" i="3"/>
  <c r="AZ82" i="3"/>
  <c r="BA78" i="3"/>
  <c r="AZ78" i="3"/>
  <c r="BA74" i="3"/>
  <c r="AZ74" i="3"/>
  <c r="BA70" i="3"/>
  <c r="AZ70" i="3"/>
  <c r="BA66" i="3"/>
  <c r="AZ66" i="3"/>
  <c r="BA62" i="3"/>
  <c r="AZ62" i="3"/>
  <c r="BA58" i="3"/>
  <c r="AZ58" i="3"/>
  <c r="BA54" i="3"/>
  <c r="AZ54" i="3"/>
  <c r="M9" i="73"/>
  <c r="C40" i="39"/>
  <c r="C22" i="4"/>
  <c r="N5" i="54"/>
  <c r="B43" i="63"/>
  <c r="E45" i="9"/>
  <c r="F45" i="9"/>
  <c r="E63" i="40"/>
  <c r="K38" i="9"/>
  <c r="C14" i="66"/>
  <c r="B2" i="66"/>
  <c r="D7" i="66"/>
  <c r="O13" i="1"/>
  <c r="P13" i="1"/>
  <c r="O11" i="1"/>
  <c r="P11" i="1"/>
  <c r="O9" i="1"/>
  <c r="P9" i="1"/>
  <c r="O12" i="1"/>
  <c r="P12" i="1"/>
  <c r="O10" i="1"/>
  <c r="P10" i="1"/>
  <c r="O8" i="1"/>
  <c r="P8" i="1"/>
  <c r="L60" i="44"/>
  <c r="L59" i="44"/>
  <c r="C36" i="44"/>
  <c r="L58" i="15"/>
  <c r="L59" i="15"/>
  <c r="J22" i="44"/>
  <c r="C29" i="44"/>
  <c r="Q72" i="15"/>
  <c r="J54" i="44"/>
  <c r="J58" i="44"/>
  <c r="J56" i="44"/>
  <c r="J59" i="44"/>
  <c r="Q52" i="44"/>
  <c r="J60" i="44"/>
  <c r="J61" i="44"/>
  <c r="Q50" i="44"/>
  <c r="I55" i="44"/>
  <c r="L57" i="44"/>
  <c r="C8" i="44"/>
  <c r="M9" i="44"/>
  <c r="J8" i="44"/>
  <c r="Q73" i="44"/>
  <c r="J1" i="65"/>
  <c r="E20" i="46"/>
  <c r="Q49" i="15"/>
  <c r="I54" i="15"/>
  <c r="J57" i="15"/>
  <c r="J55" i="15"/>
  <c r="J58" i="15"/>
  <c r="Q51" i="15"/>
  <c r="J59" i="15"/>
  <c r="L56" i="15"/>
  <c r="L57" i="15"/>
  <c r="L60" i="15"/>
  <c r="F65" i="15"/>
  <c r="F64" i="15"/>
  <c r="F63" i="15"/>
  <c r="F50" i="15"/>
  <c r="F67" i="15"/>
  <c r="E22" i="52"/>
  <c r="E11" i="52"/>
  <c r="B7" i="52"/>
  <c r="B10" i="52"/>
  <c r="B9" i="52"/>
  <c r="B4" i="52"/>
  <c r="B8" i="52"/>
  <c r="E9" i="52"/>
  <c r="E10" i="52"/>
  <c r="B23" i="52"/>
  <c r="B16" i="52"/>
  <c r="B6" i="52"/>
  <c r="E5" i="52"/>
  <c r="E16" i="52"/>
  <c r="E8" i="52"/>
  <c r="B13" i="52"/>
  <c r="E21" i="52"/>
  <c r="E6" i="52"/>
  <c r="C18" i="44"/>
  <c r="E3" i="65"/>
  <c r="AB7" i="36"/>
  <c r="T36" i="36"/>
  <c r="G36" i="36"/>
  <c r="U7" i="36"/>
  <c r="F19" i="6"/>
  <c r="E19" i="6"/>
  <c r="BB13" i="3"/>
  <c r="H13" i="3"/>
  <c r="H5" i="3"/>
  <c r="I5" i="3"/>
  <c r="AB7" i="21"/>
  <c r="U7" i="21"/>
  <c r="AB46" i="21"/>
  <c r="U46" i="21"/>
  <c r="W12" i="21"/>
  <c r="W15" i="21"/>
  <c r="W21" i="21"/>
  <c r="AC29" i="21"/>
  <c r="W29" i="21"/>
  <c r="AC35" i="21"/>
  <c r="W35" i="21"/>
  <c r="AC44" i="21"/>
  <c r="W44" i="21"/>
  <c r="W23" i="21"/>
  <c r="S23" i="21"/>
  <c r="Q4" i="59"/>
  <c r="AB3" i="59"/>
  <c r="AH3" i="59"/>
  <c r="S45" i="39"/>
  <c r="S34" i="39"/>
  <c r="AB9" i="36"/>
  <c r="U9" i="36"/>
  <c r="W11" i="21"/>
  <c r="S11" i="21"/>
  <c r="U19" i="21"/>
  <c r="AC37" i="21"/>
  <c r="W37" i="21"/>
  <c r="AB37" i="21"/>
  <c r="U37" i="21"/>
  <c r="P27" i="73"/>
  <c r="P30" i="73"/>
  <c r="P31" i="73"/>
  <c r="J30" i="73"/>
  <c r="J31" i="73"/>
  <c r="S9" i="71"/>
  <c r="R15" i="71"/>
  <c r="R16" i="71"/>
  <c r="N30" i="73"/>
  <c r="N31" i="73"/>
  <c r="F7" i="59"/>
  <c r="F6" i="59"/>
  <c r="F5" i="59"/>
  <c r="V8" i="59"/>
  <c r="C7" i="59"/>
  <c r="D8" i="59"/>
  <c r="T8" i="59"/>
  <c r="H83" i="39"/>
  <c r="I83" i="39"/>
  <c r="J83" i="39"/>
  <c r="K83" i="39"/>
  <c r="L83" i="39"/>
  <c r="M83" i="39"/>
  <c r="P26" i="71"/>
  <c r="T44" i="59"/>
  <c r="D44" i="59"/>
  <c r="T16" i="59"/>
  <c r="D16" i="59"/>
  <c r="AA7" i="34"/>
  <c r="R49" i="34"/>
  <c r="S7" i="34"/>
  <c r="W7" i="34"/>
  <c r="AC7" i="34"/>
  <c r="V49" i="34"/>
  <c r="I49" i="34"/>
  <c r="AA7" i="37"/>
  <c r="R42" i="37"/>
  <c r="S7" i="37"/>
  <c r="F67" i="40"/>
  <c r="G65" i="40"/>
  <c r="AB7" i="33"/>
  <c r="T48" i="33"/>
  <c r="G48" i="33"/>
  <c r="U7" i="33"/>
  <c r="AC7" i="36"/>
  <c r="V36" i="36"/>
  <c r="I36" i="36"/>
  <c r="W7" i="36"/>
  <c r="W7" i="35"/>
  <c r="AC7" i="35"/>
  <c r="V38" i="35"/>
  <c r="I38" i="35"/>
  <c r="F7" i="35"/>
  <c r="BO13" i="3"/>
  <c r="AH5" i="3"/>
  <c r="BR13" i="3"/>
  <c r="BR5" i="3"/>
  <c r="G28" i="6"/>
  <c r="AN5" i="3"/>
  <c r="Q9" i="73"/>
  <c r="E59" i="39"/>
  <c r="G20" i="6"/>
  <c r="BC13" i="3"/>
  <c r="BC5" i="3"/>
  <c r="K5" i="3"/>
  <c r="AA7" i="21"/>
  <c r="S7" i="21"/>
  <c r="AB44" i="21"/>
  <c r="U44" i="21"/>
  <c r="AC7" i="21"/>
  <c r="W7" i="21"/>
  <c r="W14" i="21"/>
  <c r="W17" i="21"/>
  <c r="W27" i="21"/>
  <c r="AC31" i="21"/>
  <c r="W31" i="21"/>
  <c r="AC40" i="21"/>
  <c r="W40" i="21"/>
  <c r="AC46" i="21"/>
  <c r="W46" i="21"/>
  <c r="U23" i="21"/>
  <c r="U45" i="39"/>
  <c r="U34" i="39"/>
  <c r="N47" i="59"/>
  <c r="B46" i="59"/>
  <c r="AB24" i="36"/>
  <c r="U24" i="36"/>
  <c r="AA9" i="36"/>
  <c r="S9" i="36"/>
  <c r="U11" i="21"/>
  <c r="W19" i="21"/>
  <c r="S19" i="21"/>
  <c r="AA37" i="21"/>
  <c r="S37" i="21"/>
  <c r="AD3" i="59"/>
  <c r="N4" i="59"/>
  <c r="X3" i="59"/>
  <c r="M15" i="71"/>
  <c r="I16" i="71"/>
  <c r="K15" i="71"/>
  <c r="Q15" i="71"/>
  <c r="F15" i="71"/>
  <c r="S15" i="71"/>
  <c r="I31" i="71"/>
  <c r="F30" i="71"/>
  <c r="P29" i="71"/>
  <c r="R6" i="73"/>
  <c r="S6" i="73"/>
  <c r="S3" i="73"/>
  <c r="F46" i="59"/>
  <c r="Q47" i="59"/>
  <c r="U13" i="39"/>
  <c r="S13" i="39"/>
  <c r="G16" i="71"/>
  <c r="F16" i="71"/>
  <c r="B5" i="59"/>
  <c r="T36" i="59"/>
  <c r="D36" i="59"/>
  <c r="T40" i="59"/>
  <c r="D40" i="59"/>
  <c r="G97" i="39"/>
  <c r="AA7" i="36"/>
  <c r="R36" i="36"/>
  <c r="S7" i="36"/>
  <c r="H7" i="34"/>
  <c r="J7" i="37"/>
  <c r="H7" i="37"/>
  <c r="F7" i="33"/>
  <c r="J7" i="33"/>
  <c r="AB7" i="35"/>
  <c r="T38" i="35"/>
  <c r="G38" i="35"/>
  <c r="U7" i="35"/>
  <c r="L47" i="44"/>
  <c r="F17" i="11"/>
  <c r="F26" i="44"/>
  <c r="C26" i="44"/>
  <c r="F21" i="43"/>
  <c r="C23" i="43"/>
  <c r="D21" i="43"/>
  <c r="F13" i="44"/>
  <c r="C12" i="44"/>
  <c r="C7" i="44"/>
  <c r="M13" i="44"/>
  <c r="J12" i="44"/>
  <c r="J7" i="44"/>
  <c r="Q67" i="15"/>
  <c r="Q58" i="15"/>
  <c r="Q75" i="15"/>
  <c r="Q62" i="15"/>
  <c r="Q63" i="44"/>
  <c r="Q76" i="44"/>
  <c r="Q53" i="15"/>
  <c r="P17" i="46"/>
  <c r="N17" i="46"/>
  <c r="M17" i="46"/>
  <c r="O17" i="46"/>
  <c r="F1" i="44"/>
  <c r="Q54" i="44"/>
  <c r="Q61" i="15"/>
  <c r="Q74" i="15"/>
  <c r="Q75" i="44"/>
  <c r="Q62" i="44"/>
  <c r="G43" i="35"/>
  <c r="H43" i="35"/>
  <c r="G42" i="35"/>
  <c r="H42" i="35"/>
  <c r="S7" i="33"/>
  <c r="AA7" i="33"/>
  <c r="R48" i="33"/>
  <c r="W7" i="37"/>
  <c r="AC7" i="37"/>
  <c r="V42" i="37"/>
  <c r="I42" i="37"/>
  <c r="W23" i="39"/>
  <c r="Q46" i="59"/>
  <c r="Q45" i="59"/>
  <c r="N45" i="59"/>
  <c r="N46" i="59"/>
  <c r="E20" i="6"/>
  <c r="G27" i="6"/>
  <c r="BP13" i="3"/>
  <c r="BP5" i="3"/>
  <c r="G29" i="6"/>
  <c r="AJ5" i="3"/>
  <c r="G30" i="6"/>
  <c r="G31" i="6"/>
  <c r="E28" i="6"/>
  <c r="AC13" i="3"/>
  <c r="S7" i="35"/>
  <c r="AA7" i="35"/>
  <c r="R38" i="35"/>
  <c r="I40" i="36"/>
  <c r="J40" i="36"/>
  <c r="G52" i="33"/>
  <c r="H52" i="33"/>
  <c r="G53" i="33"/>
  <c r="H53" i="33"/>
  <c r="E42" i="37"/>
  <c r="R43" i="37"/>
  <c r="E49" i="34"/>
  <c r="R50" i="34"/>
  <c r="C6" i="59"/>
  <c r="D7" i="59"/>
  <c r="F4" i="59"/>
  <c r="I4" i="6"/>
  <c r="G3" i="46"/>
  <c r="BA13" i="3"/>
  <c r="BB5" i="3"/>
  <c r="W7" i="33"/>
  <c r="AC7" i="33"/>
  <c r="V48" i="33"/>
  <c r="I48" i="33"/>
  <c r="AB7" i="37"/>
  <c r="T42" i="37"/>
  <c r="G42" i="37"/>
  <c r="U7" i="37"/>
  <c r="U7" i="34"/>
  <c r="AB7" i="34"/>
  <c r="T49" i="34"/>
  <c r="G49" i="34"/>
  <c r="E36" i="36"/>
  <c r="I41" i="36"/>
  <c r="J41" i="36"/>
  <c r="R37" i="36"/>
  <c r="S23" i="39"/>
  <c r="B4" i="59"/>
  <c r="P25" i="46"/>
  <c r="B73" i="39"/>
  <c r="P21" i="46"/>
  <c r="P24" i="46"/>
  <c r="B68" i="40"/>
  <c r="P23" i="46"/>
  <c r="P22" i="46"/>
  <c r="BO5" i="3"/>
  <c r="F29" i="6"/>
  <c r="BL13" i="3"/>
  <c r="BL5" i="3"/>
  <c r="I42" i="35"/>
  <c r="J42" i="35"/>
  <c r="H65" i="40"/>
  <c r="G67" i="40"/>
  <c r="I54" i="34"/>
  <c r="J54" i="34"/>
  <c r="I53" i="34"/>
  <c r="J53" i="34"/>
  <c r="P30" i="71"/>
  <c r="P31" i="71"/>
  <c r="W13" i="39"/>
  <c r="K6" i="1"/>
  <c r="D3" i="21"/>
  <c r="E32" i="6"/>
  <c r="C9" i="12"/>
  <c r="G40" i="36"/>
  <c r="H40" i="36"/>
  <c r="G41" i="36"/>
  <c r="H41" i="36"/>
  <c r="U40" i="39"/>
  <c r="W40" i="39"/>
  <c r="S40" i="39"/>
  <c r="J20" i="44"/>
  <c r="J28" i="44"/>
  <c r="J31" i="44"/>
  <c r="J26" i="44"/>
  <c r="C52" i="15"/>
  <c r="C40" i="44"/>
  <c r="C34" i="44"/>
  <c r="L52" i="44"/>
  <c r="F68" i="15"/>
  <c r="I65" i="40"/>
  <c r="H67" i="40"/>
  <c r="F30" i="6"/>
  <c r="E29" i="6"/>
  <c r="E30" i="6"/>
  <c r="C36" i="36"/>
  <c r="C37" i="36"/>
  <c r="B3" i="36"/>
  <c r="B2" i="36"/>
  <c r="G53" i="34"/>
  <c r="H53" i="34"/>
  <c r="G54" i="34"/>
  <c r="H54" i="34"/>
  <c r="I52" i="33"/>
  <c r="J52" i="33"/>
  <c r="E5" i="6"/>
  <c r="E15" i="6"/>
  <c r="E8" i="6"/>
  <c r="E13" i="6"/>
  <c r="E12" i="6"/>
  <c r="E10" i="6"/>
  <c r="E14" i="6"/>
  <c r="C5" i="59"/>
  <c r="D6" i="59"/>
  <c r="E54" i="34"/>
  <c r="F54" i="34"/>
  <c r="E53" i="34"/>
  <c r="F53" i="34"/>
  <c r="E47" i="37"/>
  <c r="F47" i="37"/>
  <c r="E46" i="37"/>
  <c r="F46" i="37"/>
  <c r="K14" i="1"/>
  <c r="M14" i="1"/>
  <c r="E11" i="6"/>
  <c r="M6" i="1"/>
  <c r="E40" i="36"/>
  <c r="F40" i="36"/>
  <c r="E41" i="36"/>
  <c r="F41" i="36"/>
  <c r="G46" i="37"/>
  <c r="H46" i="37"/>
  <c r="G47" i="37"/>
  <c r="H47" i="37"/>
  <c r="BA5" i="3"/>
  <c r="AZ13" i="3"/>
  <c r="N101" i="46"/>
  <c r="K101" i="46"/>
  <c r="L101" i="46"/>
  <c r="J101" i="46"/>
  <c r="S6" i="46"/>
  <c r="S2" i="46"/>
  <c r="F101" i="46"/>
  <c r="E101" i="46"/>
  <c r="B113" i="46"/>
  <c r="C101" i="46"/>
  <c r="S7" i="46"/>
  <c r="S5" i="46"/>
  <c r="S3" i="46"/>
  <c r="S4" i="46"/>
  <c r="J22" i="46"/>
  <c r="N104" i="45"/>
  <c r="Z7" i="46"/>
  <c r="AB11" i="46"/>
  <c r="AB13" i="46"/>
  <c r="AJ11" i="46"/>
  <c r="AJ13" i="46"/>
  <c r="AI11" i="46"/>
  <c r="AI13" i="46"/>
  <c r="C23" i="46"/>
  <c r="C21" i="46"/>
  <c r="AD11" i="46"/>
  <c r="AD13" i="46"/>
  <c r="Y11" i="46"/>
  <c r="Y13" i="46"/>
  <c r="AC11" i="46"/>
  <c r="AC13" i="46"/>
  <c r="H101" i="46"/>
  <c r="D101" i="46"/>
  <c r="G22" i="46"/>
  <c r="H22" i="46"/>
  <c r="AE11" i="46"/>
  <c r="AE13" i="46"/>
  <c r="AF11" i="46"/>
  <c r="AF13" i="46"/>
  <c r="AH11" i="46"/>
  <c r="AH13" i="46"/>
  <c r="Z11" i="46"/>
  <c r="Z13" i="46"/>
  <c r="E22" i="46"/>
  <c r="M101" i="46"/>
  <c r="G101" i="46"/>
  <c r="F22" i="46"/>
  <c r="AA11" i="46"/>
  <c r="AA13" i="46"/>
  <c r="AG11" i="46"/>
  <c r="AG13" i="46"/>
  <c r="I101" i="46"/>
  <c r="C50" i="34"/>
  <c r="B3" i="34"/>
  <c r="B2" i="34"/>
  <c r="C49" i="34"/>
  <c r="C42" i="37"/>
  <c r="C43" i="37"/>
  <c r="B3" i="37"/>
  <c r="B2" i="37"/>
  <c r="R39" i="35"/>
  <c r="E38" i="35"/>
  <c r="G13" i="3"/>
  <c r="AC5" i="3"/>
  <c r="D9" i="12"/>
  <c r="K7" i="1"/>
  <c r="I46" i="37"/>
  <c r="J46" i="37"/>
  <c r="I47" i="37"/>
  <c r="J47" i="37"/>
  <c r="R49" i="33"/>
  <c r="E48" i="33"/>
  <c r="Q69" i="44"/>
  <c r="L58" i="44"/>
  <c r="L61" i="44"/>
  <c r="Q67" i="44"/>
  <c r="Q49" i="44"/>
  <c r="Q55" i="44"/>
  <c r="Q58" i="44"/>
  <c r="M29" i="15"/>
  <c r="F49" i="15"/>
  <c r="C48" i="15"/>
  <c r="C47" i="15"/>
  <c r="F70" i="15"/>
  <c r="E52" i="33"/>
  <c r="F52" i="33"/>
  <c r="E53" i="33"/>
  <c r="F53" i="33"/>
  <c r="M7" i="1"/>
  <c r="G5" i="3"/>
  <c r="B3" i="3"/>
  <c r="E13" i="3"/>
  <c r="C38" i="35"/>
  <c r="C39" i="35"/>
  <c r="B3" i="35"/>
  <c r="B2" i="35"/>
  <c r="M107" i="46"/>
  <c r="M103" i="46"/>
  <c r="M102" i="46"/>
  <c r="M106" i="46"/>
  <c r="M104" i="46"/>
  <c r="M109" i="46"/>
  <c r="M105" i="46"/>
  <c r="C106" i="46"/>
  <c r="C105" i="46"/>
  <c r="C104" i="46"/>
  <c r="C102" i="46"/>
  <c r="C107" i="46"/>
  <c r="C109" i="46"/>
  <c r="C103" i="46"/>
  <c r="E103" i="46"/>
  <c r="E107" i="46"/>
  <c r="E102" i="46"/>
  <c r="E104" i="46"/>
  <c r="E106" i="46"/>
  <c r="E105" i="46"/>
  <c r="E109" i="46"/>
  <c r="J104" i="46"/>
  <c r="J109" i="46"/>
  <c r="J102" i="46"/>
  <c r="J105" i="46"/>
  <c r="J107" i="46"/>
  <c r="J106" i="46"/>
  <c r="J103" i="46"/>
  <c r="K109" i="46"/>
  <c r="K107" i="46"/>
  <c r="K103" i="46"/>
  <c r="K105" i="46"/>
  <c r="K104" i="46"/>
  <c r="K102" i="46"/>
  <c r="K106" i="46"/>
  <c r="AZ5" i="3"/>
  <c r="AY13" i="3"/>
  <c r="G16" i="1"/>
  <c r="H16" i="1"/>
  <c r="E66" i="39"/>
  <c r="E61" i="40"/>
  <c r="E64" i="39"/>
  <c r="E59" i="40"/>
  <c r="F27" i="6"/>
  <c r="F31" i="6"/>
  <c r="E16" i="6"/>
  <c r="E53" i="40"/>
  <c r="D12" i="11"/>
  <c r="C12" i="11"/>
  <c r="I53" i="33"/>
  <c r="J53" i="33"/>
  <c r="I67" i="40"/>
  <c r="J65" i="40"/>
  <c r="D104" i="46"/>
  <c r="D106" i="46"/>
  <c r="D107" i="46"/>
  <c r="D103" i="46"/>
  <c r="D109" i="46"/>
  <c r="D105" i="46"/>
  <c r="D102" i="46"/>
  <c r="C49" i="33"/>
  <c r="B3" i="33"/>
  <c r="B2" i="33"/>
  <c r="C48" i="33"/>
  <c r="E42" i="35"/>
  <c r="F42" i="35"/>
  <c r="E43" i="35"/>
  <c r="F43" i="35"/>
  <c r="I43" i="35"/>
  <c r="J43" i="35"/>
  <c r="I104" i="46"/>
  <c r="I105" i="46"/>
  <c r="I103" i="46"/>
  <c r="I102" i="46"/>
  <c r="I109" i="46"/>
  <c r="I106" i="46"/>
  <c r="I107" i="46"/>
  <c r="G102" i="46"/>
  <c r="G106" i="46"/>
  <c r="G104" i="46"/>
  <c r="G107" i="46"/>
  <c r="G109" i="46"/>
  <c r="G105" i="46"/>
  <c r="G103" i="46"/>
  <c r="D22" i="46"/>
  <c r="H106" i="46"/>
  <c r="H107" i="46"/>
  <c r="H104" i="46"/>
  <c r="H105" i="46"/>
  <c r="H102" i="46"/>
  <c r="H103" i="46"/>
  <c r="H109" i="46"/>
  <c r="D118" i="46"/>
  <c r="E118" i="46"/>
  <c r="F118" i="46"/>
  <c r="I115" i="46"/>
  <c r="J115" i="46"/>
  <c r="K115" i="46"/>
  <c r="L115" i="46"/>
  <c r="M115" i="46"/>
  <c r="D115" i="46"/>
  <c r="E115" i="46"/>
  <c r="F115" i="46"/>
  <c r="G115" i="46"/>
  <c r="H115" i="46"/>
  <c r="I118" i="46"/>
  <c r="J118" i="46"/>
  <c r="K118" i="46"/>
  <c r="L118" i="46"/>
  <c r="M118" i="46"/>
  <c r="D116" i="46"/>
  <c r="E116" i="46"/>
  <c r="F116" i="46"/>
  <c r="G116" i="46"/>
  <c r="H116" i="46"/>
  <c r="G118" i="46"/>
  <c r="H118" i="46"/>
  <c r="B118" i="46"/>
  <c r="C118" i="46"/>
  <c r="I116" i="46"/>
  <c r="J116" i="46"/>
  <c r="K116" i="46"/>
  <c r="L116" i="46"/>
  <c r="M116" i="46"/>
  <c r="B117" i="46"/>
  <c r="C117" i="46"/>
  <c r="I117" i="46"/>
  <c r="J117" i="46"/>
  <c r="K117" i="46"/>
  <c r="L117" i="46"/>
  <c r="M117" i="46"/>
  <c r="B115" i="46"/>
  <c r="B116" i="46"/>
  <c r="C116" i="46"/>
  <c r="D117" i="46"/>
  <c r="E117" i="46"/>
  <c r="F117" i="46"/>
  <c r="G117" i="46"/>
  <c r="H117" i="46"/>
  <c r="F109" i="46"/>
  <c r="F107" i="46"/>
  <c r="F106" i="46"/>
  <c r="F105" i="46"/>
  <c r="F102" i="46"/>
  <c r="F103" i="46"/>
  <c r="F104" i="46"/>
  <c r="L106" i="46"/>
  <c r="L107" i="46"/>
  <c r="L109" i="46"/>
  <c r="L103" i="46"/>
  <c r="L102" i="46"/>
  <c r="L105" i="46"/>
  <c r="L104" i="46"/>
  <c r="N104" i="46"/>
  <c r="N103" i="46"/>
  <c r="N106" i="46"/>
  <c r="N109" i="46"/>
  <c r="N102" i="46"/>
  <c r="N105" i="46"/>
  <c r="N107" i="46"/>
  <c r="E27" i="6"/>
  <c r="BA6" i="3"/>
  <c r="Q16" i="1"/>
  <c r="AP16" i="1"/>
  <c r="F22" i="11"/>
  <c r="O6" i="1"/>
  <c r="M16" i="1"/>
  <c r="C15" i="43"/>
  <c r="E63" i="39"/>
  <c r="E58" i="40"/>
  <c r="O14" i="1"/>
  <c r="P14" i="1"/>
  <c r="C4" i="59"/>
  <c r="D4" i="59"/>
  <c r="D5" i="59"/>
  <c r="M20" i="46"/>
  <c r="C19" i="46"/>
  <c r="T4" i="46"/>
  <c r="V4" i="46"/>
  <c r="E65" i="39"/>
  <c r="E60" i="40"/>
  <c r="E67" i="39"/>
  <c r="E62" i="40"/>
  <c r="L19" i="6"/>
  <c r="L27" i="6"/>
  <c r="K15" i="1"/>
  <c r="K16" i="1"/>
  <c r="Q59" i="44"/>
  <c r="Q64" i="44"/>
  <c r="Q68" i="44"/>
  <c r="Q77" i="44"/>
  <c r="N16" i="1"/>
  <c r="C29" i="43"/>
  <c r="L16" i="1"/>
  <c r="C13" i="43"/>
  <c r="T6" i="46"/>
  <c r="V6" i="46"/>
  <c r="C115" i="46"/>
  <c r="D113" i="46"/>
  <c r="T3" i="46"/>
  <c r="V3" i="46"/>
  <c r="P6" i="1"/>
  <c r="F24" i="43"/>
  <c r="C26" i="43"/>
  <c r="D24" i="43"/>
  <c r="F18" i="11"/>
  <c r="K20" i="6"/>
  <c r="K22" i="6"/>
  <c r="M22" i="6"/>
  <c r="I22" i="6"/>
  <c r="K23" i="6"/>
  <c r="M23" i="6"/>
  <c r="I23" i="6"/>
  <c r="K21" i="6"/>
  <c r="M21" i="6"/>
  <c r="I21" i="6"/>
  <c r="K19" i="6"/>
  <c r="K24" i="6"/>
  <c r="M24" i="6"/>
  <c r="I24" i="6"/>
  <c r="K26" i="6"/>
  <c r="M26" i="6"/>
  <c r="I26" i="6"/>
  <c r="K25" i="6"/>
  <c r="M25" i="6"/>
  <c r="I25" i="6"/>
  <c r="T7" i="46"/>
  <c r="V7" i="46"/>
  <c r="J67" i="40"/>
  <c r="K65" i="40"/>
  <c r="E68" i="39"/>
  <c r="T2" i="46"/>
  <c r="V2" i="46"/>
  <c r="O7" i="1"/>
  <c r="P7" i="1"/>
  <c r="J18" i="15"/>
  <c r="J24" i="15"/>
  <c r="C36" i="46"/>
  <c r="C33" i="46"/>
  <c r="C34" i="46"/>
  <c r="C35" i="46"/>
  <c r="C38" i="46"/>
  <c r="C37" i="46"/>
  <c r="T10" i="46"/>
  <c r="V10" i="46"/>
  <c r="T14" i="46"/>
  <c r="V14" i="46"/>
  <c r="T9" i="46"/>
  <c r="V9" i="46"/>
  <c r="T13" i="46"/>
  <c r="V13" i="46"/>
  <c r="C39" i="46"/>
  <c r="E39" i="46"/>
  <c r="T8" i="46"/>
  <c r="V8" i="46"/>
  <c r="T12" i="46"/>
  <c r="V12" i="46"/>
  <c r="T16" i="46"/>
  <c r="V16" i="46"/>
  <c r="T11" i="46"/>
  <c r="V11" i="46"/>
  <c r="T15" i="46"/>
  <c r="V15" i="46"/>
  <c r="C29" i="46"/>
  <c r="F12" i="39"/>
  <c r="H12" i="39"/>
  <c r="J12" i="40"/>
  <c r="J12" i="39"/>
  <c r="H12" i="40"/>
  <c r="F12" i="40"/>
  <c r="BL6" i="3"/>
  <c r="AY530" i="3"/>
  <c r="AY549" i="3"/>
  <c r="AY504" i="3"/>
  <c r="AY87" i="3"/>
  <c r="AY69" i="3"/>
  <c r="AY97" i="3"/>
  <c r="AY88" i="3"/>
  <c r="AY26" i="3"/>
  <c r="AY198" i="3"/>
  <c r="AY129" i="3"/>
  <c r="AY529" i="3"/>
  <c r="AY104" i="3"/>
  <c r="AY158" i="3"/>
  <c r="AY218" i="3"/>
  <c r="AY290" i="3"/>
  <c r="AY472" i="3"/>
  <c r="AY392" i="3"/>
  <c r="AY46" i="3"/>
  <c r="AY176" i="3"/>
  <c r="AY365" i="3"/>
  <c r="AY329" i="3"/>
  <c r="AY471" i="3"/>
  <c r="AY131" i="3"/>
  <c r="AY138" i="3"/>
  <c r="AY371" i="3"/>
  <c r="AY318" i="3"/>
  <c r="AY29" i="3"/>
  <c r="AY249" i="3"/>
  <c r="AY367" i="3"/>
  <c r="AY446" i="3"/>
  <c r="AY162" i="3"/>
  <c r="AY380" i="3"/>
  <c r="AY22" i="3"/>
  <c r="AY211" i="3"/>
  <c r="AY319" i="3"/>
  <c r="BQ6" i="3"/>
  <c r="BT6" i="3"/>
  <c r="AY221" i="3"/>
  <c r="AY360" i="3"/>
  <c r="AY370" i="3"/>
  <c r="AY53" i="3"/>
  <c r="AY73" i="3"/>
  <c r="AY182" i="3"/>
  <c r="AY126" i="3"/>
  <c r="AY45" i="3"/>
  <c r="AY106" i="3"/>
  <c r="AY217" i="3"/>
  <c r="AY291" i="3"/>
  <c r="AY383" i="3"/>
  <c r="AY448" i="3"/>
  <c r="AY422" i="3"/>
  <c r="AY170" i="3"/>
  <c r="AY286" i="3"/>
  <c r="AY398" i="3"/>
  <c r="AY70" i="3"/>
  <c r="AY238" i="3"/>
  <c r="BK6" i="3"/>
  <c r="AY115" i="3"/>
  <c r="AY435" i="3"/>
  <c r="AY542" i="3"/>
  <c r="AY382" i="3"/>
  <c r="AY555" i="3"/>
  <c r="AY143" i="3"/>
  <c r="AY308" i="3"/>
  <c r="AY531" i="3"/>
  <c r="AY388" i="3"/>
  <c r="AY137" i="3"/>
  <c r="AY485" i="3"/>
  <c r="AY112" i="3"/>
  <c r="AY415" i="3"/>
  <c r="AY399" i="3"/>
  <c r="AY553" i="3"/>
  <c r="AY199" i="3"/>
  <c r="AY480" i="3"/>
  <c r="AY299" i="3"/>
  <c r="AY153" i="3"/>
  <c r="AY447" i="3"/>
  <c r="AY328" i="3"/>
  <c r="AY344" i="3"/>
  <c r="AY63" i="3"/>
  <c r="AY506" i="3"/>
  <c r="AY108" i="3"/>
  <c r="AY240" i="3"/>
  <c r="AY60" i="3"/>
  <c r="AY475" i="3"/>
  <c r="AY421" i="3"/>
  <c r="AY362" i="3"/>
  <c r="AY205" i="3"/>
  <c r="AY571" i="3"/>
  <c r="AY509" i="3"/>
  <c r="AY554" i="3"/>
  <c r="AY539" i="3"/>
  <c r="AY18" i="3"/>
  <c r="AY146" i="3"/>
  <c r="AY476" i="3"/>
  <c r="AY39" i="3"/>
  <c r="AY258" i="3"/>
  <c r="AY548" i="3"/>
  <c r="AY168" i="3"/>
  <c r="AY81" i="3"/>
  <c r="AY342" i="3"/>
  <c r="AY279" i="3"/>
  <c r="AY278" i="3"/>
  <c r="AY253" i="3"/>
  <c r="AY501" i="3"/>
  <c r="AY99" i="3"/>
  <c r="AY481" i="3"/>
  <c r="AY207" i="3"/>
  <c r="AY567" i="3"/>
  <c r="AY276" i="3"/>
  <c r="AY538" i="3"/>
  <c r="AY436" i="3"/>
  <c r="AY534" i="3"/>
  <c r="AY113" i="3"/>
  <c r="AY557" i="3"/>
  <c r="AY192" i="3"/>
  <c r="AY478" i="3"/>
  <c r="AY545" i="3"/>
  <c r="AY393" i="3"/>
  <c r="AY339" i="3"/>
  <c r="BO6" i="3"/>
  <c r="AY433" i="3"/>
  <c r="AY512" i="3"/>
  <c r="AY93" i="3"/>
  <c r="AY313" i="3"/>
  <c r="AY297" i="3"/>
  <c r="AY332" i="3"/>
  <c r="AY462" i="3"/>
  <c r="AY51" i="3"/>
  <c r="AY167" i="3"/>
  <c r="AY439" i="3"/>
  <c r="BJ6" i="3"/>
  <c r="AY535" i="3"/>
  <c r="AY482" i="3"/>
  <c r="AY491" i="3"/>
  <c r="E3" i="6"/>
  <c r="AY486" i="3"/>
  <c r="AY82" i="3"/>
  <c r="AY537"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477" i="3"/>
  <c r="AY292" i="3"/>
  <c r="AY452" i="3"/>
  <c r="AY354" i="3"/>
  <c r="BE6" i="3"/>
  <c r="AY121" i="3"/>
  <c r="AY508" i="3"/>
  <c r="AY109" i="3"/>
  <c r="AY142" i="3"/>
  <c r="AY77" i="3"/>
  <c r="AY34" i="3"/>
  <c r="AY145" i="3"/>
  <c r="AY259" i="3"/>
  <c r="AY248" i="3"/>
  <c r="AY368" i="3"/>
  <c r="AY309" i="3"/>
  <c r="AY443" i="3"/>
  <c r="AY409" i="3"/>
  <c r="AY96" i="3"/>
  <c r="AY171" i="3"/>
  <c r="AY233" i="3"/>
  <c r="AY219" i="3"/>
  <c r="AY356" i="3"/>
  <c r="AY569" i="3"/>
  <c r="AY44" i="3"/>
  <c r="AY148" i="3"/>
  <c r="AY288" i="3"/>
  <c r="AY206" i="3"/>
  <c r="AY316" i="3"/>
  <c r="AY520" i="3"/>
  <c r="AY147" i="3"/>
  <c r="AY283" i="3"/>
  <c r="AY561" i="3"/>
  <c r="AY453" i="3"/>
  <c r="AY166" i="3"/>
  <c r="AY225" i="3"/>
  <c r="AY413" i="3"/>
  <c r="AY184" i="3"/>
  <c r="AY562" i="3"/>
  <c r="AY396" i="3"/>
  <c r="AY406" i="3"/>
  <c r="AY151" i="3"/>
  <c r="AY323" i="3"/>
  <c r="AY303" i="3"/>
  <c r="AY245" i="3"/>
  <c r="AY100" i="3"/>
  <c r="AY83" i="3"/>
  <c r="AY47" i="3"/>
  <c r="AY74" i="3"/>
  <c r="AY144" i="3"/>
  <c r="AY98" i="3"/>
  <c r="AY57" i="3"/>
  <c r="AY136" i="3"/>
  <c r="AY262" i="3"/>
  <c r="AY232" i="3"/>
  <c r="AY349" i="3"/>
  <c r="AY361" i="3"/>
  <c r="AY427" i="3"/>
  <c r="AY397" i="3"/>
  <c r="AY49" i="3"/>
  <c r="AY149" i="3"/>
  <c r="AY139" i="3"/>
  <c r="AY364" i="3"/>
  <c r="AY169" i="3"/>
  <c r="AY348" i="3"/>
  <c r="AY72" i="3"/>
  <c r="AY241" i="3"/>
  <c r="AY30" i="3"/>
  <c r="AY230" i="3"/>
  <c r="AY132" i="3"/>
  <c r="AY420" i="3"/>
  <c r="AY188" i="3"/>
  <c r="AY157" i="3"/>
  <c r="AY127" i="3"/>
  <c r="AY32" i="3"/>
  <c r="AY498" i="3"/>
  <c r="AY456" i="3"/>
  <c r="AY518" i="3"/>
  <c r="AY565" i="3"/>
  <c r="AY244" i="3"/>
  <c r="BP6" i="3"/>
  <c r="AY247" i="3"/>
  <c r="AY503" i="3"/>
  <c r="AY20" i="3"/>
  <c r="AY208" i="3"/>
  <c r="AY78" i="3"/>
  <c r="AY174" i="3"/>
  <c r="AY90" i="3"/>
  <c r="AY351" i="3"/>
  <c r="AY358" i="3"/>
  <c r="AY375" i="3"/>
  <c r="AY185" i="3"/>
  <c r="AY559" i="3"/>
  <c r="AY483" i="3"/>
  <c r="AY223" i="3"/>
  <c r="AY71" i="3"/>
  <c r="AY190" i="3"/>
  <c r="AY440" i="3"/>
  <c r="AY235" i="3"/>
  <c r="AY195" i="3"/>
  <c r="AY334" i="3"/>
  <c r="AY331" i="3"/>
  <c r="AY270" i="3"/>
  <c r="AY487" i="3"/>
  <c r="AY252" i="3"/>
  <c r="BM6" i="3"/>
  <c r="AY260" i="3"/>
  <c r="AY423" i="3"/>
  <c r="AY228" i="3"/>
  <c r="AY532" i="3"/>
  <c r="AY564" i="3"/>
  <c r="AY214" i="3"/>
  <c r="AY324" i="3"/>
  <c r="AY116" i="3"/>
  <c r="AY366" i="3"/>
  <c r="AY315" i="3"/>
  <c r="AY256" i="3"/>
  <c r="AY464" i="3"/>
  <c r="AY295" i="3"/>
  <c r="AY194" i="3"/>
  <c r="AY16" i="3"/>
  <c r="AY438" i="3"/>
  <c r="AY336" i="3"/>
  <c r="AY352" i="3"/>
  <c r="AY528" i="3"/>
  <c r="AY236" i="3"/>
  <c r="AY516" i="3"/>
  <c r="BD6" i="3"/>
  <c r="AY510" i="3"/>
  <c r="AY40" i="3"/>
  <c r="AY401" i="3"/>
  <c r="AY281" i="3"/>
  <c r="AY495" i="3"/>
  <c r="AY322" i="3"/>
  <c r="AY267" i="3"/>
  <c r="AY395" i="3"/>
  <c r="AY363" i="3"/>
  <c r="AY189" i="3"/>
  <c r="AY387" i="3"/>
  <c r="AY418" i="3"/>
  <c r="AY410" i="3"/>
  <c r="AY434" i="3"/>
  <c r="AY56" i="3"/>
  <c r="AY289" i="3"/>
  <c r="AY490" i="3"/>
  <c r="AY547" i="3"/>
  <c r="AY210" i="3"/>
  <c r="AY455" i="3"/>
  <c r="AY130" i="3"/>
  <c r="AY125" i="3"/>
  <c r="AY473" i="3"/>
  <c r="AY551" i="3"/>
  <c r="AY541" i="3"/>
  <c r="AY94" i="3"/>
  <c r="AY511" i="3"/>
  <c r="AY536" i="3"/>
  <c r="AY180" i="3"/>
  <c r="AY517" i="3"/>
  <c r="AY523" i="3"/>
  <c r="AY441" i="3"/>
  <c r="T5" i="46"/>
  <c r="V5" i="46"/>
  <c r="E86" i="3"/>
  <c r="E476" i="3"/>
  <c r="M6" i="3"/>
  <c r="E475" i="3"/>
  <c r="E241" i="3"/>
  <c r="E135" i="3"/>
  <c r="E421" i="3"/>
  <c r="E114" i="3"/>
  <c r="E69" i="3"/>
  <c r="E147" i="3"/>
  <c r="E206" i="3"/>
  <c r="E348" i="3"/>
  <c r="E446" i="3"/>
  <c r="E22" i="3"/>
  <c r="E132" i="3"/>
  <c r="E93" i="3"/>
  <c r="E152" i="3"/>
  <c r="E439" i="3"/>
  <c r="E333" i="3"/>
  <c r="E394" i="3"/>
  <c r="E437" i="3"/>
  <c r="E459" i="3"/>
  <c r="E91" i="3"/>
  <c r="E55" i="3"/>
  <c r="E46" i="3"/>
  <c r="E115" i="3"/>
  <c r="E282" i="3"/>
  <c r="E221" i="3"/>
  <c r="E231" i="3"/>
  <c r="E359" i="3"/>
  <c r="E570" i="3"/>
  <c r="E457" i="3"/>
  <c r="E528" i="3"/>
  <c r="E195" i="3"/>
  <c r="E375" i="3"/>
  <c r="E31" i="3"/>
  <c r="E470" i="3"/>
  <c r="E391" i="3"/>
  <c r="E409" i="3"/>
  <c r="E534" i="3"/>
  <c r="E492" i="3"/>
  <c r="E472" i="3"/>
  <c r="E36" i="3"/>
  <c r="E376" i="3"/>
  <c r="E149" i="3"/>
  <c r="E187" i="3"/>
  <c r="E131" i="3"/>
  <c r="E387" i="3"/>
  <c r="E295" i="3"/>
  <c r="E237" i="3"/>
  <c r="E294" i="3"/>
  <c r="E225" i="3"/>
  <c r="R6" i="3"/>
  <c r="E89" i="3"/>
  <c r="E428" i="3"/>
  <c r="E549" i="3"/>
  <c r="E165" i="3"/>
  <c r="E201" i="3"/>
  <c r="E64" i="3"/>
  <c r="E423" i="3"/>
  <c r="E452" i="3"/>
  <c r="E140" i="3"/>
  <c r="E435" i="3"/>
  <c r="P6" i="3"/>
  <c r="E213" i="3"/>
  <c r="E490" i="3"/>
  <c r="E536" i="3"/>
  <c r="E218" i="3"/>
  <c r="E410" i="3"/>
  <c r="E431" i="3"/>
  <c r="E468" i="3"/>
  <c r="E70" i="3"/>
  <c r="E109" i="3"/>
  <c r="E38" i="3"/>
  <c r="E185" i="3"/>
  <c r="E151" i="3"/>
  <c r="E148" i="3"/>
  <c r="E482" i="3"/>
  <c r="E98" i="3"/>
  <c r="E473" i="3"/>
  <c r="E422" i="3"/>
  <c r="N6" i="3"/>
  <c r="E469" i="3"/>
  <c r="E232" i="3"/>
  <c r="E533" i="3"/>
  <c r="E189" i="3"/>
  <c r="E420" i="3"/>
  <c r="E111" i="3"/>
  <c r="E233" i="3"/>
  <c r="E261" i="3"/>
  <c r="E203" i="3"/>
  <c r="E467" i="3"/>
  <c r="E429" i="3"/>
  <c r="E67" i="3"/>
  <c r="E116" i="3"/>
  <c r="E214" i="3"/>
  <c r="E372" i="3"/>
  <c r="E486" i="3"/>
  <c r="E88" i="3"/>
  <c r="E145" i="3"/>
  <c r="E480" i="3"/>
  <c r="E279" i="3"/>
  <c r="E220" i="3"/>
  <c r="E347" i="3"/>
  <c r="E517" i="3"/>
  <c r="E448" i="3"/>
  <c r="E105" i="3"/>
  <c r="E74" i="3"/>
  <c r="AG6" i="3"/>
  <c r="E121" i="3"/>
  <c r="E505" i="3"/>
  <c r="E224" i="3"/>
  <c r="E419" i="3"/>
  <c r="E229" i="3"/>
  <c r="E302" i="3"/>
  <c r="E120" i="3"/>
  <c r="E529" i="3"/>
  <c r="E191" i="3"/>
  <c r="E300" i="3"/>
  <c r="E555" i="3"/>
  <c r="E379" i="3"/>
  <c r="E355" i="3"/>
  <c r="E530" i="3"/>
  <c r="E499" i="3"/>
  <c r="E538" i="3"/>
  <c r="E558" i="3"/>
  <c r="E403" i="3"/>
  <c r="E173" i="3"/>
  <c r="E217" i="3"/>
  <c r="E16" i="3"/>
  <c r="E277" i="3"/>
  <c r="E385" i="3"/>
  <c r="E524" i="3"/>
  <c r="E95" i="3"/>
  <c r="E153" i="3"/>
  <c r="E210" i="3"/>
  <c r="E339" i="3"/>
  <c r="E298" i="3"/>
  <c r="E35" i="3"/>
  <c r="E361" i="3"/>
  <c r="E169" i="3"/>
  <c r="E118" i="3"/>
  <c r="E226" i="3"/>
  <c r="E323" i="3"/>
  <c r="E312" i="3"/>
  <c r="E159" i="3"/>
  <c r="E514" i="3"/>
  <c r="E501" i="3"/>
  <c r="E522" i="3"/>
  <c r="E368" i="3"/>
  <c r="E572" i="3"/>
  <c r="E567" i="3"/>
  <c r="E487" i="3"/>
  <c r="E329" i="3"/>
  <c r="AB6" i="3"/>
  <c r="E26" i="3"/>
  <c r="S6" i="3"/>
  <c r="E244" i="3"/>
  <c r="E511" i="3"/>
  <c r="E382" i="3"/>
  <c r="E484" i="3"/>
  <c r="E20" i="3"/>
  <c r="E564" i="3"/>
  <c r="E413" i="3"/>
  <c r="AO6" i="3"/>
  <c r="E68" i="3"/>
  <c r="E192" i="3"/>
  <c r="E535"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17" i="3"/>
  <c r="E253" i="3"/>
  <c r="E249" i="3"/>
  <c r="E304" i="3"/>
  <c r="E537" i="3"/>
  <c r="E21" i="3"/>
  <c r="E199" i="3"/>
  <c r="E125" i="3"/>
  <c r="E54" i="3"/>
  <c r="E100" i="3"/>
  <c r="E460" i="3"/>
  <c r="E404" i="3"/>
  <c r="E170" i="3"/>
  <c r="E374" i="3"/>
  <c r="I3" i="6"/>
  <c r="E30" i="3"/>
  <c r="E343" i="3"/>
  <c r="E84" i="3"/>
  <c r="E142" i="3"/>
  <c r="AP6" i="3"/>
  <c r="E397" i="3"/>
  <c r="E442" i="3"/>
  <c r="E462" i="3"/>
  <c r="E110" i="3"/>
  <c r="E47" i="3"/>
  <c r="E63" i="3"/>
  <c r="E545" i="3"/>
  <c r="E174" i="3"/>
  <c r="E184" i="3"/>
  <c r="E129" i="3"/>
  <c r="E313" i="3"/>
  <c r="E27" i="3"/>
  <c r="E53" i="3"/>
  <c r="E412" i="3"/>
  <c r="E405" i="3"/>
  <c r="E398" i="3"/>
  <c r="W6" i="3"/>
  <c r="E293" i="3"/>
  <c r="E190" i="3"/>
  <c r="E560" i="3"/>
  <c r="E37" i="3"/>
  <c r="E507" i="3"/>
  <c r="E303" i="3"/>
  <c r="E275" i="3"/>
  <c r="L6" i="3"/>
  <c r="E39" i="3"/>
  <c r="E402" i="3"/>
  <c r="E107" i="3"/>
  <c r="E172" i="3"/>
  <c r="E288" i="3"/>
  <c r="E255" i="3"/>
  <c r="E393" i="3"/>
  <c r="E417" i="3"/>
  <c r="E465" i="3"/>
  <c r="E543" i="3"/>
  <c r="E154" i="3"/>
  <c r="E264" i="3"/>
  <c r="E243" i="3"/>
  <c r="E369" i="3"/>
  <c r="E309" i="3"/>
  <c r="V6" i="3"/>
  <c r="E400" i="3"/>
  <c r="E453" i="3"/>
  <c r="E58" i="3"/>
  <c r="AQ6" i="3"/>
  <c r="E197" i="3"/>
  <c r="E162" i="3"/>
  <c r="E285" i="3"/>
  <c r="E235" i="3"/>
  <c r="E61" i="3"/>
  <c r="E123" i="3"/>
  <c r="E433" i="3"/>
  <c r="E66" i="3"/>
  <c r="E386" i="3"/>
  <c r="E76" i="3"/>
  <c r="E287" i="3"/>
  <c r="E24" i="3"/>
  <c r="E188" i="3"/>
  <c r="E271" i="3"/>
  <c r="E306" i="3"/>
  <c r="E508" i="3"/>
  <c r="E180" i="3"/>
  <c r="E493" i="3"/>
  <c r="E551" i="3"/>
  <c r="E108" i="3"/>
  <c r="E246" i="3"/>
  <c r="E81" i="3"/>
  <c r="E436" i="3"/>
  <c r="E177" i="3"/>
  <c r="E260" i="3"/>
  <c r="E307" i="3"/>
  <c r="E432" i="3"/>
  <c r="E90" i="3"/>
  <c r="E19" i="3"/>
  <c r="E498" i="3"/>
  <c r="E212" i="3"/>
  <c r="E106" i="3"/>
  <c r="E14" i="3"/>
  <c r="E182" i="3"/>
  <c r="E315" i="3"/>
  <c r="E267" i="3"/>
  <c r="E378" i="3"/>
  <c r="E163" i="3"/>
  <c r="E364" i="3"/>
  <c r="E351" i="3"/>
  <c r="E342" i="3"/>
  <c r="AL6" i="3"/>
  <c r="E512" i="3"/>
  <c r="E384" i="3"/>
  <c r="E371" i="3"/>
  <c r="E310" i="3"/>
  <c r="E510" i="3"/>
  <c r="E516" i="3"/>
  <c r="E504" i="3"/>
  <c r="E227" i="3"/>
  <c r="E406" i="3"/>
  <c r="E488" i="3"/>
  <c r="E322" i="3"/>
  <c r="E71" i="3"/>
  <c r="E137" i="3"/>
  <c r="E17" i="3"/>
  <c r="E240" i="3"/>
  <c r="E377" i="3"/>
  <c r="E301" i="3"/>
  <c r="E18" i="3"/>
  <c r="E358" i="3"/>
  <c r="E509" i="3"/>
  <c r="E326" i="3"/>
  <c r="E356" i="3"/>
  <c r="E481" i="3"/>
  <c r="E561" i="3"/>
  <c r="E283" i="3"/>
  <c r="E23" i="3"/>
  <c r="E297" i="3"/>
  <c r="E395" i="3"/>
  <c r="E411" i="3"/>
  <c r="E250" i="3"/>
  <c r="AH6" i="3"/>
  <c r="K6" i="3"/>
  <c r="I6" i="3"/>
  <c r="AN6" i="3"/>
  <c r="AJ6" i="3"/>
  <c r="E31" i="6"/>
  <c r="C59" i="15"/>
  <c r="C65" i="15"/>
  <c r="AA12" i="40"/>
  <c r="S12" i="40"/>
  <c r="I49" i="39"/>
  <c r="W12" i="39"/>
  <c r="U12" i="39"/>
  <c r="G49" i="39"/>
  <c r="C30" i="46"/>
  <c r="E30" i="46"/>
  <c r="C27" i="46"/>
  <c r="E29" i="46"/>
  <c r="G38" i="46"/>
  <c r="I38" i="46"/>
  <c r="E38" i="46"/>
  <c r="E34" i="46"/>
  <c r="G34" i="46"/>
  <c r="I34" i="46"/>
  <c r="G36" i="46"/>
  <c r="I36" i="46"/>
  <c r="E36" i="46"/>
  <c r="L65" i="40"/>
  <c r="K67" i="40"/>
  <c r="S26" i="6"/>
  <c r="H26" i="6"/>
  <c r="S6" i="1"/>
  <c r="K27" i="6"/>
  <c r="M19" i="6"/>
  <c r="S23" i="6"/>
  <c r="H23" i="6"/>
  <c r="S7" i="1"/>
  <c r="M20" i="6"/>
  <c r="I20" i="6"/>
  <c r="O16" i="1"/>
  <c r="AC6" i="3"/>
  <c r="H6" i="3"/>
  <c r="E6" i="3"/>
  <c r="D21" i="6"/>
  <c r="D25" i="6"/>
  <c r="H25" i="6"/>
  <c r="R25" i="6"/>
  <c r="C33" i="21"/>
  <c r="D19" i="6"/>
  <c r="D24" i="6"/>
  <c r="D28" i="6"/>
  <c r="D29" i="6"/>
  <c r="D30" i="6"/>
  <c r="D10" i="6"/>
  <c r="D9" i="6"/>
  <c r="D8" i="6"/>
  <c r="D16" i="43"/>
  <c r="C16" i="43"/>
  <c r="D45" i="9"/>
  <c r="L38" i="9"/>
  <c r="B14" i="66"/>
  <c r="B1" i="66"/>
  <c r="C7" i="66"/>
  <c r="D11" i="6"/>
  <c r="D5" i="6"/>
  <c r="E6" i="6"/>
  <c r="D23" i="6"/>
  <c r="R23" i="6"/>
  <c r="D20" i="6"/>
  <c r="D22" i="6"/>
  <c r="D26" i="6"/>
  <c r="R26" i="6"/>
  <c r="D10" i="11"/>
  <c r="D13" i="6"/>
  <c r="D14" i="6"/>
  <c r="D12" i="6"/>
  <c r="C21" i="4"/>
  <c r="D15" i="6"/>
  <c r="AB12" i="40"/>
  <c r="U12" i="40"/>
  <c r="AC12" i="40"/>
  <c r="W12" i="40"/>
  <c r="S12" i="39"/>
  <c r="E37" i="46"/>
  <c r="G37" i="46"/>
  <c r="I37" i="46"/>
  <c r="E35" i="46"/>
  <c r="G35" i="46"/>
  <c r="I35" i="46"/>
  <c r="E33" i="46"/>
  <c r="G33" i="46"/>
  <c r="I33" i="46"/>
  <c r="S25" i="6"/>
  <c r="S24" i="6"/>
  <c r="H24" i="6"/>
  <c r="S21" i="6"/>
  <c r="H21" i="6"/>
  <c r="S22" i="6"/>
  <c r="H22" i="6"/>
  <c r="P16" i="1"/>
  <c r="C17" i="43"/>
  <c r="C14" i="43"/>
  <c r="F7" i="67"/>
  <c r="E4" i="67"/>
  <c r="E49" i="39"/>
  <c r="C18" i="43"/>
  <c r="D27" i="6"/>
  <c r="D31" i="6"/>
  <c r="O5" i="54"/>
  <c r="B45" i="63"/>
  <c r="A20" i="64"/>
  <c r="A6" i="64"/>
  <c r="A6" i="51"/>
  <c r="B7" i="63"/>
  <c r="A20" i="51"/>
  <c r="B15" i="63"/>
  <c r="R22" i="6"/>
  <c r="H20" i="6"/>
  <c r="R20" i="6"/>
  <c r="R7" i="1"/>
  <c r="D6" i="6"/>
  <c r="D13" i="11"/>
  <c r="C13" i="11"/>
  <c r="D16" i="6"/>
  <c r="R24" i="6"/>
  <c r="R21" i="6"/>
  <c r="C26" i="46"/>
  <c r="G53" i="39"/>
  <c r="H53" i="39"/>
  <c r="G54" i="39"/>
  <c r="H54" i="39"/>
  <c r="S20" i="6"/>
  <c r="M27" i="6"/>
  <c r="I19" i="6"/>
  <c r="S16" i="1"/>
  <c r="T6" i="1"/>
  <c r="L67" i="40"/>
  <c r="M65" i="40"/>
  <c r="I53" i="39"/>
  <c r="J53" i="39"/>
  <c r="I54" i="39"/>
  <c r="J54" i="39"/>
  <c r="M21" i="15"/>
  <c r="E7" i="67"/>
  <c r="F62" i="15"/>
  <c r="C61" i="15"/>
  <c r="J20" i="15"/>
  <c r="E3" i="67"/>
  <c r="T7" i="1"/>
  <c r="W33" i="21"/>
  <c r="I48" i="21"/>
  <c r="N65" i="40"/>
  <c r="N67" i="40"/>
  <c r="M67" i="40"/>
  <c r="H19" i="6"/>
  <c r="S19" i="6"/>
  <c r="S27" i="6"/>
  <c r="I27" i="6"/>
  <c r="B2" i="46"/>
  <c r="U33" i="21"/>
  <c r="G48" i="21"/>
  <c r="I6" i="6"/>
  <c r="I5" i="6"/>
  <c r="C19" i="43"/>
  <c r="C25" i="43"/>
  <c r="C24" i="43"/>
  <c r="C22" i="43"/>
  <c r="C21" i="43"/>
  <c r="C28" i="43"/>
  <c r="C30" i="43"/>
  <c r="C32" i="43"/>
  <c r="B2" i="43"/>
  <c r="E54" i="39"/>
  <c r="F54" i="39"/>
  <c r="E53" i="39"/>
  <c r="F53" i="39"/>
  <c r="J9" i="40"/>
  <c r="T10" i="1"/>
  <c r="T8" i="1"/>
  <c r="T9" i="1"/>
  <c r="T12" i="1"/>
  <c r="T13" i="1"/>
  <c r="T11" i="1"/>
  <c r="S33" i="21"/>
  <c r="C49" i="39"/>
  <c r="C16" i="44"/>
  <c r="B7" i="67"/>
  <c r="C17" i="44"/>
  <c r="C20" i="44"/>
  <c r="C21" i="44"/>
  <c r="B2" i="67"/>
  <c r="E48" i="21"/>
  <c r="I53" i="21"/>
  <c r="J53" i="21"/>
  <c r="B5" i="43"/>
  <c r="B3" i="43"/>
  <c r="B4" i="43"/>
  <c r="G52" i="21"/>
  <c r="H52" i="21"/>
  <c r="G53" i="21"/>
  <c r="H53" i="21"/>
  <c r="D4" i="46"/>
  <c r="B4" i="46"/>
  <c r="B3" i="46"/>
  <c r="I52" i="21"/>
  <c r="J52" i="21"/>
  <c r="AC9" i="40"/>
  <c r="V44" i="40"/>
  <c r="I44" i="40"/>
  <c r="W9" i="40"/>
  <c r="H27" i="6"/>
  <c r="R19" i="6"/>
  <c r="F9" i="40"/>
  <c r="H9" i="40"/>
  <c r="T16" i="1"/>
  <c r="AA9" i="40"/>
  <c r="R44" i="40"/>
  <c r="S9" i="40"/>
  <c r="I48" i="40"/>
  <c r="J48" i="40"/>
  <c r="C48" i="21"/>
  <c r="B4" i="67"/>
  <c r="B3" i="67"/>
  <c r="AB9" i="40"/>
  <c r="T44" i="40"/>
  <c r="G44" i="40"/>
  <c r="U9" i="40"/>
  <c r="R6" i="1"/>
  <c r="R16" i="1"/>
  <c r="R27" i="6"/>
  <c r="E52" i="21"/>
  <c r="F52" i="21"/>
  <c r="E53" i="21"/>
  <c r="F53" i="21"/>
  <c r="C22" i="44"/>
  <c r="C28" i="44"/>
  <c r="L44" i="9"/>
  <c r="G48" i="40"/>
  <c r="H48" i="40"/>
  <c r="G49" i="40"/>
  <c r="H49" i="40"/>
  <c r="C8" i="12"/>
  <c r="C25" i="44"/>
  <c r="C31" i="44"/>
  <c r="B3" i="39"/>
  <c r="B4" i="39"/>
  <c r="B5" i="39"/>
  <c r="R45" i="40"/>
  <c r="E44" i="40"/>
  <c r="B3" i="12"/>
  <c r="D20" i="9"/>
  <c r="B4" i="12"/>
  <c r="D21" i="9"/>
  <c r="C45" i="40"/>
  <c r="C44" i="40"/>
  <c r="J19" i="15"/>
  <c r="J17" i="15"/>
  <c r="C56" i="15"/>
  <c r="J14" i="15"/>
  <c r="Q50" i="15"/>
  <c r="E48" i="40"/>
  <c r="F48" i="40"/>
  <c r="E49" i="40"/>
  <c r="F49" i="40"/>
  <c r="I49" i="40"/>
  <c r="J49" i="40"/>
  <c r="J21" i="44"/>
  <c r="J19" i="44"/>
  <c r="J16" i="44"/>
  <c r="C15" i="44"/>
  <c r="C35" i="44"/>
  <c r="C33" i="44"/>
  <c r="Q51" i="44"/>
  <c r="C38" i="44"/>
  <c r="C55" i="15"/>
  <c r="C64" i="15"/>
  <c r="J35" i="15"/>
  <c r="Q71" i="15"/>
  <c r="B61" i="40"/>
  <c r="F61" i="40"/>
  <c r="B54" i="40"/>
  <c r="F54" i="40"/>
  <c r="B53" i="40"/>
  <c r="F53" i="40"/>
  <c r="B56" i="40"/>
  <c r="F56" i="40"/>
  <c r="B55" i="40"/>
  <c r="F55" i="40"/>
  <c r="B57" i="40"/>
  <c r="F57" i="40"/>
  <c r="B60" i="40"/>
  <c r="F60" i="40"/>
  <c r="B59" i="40"/>
  <c r="F59" i="40"/>
  <c r="B62" i="40"/>
  <c r="F62" i="40"/>
  <c r="F63" i="40"/>
  <c r="B2" i="40"/>
  <c r="B58" i="40"/>
  <c r="F58" i="40"/>
  <c r="J15" i="44"/>
  <c r="J25" i="44"/>
  <c r="J24" i="44"/>
  <c r="J13" i="15"/>
  <c r="J23" i="15"/>
  <c r="J22" i="15"/>
  <c r="C63" i="15"/>
  <c r="C60" i="15"/>
  <c r="C58" i="15"/>
  <c r="C39" i="44"/>
  <c r="C32" i="44"/>
  <c r="C42" i="44"/>
  <c r="Q72" i="44"/>
  <c r="C43" i="44"/>
  <c r="J16" i="15"/>
  <c r="J25" i="15"/>
  <c r="J18" i="44"/>
  <c r="J27" i="44"/>
  <c r="C44" i="44"/>
  <c r="C45" i="44"/>
  <c r="B2" i="44"/>
  <c r="Q71" i="44"/>
  <c r="Q70" i="44"/>
  <c r="C57" i="15"/>
  <c r="C66" i="15"/>
  <c r="C67" i="15"/>
  <c r="B3" i="40"/>
  <c r="B5" i="40"/>
  <c r="B4" i="40"/>
  <c r="Q70" i="15"/>
  <c r="Q69" i="15"/>
  <c r="J39" i="15"/>
  <c r="J40" i="15"/>
  <c r="L51" i="15"/>
  <c r="Q68" i="15"/>
  <c r="Q48" i="15"/>
  <c r="Q54" i="15"/>
  <c r="C43" i="15"/>
  <c r="Q57" i="15"/>
  <c r="Q63" i="15"/>
  <c r="Q66" i="15"/>
  <c r="Q76" i="15"/>
  <c r="J42" i="15"/>
  <c r="J43" i="15"/>
  <c r="C70" i="15"/>
  <c r="C46" i="15"/>
  <c r="B4" i="44"/>
  <c r="B5" i="44"/>
  <c r="B3" i="44"/>
  <c r="B3" i="15"/>
  <c r="D8" i="12"/>
  <c r="C24" i="9"/>
  <c r="I14" i="66"/>
  <c r="B8" i="66"/>
  <c r="C8" i="66"/>
  <c r="D8" i="66"/>
  <c r="K33" i="9"/>
  <c r="K34" i="9"/>
  <c r="R8" i="54"/>
  <c r="B54" i="63"/>
  <c r="E46" i="9"/>
  <c r="F46" i="9"/>
  <c r="D46" i="9"/>
  <c r="O80" i="9"/>
  <c r="O81" i="9"/>
  <c r="C90" i="9"/>
  <c r="C96" i="9"/>
  <c r="C91" i="9"/>
  <c r="C97" i="9"/>
  <c r="C98" i="9"/>
  <c r="C99" i="9"/>
  <c r="Q77" i="9"/>
  <c r="O78" i="9"/>
  <c r="C34" i="9"/>
  <c r="M38" i="9"/>
  <c r="R24" i="31"/>
  <c r="S24" i="31"/>
  <c r="R25" i="31"/>
  <c r="S25" i="31"/>
  <c r="R26" i="31"/>
  <c r="S26" i="31"/>
  <c r="R27" i="31"/>
  <c r="S27" i="31"/>
  <c r="R28" i="31"/>
  <c r="S28" i="31"/>
  <c r="R29" i="31"/>
  <c r="S29" i="31"/>
  <c r="S22" i="31"/>
  <c r="B20" i="31"/>
  <c r="E98" i="9"/>
  <c r="E99" i="9"/>
  <c r="M83" i="9"/>
  <c r="N83" i="9"/>
  <c r="M84" i="9"/>
  <c r="N84" i="9"/>
  <c r="M85" i="9"/>
  <c r="N85" i="9"/>
  <c r="M86" i="9"/>
  <c r="N86" i="9"/>
  <c r="M87" i="9"/>
  <c r="N87" i="9"/>
  <c r="M88" i="9"/>
  <c r="N88" i="9"/>
  <c r="N89" i="9"/>
  <c r="O89" i="9"/>
  <c r="R22" i="31"/>
  <c r="B21" i="31"/>
  <c r="K29" i="9"/>
  <c r="K30" i="9"/>
  <c r="R6" i="54"/>
  <c r="B50" i="63"/>
  <c r="E114" i="9"/>
  <c r="E115" i="9"/>
  <c r="D14" i="66"/>
  <c r="B5" i="66"/>
  <c r="C5" i="66"/>
  <c r="D5" i="66"/>
  <c r="G14" i="66"/>
  <c r="B6" i="66"/>
  <c r="C6" i="66"/>
  <c r="D6" i="66"/>
  <c r="F14" i="66"/>
  <c r="E14" i="66"/>
  <c r="C82" i="9"/>
  <c r="C81" i="9"/>
  <c r="C85" i="9"/>
  <c r="C86" i="9"/>
  <c r="D72" i="9"/>
  <c r="D70" i="9"/>
  <c r="V30" i="31"/>
  <c r="T24" i="31"/>
  <c r="V24" i="31"/>
  <c r="T25" i="31"/>
  <c r="V25" i="31"/>
  <c r="T26" i="31"/>
  <c r="V26" i="31"/>
  <c r="T27" i="31"/>
  <c r="V27" i="31"/>
  <c r="T28" i="31"/>
  <c r="V28" i="31"/>
  <c r="V29" i="31"/>
  <c r="T29" i="31"/>
  <c r="D44" i="9"/>
  <c r="E44" i="9"/>
  <c r="F44" i="9"/>
  <c r="K27" i="9"/>
  <c r="C33" i="9"/>
  <c r="N38" i="9"/>
  <c r="K28" i="9"/>
  <c r="D42" i="9"/>
  <c r="Q5" i="54"/>
  <c r="B47" i="63"/>
  <c r="R5" i="54"/>
  <c r="B48" i="63"/>
  <c r="N68" i="9"/>
  <c r="E42" i="9"/>
  <c r="P5" i="54"/>
  <c r="B46" i="63"/>
  <c r="O38" i="9"/>
  <c r="K25" i="9"/>
  <c r="K26" i="9"/>
  <c r="C35" i="9"/>
  <c r="F42" i="9"/>
  <c r="G22" i="9"/>
  <c r="N43" i="9"/>
  <c r="C20" i="9"/>
  <c r="G20" i="9"/>
  <c r="C21" i="9"/>
  <c r="G21" i="9"/>
  <c r="B5" i="12"/>
  <c r="L43" i="9"/>
  <c r="D22" i="9"/>
  <c r="C11" i="11"/>
  <c r="C10" i="11"/>
  <c r="C17" i="11"/>
  <c r="C18" i="11"/>
  <c r="C19" i="11"/>
  <c r="C20" i="11"/>
  <c r="C21" i="11"/>
  <c r="C22" i="11"/>
  <c r="C23" i="11"/>
  <c r="B2" i="11"/>
  <c r="B5" i="11"/>
  <c r="B3" i="11"/>
  <c r="B4" i="11"/>
  <c r="C25" i="9"/>
  <c r="Q4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<sst xmlns="http://schemas.openxmlformats.org/spreadsheetml/2006/main" count="8320" uniqueCount="3552">
  <si>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</si>
  <si>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</si>
  <si>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</si>
  <si>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</si>
  <si>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</si>
  <si>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</si>
  <si>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</si>
  <si>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</si>
  <si>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</si>
  <si>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</si>
  <si>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</si>
  <si>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</si>
  <si>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</si>
  <si>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</si>
  <si>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</si>
  <si>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</si>
  <si>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</si>
  <si>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</si>
  <si>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</si>
  <si>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</si>
  <si>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</si>
  <si>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</si>
  <si>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</si>
  <si>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</si>
  <si>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</si>
  <si>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</si>
  <si>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</si>
  <si>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</si>
  <si>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</si>
  <si>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</si>
  <si>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</si>
  <si>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</si>
  <si>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</si>
  <si>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</si>
  <si>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</si>
  <si>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</si>
  <si>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</si>
  <si>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</si>
  <si>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</si>
  <si>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</si>
  <si>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</si>
  <si>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</si>
  <si>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</si>
  <si>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</si>
  <si>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</si>
  <si>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</si>
  <si>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</si>
  <si>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</si>
  <si>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</si>
  <si>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</si>
  <si>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</si>
  <si>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</si>
  <si>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</si>
  <si>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</si>
  <si>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</si>
  <si>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</si>
  <si>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</si>
  <si>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</si>
  <si>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</si>
  <si>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</si>
  <si>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</si>
  <si>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</si>
  <si>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</si>
  <si>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</si>
  <si>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</si>
  <si>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</si>
  <si>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</si>
  <si>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</si>
  <si>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</si>
  <si>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</si>
  <si>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</si>
  <si>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</si>
  <si>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</si>
  <si>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</si>
  <si>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</si>
  <si>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</si>
  <si>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</si>
  <si>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</si>
  <si>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</si>
  <si>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</si>
  <si>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</si>
  <si>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</si>
  <si>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</si>
  <si>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</si>
  <si>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</si>
  <si>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</si>
  <si>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</si>
  <si>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</si>
  <si>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</si>
  <si>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</si>
  <si>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</si>
  <si>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</si>
  <si>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</si>
  <si>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</si>
  <si>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</si>
  <si>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</si>
  <si>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</si>
  <si>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</si>
  <si>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</si>
  <si>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</si>
  <si>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</si>
  <si>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</si>
  <si>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</si>
  <si>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</si>
  <si>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</si>
  <si>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</si>
  <si>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</si>
  <si>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</si>
  <si>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</si>
  <si>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</si>
  <si>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</si>
  <si>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</si>
  <si>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</si>
  <si>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</si>
  <si>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</si>
  <si>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</si>
  <si>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</si>
  <si>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</si>
  <si>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</si>
  <si>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</si>
  <si>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</si>
  <si>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</si>
  <si>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</si>
  <si>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</si>
  <si>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</si>
  <si>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</si>
  <si>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</si>
  <si>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</si>
  <si>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</si>
  <si>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</si>
  <si>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</si>
  <si>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</si>
  <si>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</si>
  <si>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</si>
  <si>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</si>
  <si>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</si>
  <si>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</si>
  <si>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</si>
  <si>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</si>
  <si>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</si>
  <si>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</si>
  <si>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</si>
  <si>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</si>
  <si>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</si>
  <si>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</si>
  <si>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</si>
  <si>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</si>
  <si>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</si>
  <si>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</si>
  <si>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</si>
  <si>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</si>
  <si>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</si>
  <si>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</si>
  <si>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</si>
  <si>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</si>
  <si>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</si>
  <si>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</si>
  <si>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</si>
  <si>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</si>
  <si>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</si>
  <si>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</si>
  <si>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</si>
  <si>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</si>
  <si>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</si>
  <si>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</si>
  <si>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</si>
  <si>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</si>
  <si>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</si>
  <si>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</si>
  <si>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</si>
  <si>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</si>
  <si>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</si>
  <si>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</si>
  <si>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</si>
  <si>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</si>
  <si>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</si>
  <si>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</si>
  <si>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</si>
  <si>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</si>
  <si>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</si>
  <si>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</si>
  <si>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</si>
  <si>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</si>
  <si>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</si>
  <si>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</si>
  <si>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</si>
  <si>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</si>
  <si>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</si>
  <si>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</si>
  <si>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</si>
  <si>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</si>
  <si>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</si>
  <si>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</si>
  <si>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</si>
  <si>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</si>
  <si>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</si>
  <si>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</si>
  <si>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</si>
  <si>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</si>
  <si>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</si>
  <si>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</si>
  <si>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</si>
  <si>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</si>
  <si>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</si>
  <si>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</si>
  <si>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</si>
  <si>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</si>
  <si>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</si>
  <si>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</si>
  <si>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</si>
  <si>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</si>
  <si>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</si>
  <si>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</si>
  <si>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</si>
  <si>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</si>
  <si>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</si>
  <si>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</si>
  <si>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</si>
  <si>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</si>
  <si>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</si>
  <si>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</si>
  <si>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</si>
  <si>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</si>
  <si>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</si>
  <si>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</si>
  <si>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</si>
  <si>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</si>
  <si>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</si>
  <si>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</si>
  <si>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</si>
  <si>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</si>
  <si>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</si>
  <si>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</si>
  <si>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</si>
  <si>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</si>
  <si>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</si>
  <si>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</si>
  <si>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</si>
  <si>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</si>
  <si>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</si>
  <si>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</si>
  <si>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</si>
  <si>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</si>
  <si>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</si>
  <si>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</si>
  <si>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</si>
  <si>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</si>
  <si>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</si>
  <si>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</si>
  <si>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</si>
  <si>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</si>
  <si>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</si>
  <si>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</si>
  <si>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</si>
  <si>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</si>
  <si>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</si>
  <si>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</si>
  <si>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</si>
  <si>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</si>
  <si>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</si>
  <si>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</si>
  <si>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</si>
  <si>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</si>
  <si>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</si>
  <si>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</si>
  <si>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</si>
  <si>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</si>
  <si>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</si>
  <si>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</si>
  <si>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</si>
  <si>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</si>
  <si>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</si>
  <si>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</si>
  <si>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</si>
  <si>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</si>
  <si>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</si>
  <si>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</si>
  <si>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</si>
  <si>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</si>
  <si>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</si>
  <si>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</si>
  <si>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</si>
  <si>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</si>
  <si>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</si>
  <si>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</si>
  <si>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</si>
  <si>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</si>
  <si>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</si>
  <si>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</si>
  <si>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</si>
  <si>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</si>
  <si>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</si>
  <si>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</si>
  <si>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</si>
  <si>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</si>
  <si>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</si>
  <si>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</si>
  <si>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</si>
  <si>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</si>
  <si>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</si>
  <si>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</si>
  <si>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</si>
  <si>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</si>
  <si>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</si>
  <si>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</si>
  <si>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</si>
  <si>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</si>
  <si>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</si>
  <si>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</si>
  <si>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</si>
  <si>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</si>
  <si>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</si>
  <si>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</si>
  <si>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</si>
  <si>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</si>
  <si>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</si>
  <si>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</si>
  <si>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</si>
  <si>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</si>
  <si>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</si>
  <si>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</si>
  <si>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</si>
  <si>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</si>
  <si>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</si>
  <si>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</si>
  <si>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</si>
  <si>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</si>
  <si>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</si>
  <si>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</si>
  <si>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</si>
  <si>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</si>
  <si>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</si>
  <si>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</si>
  <si>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</si>
  <si>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</si>
  <si>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</si>
  <si>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</si>
  <si>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</si>
  <si>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</si>
  <si>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</si>
  <si>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</si>
  <si>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</si>
  <si>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</si>
  <si>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</si>
  <si>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</si>
  <si>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</si>
  <si>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</si>
  <si>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</si>
  <si>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</si>
  <si>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</si>
  <si>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</si>
  <si>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</si>
  <si>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</si>
  <si>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</si>
  <si>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</si>
  <si>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</si>
  <si>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</si>
  <si>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</si>
  <si>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</si>
  <si>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</si>
  <si>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</si>
  <si>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</si>
  <si>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</si>
  <si>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</si>
  <si>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</si>
  <si>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</si>
  <si>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</si>
  <si>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</si>
  <si>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</si>
  <si>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</si>
  <si>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</si>
  <si>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</si>
  <si>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</si>
  <si>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</si>
  <si>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</si>
  <si>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</si>
  <si>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</si>
  <si>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</si>
  <si>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</si>
  <si>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</si>
  <si>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</si>
  <si>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</si>
  <si>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</si>
  <si>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</si>
  <si>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</si>
  <si>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</si>
  <si>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</si>
  <si>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</si>
  <si>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</si>
  <si>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</si>
  <si>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</si>
  <si>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</si>
  <si>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</si>
  <si>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</si>
  <si>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</si>
  <si>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</si>
  <si>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</si>
  <si>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</si>
  <si>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</si>
  <si>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</si>
  <si>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</si>
  <si>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</si>
  <si>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</si>
  <si>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</si>
  <si>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</si>
  <si>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</si>
  <si>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</si>
  <si>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</si>
  <si>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</si>
  <si>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</si>
  <si>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</si>
  <si>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</si>
  <si>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</si>
  <si>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</si>
  <si>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</si>
  <si>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</si>
  <si>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</si>
  <si>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</si>
  <si>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</si>
  <si>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</si>
  <si>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</si>
  <si>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</si>
  <si>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</si>
  <si>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</si>
  <si>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</si>
  <si>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</si>
  <si>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</si>
  <si>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</si>
  <si>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</si>
  <si>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</si>
  <si>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</si>
  <si>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</si>
  <si>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</si>
  <si>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</si>
  <si>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</si>
  <si>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</si>
  <si>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</si>
  <si>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</si>
  <si>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</si>
  <si>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</si>
  <si>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</si>
  <si>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</si>
  <si>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</si>
  <si>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</si>
  <si>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</si>
  <si>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</si>
  <si>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</si>
  <si>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</si>
  <si>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</si>
  <si>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</si>
  <si>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</si>
  <si>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</si>
  <si>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</si>
  <si>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</si>
  <si>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</si>
  <si>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</si>
  <si>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</si>
  <si>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</si>
  <si>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</si>
  <si>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</si>
  <si>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</si>
  <si>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</si>
  <si>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</si>
  <si>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</si>
  <si>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</si>
  <si>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</si>
  <si>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</si>
  <si>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</si>
  <si>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</si>
  <si>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</si>
  <si>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</si>
  <si>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</si>
  <si>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</si>
  <si>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</si>
  <si>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</si>
  <si>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</si>
  <si>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</si>
  <si>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</si>
  <si>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</si>
  <si>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</si>
  <si>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</si>
  <si>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</si>
  <si>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</si>
  <si>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</si>
  <si>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</si>
  <si>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</si>
  <si>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</si>
  <si>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</si>
  <si>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</si>
  <si>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</si>
  <si>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</si>
  <si>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</si>
  <si>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</si>
  <si>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</si>
  <si>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</si>
  <si>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</si>
  <si>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</si>
  <si>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</si>
  <si>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</si>
  <si>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</si>
  <si>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</si>
  <si>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</si>
  <si>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</si>
  <si>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</si>
  <si>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</si>
  <si>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</si>
  <si>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</si>
  <si>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</si>
  <si>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</si>
  <si>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</si>
  <si>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</si>
  <si>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</si>
  <si>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</si>
  <si>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</si>
  <si>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</si>
  <si>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</si>
  <si>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</si>
  <si>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</si>
  <si>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</si>
  <si>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</si>
  <si>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</si>
  <si>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</si>
  <si>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</si>
  <si>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</si>
  <si>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</si>
  <si>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</si>
  <si>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</si>
  <si>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</si>
  <si>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</si>
  <si>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</si>
  <si>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</si>
  <si>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</si>
  <si>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</si>
  <si>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</si>
  <si>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</si>
  <si>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</si>
  <si>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</si>
  <si>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</si>
  <si>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</si>
  <si>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</si>
  <si>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</si>
  <si>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</si>
  <si>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</si>
  <si>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</si>
  <si>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</si>
  <si>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</si>
  <si>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</si>
  <si>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</si>
  <si>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</si>
  <si>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</si>
  <si>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</si>
  <si>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</si>
  <si>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</si>
  <si>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</si>
  <si>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</si>
  <si>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</si>
  <si>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</si>
  <si>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</si>
  <si>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</si>
  <si>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</si>
  <si>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</si>
  <si>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</si>
  <si>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</si>
  <si>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</si>
  <si>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</si>
  <si>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</si>
  <si>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</si>
  <si>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</si>
  <si>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</si>
  <si>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</si>
  <si>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</si>
  <si>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</si>
  <si>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</si>
  <si>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</si>
  <si>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</si>
  <si>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</si>
  <si>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</si>
  <si>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</si>
  <si>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</si>
  <si>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</si>
  <si>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</si>
  <si>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</si>
  <si>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</si>
  <si>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</si>
  <si>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</si>
  <si>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</si>
  <si>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</si>
  <si>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</si>
  <si>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</si>
  <si>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</si>
  <si>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</si>
  <si>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</si>
  <si>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</si>
  <si>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</si>
  <si>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</si>
  <si>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</si>
  <si>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</si>
  <si>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</si>
  <si>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</si>
  <si>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</si>
  <si>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</si>
  <si>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</si>
  <si>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</si>
  <si>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</si>
  <si>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</si>
  <si>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</si>
  <si>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</si>
  <si>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</si>
  <si>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</si>
  <si>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</si>
  <si>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</si>
  <si>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</si>
  <si>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</si>
  <si>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</si>
  <si>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</si>
  <si>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</si>
  <si>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</si>
  <si>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</si>
  <si>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</si>
  <si>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</si>
  <si>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</si>
  <si>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</si>
  <si>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</si>
  <si>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</si>
  <si>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</si>
  <si>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</si>
  <si>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</si>
  <si>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</si>
  <si>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</si>
  <si>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</si>
  <si>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</si>
  <si>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</si>
  <si>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</si>
  <si>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</si>
  <si>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</si>
  <si>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</si>
  <si>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</si>
  <si>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</si>
  <si>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</si>
  <si>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</si>
  <si>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</si>
  <si>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</si>
  <si>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</si>
  <si>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</si>
  <si>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</si>
  <si>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</si>
  <si>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</si>
  <si>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</si>
  <si>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</si>
  <si>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</si>
  <si>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</si>
  <si>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</si>
  <si>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</si>
  <si>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</si>
  <si>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</si>
  <si>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</si>
  <si>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</si>
  <si>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</si>
  <si>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</si>
  <si>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</si>
  <si>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</si>
  <si>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</si>
  <si>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</si>
  <si>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</si>
  <si>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</si>
  <si>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</si>
  <si>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</si>
  <si>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</si>
  <si>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</si>
  <si>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</si>
  <si>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</si>
  <si>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</si>
  <si>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</si>
  <si>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</si>
  <si>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</si>
  <si>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</si>
  <si>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</si>
  <si>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</si>
  <si>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</si>
  <si>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</si>
  <si>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</si>
  <si>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</si>
  <si>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</si>
  <si>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</si>
  <si>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</si>
  <si>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</si>
  <si>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</si>
  <si>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</si>
  <si>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</si>
  <si>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</si>
  <si>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</si>
  <si>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</si>
  <si>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</si>
  <si>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</si>
  <si>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</si>
  <si>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</si>
  <si>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</si>
  <si>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</si>
  <si>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</si>
  <si>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</si>
  <si>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</si>
  <si>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</si>
  <si>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</si>
  <si>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</si>
  <si>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</si>
  <si>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</si>
  <si>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</si>
  <si>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</si>
  <si>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</si>
  <si>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</si>
  <si>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</si>
  <si>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</si>
  <si>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</si>
  <si>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</si>
  <si>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</si>
  <si>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</si>
  <si>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</si>
  <si>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</si>
  <si>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</si>
  <si>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</si>
  <si>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</si>
  <si>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</si>
  <si>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</si>
  <si>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</si>
  <si>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</si>
  <si>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</si>
  <si>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</si>
  <si>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</si>
  <si>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</si>
  <si>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</si>
  <si>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</si>
  <si>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</si>
  <si>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</si>
  <si>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</si>
  <si>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</si>
  <si>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</si>
  <si>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</si>
  <si>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</si>
  <si>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</si>
  <si>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</si>
  <si>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</si>
  <si>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</si>
  <si>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</si>
  <si>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</si>
  <si>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</si>
  <si>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</si>
  <si>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</si>
  <si>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</si>
  <si>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</si>
  <si>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</si>
  <si>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</si>
  <si>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</si>
  <si>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</si>
  <si>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</si>
  <si>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</si>
  <si>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</si>
  <si>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</si>
  <si>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</si>
  <si>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</si>
  <si>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</si>
  <si>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</si>
  <si>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</si>
  <si>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</si>
  <si>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</si>
  <si>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</si>
  <si>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</si>
  <si>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</si>
  <si>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</si>
  <si>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</si>
  <si>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</si>
  <si>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</si>
  <si>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</si>
  <si>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</si>
  <si>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</si>
  <si>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</si>
  <si>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</si>
  <si>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</si>
  <si>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</si>
  <si>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</si>
  <si>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</si>
  <si>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</si>
  <si>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</si>
  <si>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</si>
  <si>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</si>
  <si>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</si>
  <si>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</si>
  <si>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</si>
  <si>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</si>
  <si>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</si>
  <si>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</si>
  <si>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</si>
  <si>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</si>
  <si>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</si>
  <si>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</si>
  <si>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</si>
  <si>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</si>
  <si>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</si>
  <si>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</si>
  <si>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</si>
  <si>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</si>
  <si>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</si>
  <si>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</si>
  <si>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</si>
  <si>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</si>
  <si>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</si>
  <si>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</si>
  <si>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</si>
  <si>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</si>
  <si>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</si>
  <si>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</si>
  <si>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</si>
  <si>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</si>
  <si>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</si>
  <si>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</si>
  <si>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</si>
  <si>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</si>
  <si>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</si>
  <si>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</si>
  <si>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</si>
  <si>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</si>
  <si>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</si>
  <si>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</si>
  <si>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</si>
  <si>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</si>
  <si>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</si>
  <si>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</si>
  <si>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</si>
  <si>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</si>
  <si>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</si>
  <si>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</si>
  <si>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</si>
  <si>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</si>
  <si>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</si>
  <si>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</si>
  <si>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</si>
  <si>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</si>
  <si>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</si>
  <si>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</si>
  <si>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</si>
  <si>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</si>
  <si>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</si>
  <si>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</si>
  <si>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</si>
  <si>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</si>
  <si>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</si>
  <si>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</si>
  <si>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</si>
  <si>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</si>
  <si>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</si>
  <si>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</si>
  <si>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</si>
  <si>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</si>
  <si>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</si>
  <si>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</si>
  <si>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</si>
  <si>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</si>
  <si>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</si>
  <si>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</si>
  <si>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</si>
  <si>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</si>
  <si>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</si>
  <si>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</si>
  <si>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</si>
  <si>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</si>
  <si>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</si>
  <si>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</si>
  <si>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</si>
  <si>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</si>
  <si>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</si>
  <si>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</si>
  <si>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</si>
  <si>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</si>
  <si>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</si>
  <si>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</si>
  <si>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</si>
  <si>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</si>
  <si>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</si>
  <si>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</si>
  <si>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</si>
  <si>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</si>
  <si>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</si>
  <si>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</si>
  <si>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</si>
  <si>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</si>
  <si>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</si>
  <si>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</si>
  <si>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</si>
  <si>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</si>
  <si>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</si>
  <si>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</si>
  <si>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</si>
  <si>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</si>
  <si>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</si>
  <si>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</si>
  <si>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</si>
  <si>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</si>
  <si>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</si>
  <si>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</si>
  <si>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</si>
  <si>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</si>
  <si>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</si>
  <si>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</si>
  <si>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</si>
  <si>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</si>
  <si>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</si>
  <si>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</si>
  <si>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</si>
  <si>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</si>
  <si>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</si>
  <si>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</si>
  <si>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</si>
  <si>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</si>
  <si>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</si>
  <si>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</si>
  <si>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</si>
  <si>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</si>
  <si>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</si>
  <si>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</si>
  <si>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</si>
  <si>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</si>
  <si>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</si>
  <si>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</si>
  <si>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</si>
  <si>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</si>
  <si>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</si>
  <si>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</si>
  <si>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</si>
  <si>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</si>
  <si>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</si>
  <si>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</si>
  <si>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</si>
  <si>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</si>
  <si>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</si>
  <si>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</si>
  <si>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</si>
  <si>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</si>
  <si>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</si>
  <si>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</si>
  <si>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</si>
  <si>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</si>
  <si>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</si>
  <si>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</si>
  <si>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</si>
  <si>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</si>
  <si>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</si>
  <si>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</si>
  <si>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</si>
  <si>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</si>
  <si>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</si>
  <si>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</si>
  <si>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</si>
  <si>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</si>
  <si>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</si>
  <si>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</si>
  <si>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</si>
  <si>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</si>
  <si>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</si>
  <si>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</si>
  <si>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</si>
  <si>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</si>
  <si>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</si>
  <si>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</si>
  <si>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</si>
  <si>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</si>
  <si>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</si>
  <si>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</si>
  <si>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</si>
  <si>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</si>
  <si>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</si>
  <si>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</si>
  <si>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</si>
  <si>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</si>
  <si>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</si>
  <si>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</si>
  <si>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</si>
  <si>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</si>
  <si>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</si>
  <si>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</si>
  <si>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</si>
  <si>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</si>
  <si>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</si>
  <si>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</si>
  <si>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</si>
  <si>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</si>
  <si>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</si>
  <si>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</si>
  <si>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</si>
  <si>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</si>
  <si>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</si>
  <si>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</si>
  <si>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</si>
  <si>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</si>
  <si>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</si>
  <si>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</si>
  <si>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</si>
  <si>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</si>
  <si>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</si>
  <si>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</si>
  <si>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</si>
  <si>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</si>
  <si>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</si>
  <si>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</si>
  <si>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</si>
  <si>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</si>
  <si>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</si>
  <si>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</si>
  <si>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</si>
  <si>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</si>
  <si>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</si>
  <si>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</si>
  <si>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</si>
  <si>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</si>
  <si>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</si>
  <si>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</si>
  <si>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</si>
  <si>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</si>
  <si>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</si>
  <si>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</si>
  <si>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</si>
  <si>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</si>
  <si>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</si>
  <si>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</si>
  <si>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</si>
  <si>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</si>
  <si>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</si>
  <si>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</si>
  <si>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</si>
  <si>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</si>
  <si>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</si>
  <si>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</si>
  <si>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</si>
  <si>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</si>
  <si>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</si>
  <si>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</si>
  <si>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</si>
  <si>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</si>
  <si>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</si>
  <si>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</si>
  <si>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</si>
  <si>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</si>
  <si>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</si>
  <si>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</si>
  <si>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</si>
  <si>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</si>
  <si>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</si>
  <si>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</si>
  <si>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</si>
  <si>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</si>
  <si>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</si>
  <si>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</si>
  <si>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</si>
  <si>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</si>
  <si>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</si>
  <si>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</si>
  <si>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</si>
  <si>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</si>
  <si>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</si>
  <si>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</si>
  <si>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</si>
  <si>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</si>
  <si>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</si>
  <si>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</si>
  <si>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</si>
  <si>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</si>
  <si>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</si>
  <si>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</si>
  <si>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</si>
  <si>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</si>
  <si>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</si>
  <si>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</si>
  <si>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</si>
  <si>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</si>
  <si>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</si>
  <si>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</si>
  <si>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</si>
  <si>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</si>
  <si>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</si>
  <si>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</si>
  <si>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</si>
  <si>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</si>
  <si>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</si>
  <si>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</si>
  <si>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</si>
  <si>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</si>
  <si>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</si>
  <si>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</si>
  <si>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</si>
  <si>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</si>
  <si>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</si>
  <si>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</si>
  <si>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</si>
  <si>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</si>
  <si>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</si>
  <si>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</si>
  <si>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</si>
  <si>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</si>
  <si>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</si>
  <si>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</si>
  <si>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</si>
  <si>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</si>
  <si>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</si>
  <si>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</si>
  <si>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</si>
  <si>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</si>
  <si>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</si>
  <si>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</si>
  <si>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</si>
  <si>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</si>
  <si>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</si>
  <si>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</si>
  <si>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</si>
  <si>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</si>
  <si>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</si>
  <si>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</si>
  <si>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</si>
  <si>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</si>
  <si>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</si>
  <si>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</si>
  <si>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</si>
  <si>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</si>
  <si>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</si>
  <si>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</si>
  <si>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</si>
  <si>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</si>
  <si>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</si>
  <si>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</si>
  <si>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</si>
  <si>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</si>
  <si>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</si>
  <si>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</si>
  <si>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</si>
  <si>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</si>
  <si>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</si>
  <si>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</si>
  <si>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</si>
  <si>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</si>
  <si>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</si>
  <si>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</si>
  <si>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</si>
  <si>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</si>
  <si>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</si>
  <si>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</si>
  <si>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</si>
  <si>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</si>
  <si>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</si>
  <si>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</si>
  <si>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</si>
  <si>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</si>
  <si>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</si>
  <si>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</si>
  <si>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</si>
  <si>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</si>
  <si>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</si>
  <si>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</si>
  <si>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</si>
  <si>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</si>
  <si>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</si>
  <si>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</si>
  <si>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</si>
  <si>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</si>
  <si>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</si>
  <si>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</si>
  <si>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</si>
  <si>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</si>
  <si>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</si>
  <si>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</si>
  <si>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</si>
  <si>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</si>
  <si>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</si>
  <si>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</si>
  <si>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</si>
  <si>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</si>
  <si>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</si>
  <si>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</si>
  <si>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</si>
  <si>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</si>
  <si>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</si>
  <si>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</si>
  <si>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</si>
  <si>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</si>
  <si>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</si>
  <si>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</si>
  <si>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</si>
  <si>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</si>
  <si>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</si>
  <si>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</si>
  <si>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</si>
  <si>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</si>
  <si>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</si>
  <si>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</si>
  <si>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</si>
  <si>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</si>
  <si>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</si>
  <si>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</si>
  <si>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</si>
  <si>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</si>
  <si>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</si>
  <si>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</si>
  <si>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</si>
  <si>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</si>
  <si>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</si>
  <si>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</si>
  <si>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</si>
  <si>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</si>
  <si>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</si>
  <si>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</si>
  <si>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</si>
  <si>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</si>
  <si>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</si>
  <si>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</si>
  <si>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</si>
  <si>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</si>
  <si>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</si>
  <si>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</si>
  <si>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</si>
  <si>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</si>
  <si>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</si>
  <si>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</si>
  <si>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</si>
  <si>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</si>
  <si>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</si>
  <si>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</si>
  <si>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</si>
  <si>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</si>
  <si>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</si>
  <si>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</si>
  <si>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</si>
  <si>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</si>
  <si>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</si>
  <si>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</si>
  <si>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</si>
  <si>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</si>
  <si>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</si>
  <si>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</si>
  <si>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</si>
  <si>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</si>
  <si>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</si>
  <si>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</si>
  <si>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</si>
  <si>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</si>
  <si>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</si>
  <si>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</si>
  <si>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</si>
  <si>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</si>
  <si>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</si>
  <si>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</si>
  <si>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</si>
  <si>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</si>
  <si>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</si>
  <si>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</si>
  <si>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</si>
  <si>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</si>
  <si>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</si>
  <si>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</si>
  <si>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</si>
  <si>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</si>
  <si>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</si>
  <si>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</si>
  <si>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</si>
  <si>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</si>
  <si>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</si>
  <si>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</si>
  <si>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</si>
  <si>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</si>
  <si>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</si>
  <si>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</si>
  <si>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</si>
  <si>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</si>
  <si>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</si>
  <si>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</si>
  <si>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</si>
  <si>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</si>
  <si>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</si>
  <si>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</si>
  <si>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</si>
  <si>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</si>
  <si>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</si>
  <si>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</si>
  <si>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</si>
  <si>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</si>
  <si>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</si>
  <si>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</si>
  <si>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</si>
  <si>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</si>
  <si>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</si>
  <si>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</si>
  <si>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</si>
  <si>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</si>
  <si>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</si>
  <si>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</si>
  <si>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</si>
  <si>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</si>
  <si>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</si>
  <si>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</si>
  <si>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</si>
  <si>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</si>
  <si>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</si>
  <si>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</si>
  <si>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</si>
  <si>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</si>
  <si>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</si>
  <si>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</si>
  <si>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</si>
  <si>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</si>
  <si>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</si>
  <si>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</si>
  <si>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</si>
  <si>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</si>
  <si>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</si>
  <si>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</si>
  <si>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</si>
  <si>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</si>
  <si>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</si>
  <si>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</si>
  <si>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</si>
  <si>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</si>
  <si>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</si>
  <si>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</si>
  <si>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</si>
  <si>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</si>
  <si>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</si>
  <si>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</si>
  <si>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</si>
  <si>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</si>
  <si>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</si>
  <si>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</si>
  <si>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</si>
  <si>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</si>
  <si>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</si>
  <si>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</si>
  <si>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</si>
  <si>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</si>
  <si>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</si>
  <si>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</si>
  <si>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</si>
  <si>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</si>
  <si>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</si>
  <si>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</si>
  <si>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</si>
  <si>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</si>
  <si>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</si>
  <si>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</si>
  <si>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</si>
  <si>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</si>
  <si>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</si>
  <si>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</si>
  <si>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</si>
  <si>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</si>
  <si>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</si>
  <si>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</si>
  <si>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</si>
  <si>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</si>
  <si>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</si>
  <si>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</si>
  <si>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</si>
  <si>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</si>
  <si>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</si>
  <si>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</si>
  <si>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</si>
  <si>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</si>
  <si>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</si>
  <si>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</si>
  <si>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</si>
  <si>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</si>
  <si>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</si>
  <si>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</si>
  <si>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</si>
  <si>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</si>
  <si>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</si>
  <si>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</si>
  <si>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</si>
  <si>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</si>
  <si>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</si>
  <si>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</si>
  <si>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</si>
  <si>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</si>
  <si>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</si>
  <si>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</si>
  <si>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</si>
  <si>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</si>
  <si>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</si>
  <si>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</si>
  <si>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</si>
  <si>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</si>
  <si>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</si>
  <si>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</si>
  <si>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</si>
  <si>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</si>
  <si>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</si>
  <si>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</si>
  <si>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</si>
  <si>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</si>
  <si>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</si>
  <si>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</si>
  <si>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</si>
  <si>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</si>
  <si>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</si>
  <si>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</si>
  <si>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</si>
  <si>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</si>
  <si>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</si>
  <si>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</si>
  <si>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</si>
  <si>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</si>
  <si>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</si>
  <si>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</si>
  <si>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</si>
  <si>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</si>
  <si>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</si>
  <si>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</si>
  <si>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</si>
  <si>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</si>
  <si>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</si>
  <si>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</si>
  <si>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</si>
  <si>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</si>
  <si>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</si>
  <si>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</si>
  <si>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</si>
  <si>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</si>
  <si>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</si>
  <si>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</si>
  <si>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</si>
  <si>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</si>
  <si>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</si>
  <si>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</si>
  <si>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</si>
  <si>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</si>
  <si>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</si>
  <si>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</si>
  <si>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</si>
  <si>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</si>
  <si>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</si>
  <si>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</si>
  <si>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</si>
  <si>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</si>
  <si>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</si>
  <si>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</si>
  <si>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</si>
  <si>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</si>
  <si>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</si>
  <si>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</si>
  <si>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</si>
  <si>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</si>
  <si>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</si>
  <si>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</si>
  <si>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</si>
  <si>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</si>
  <si>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</si>
  <si>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</si>
  <si>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</si>
  <si>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</si>
  <si>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</si>
  <si>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</si>
  <si>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</si>
  <si>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</si>
  <si>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</si>
  <si>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</si>
  <si>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</si>
  <si>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</si>
  <si>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</si>
  <si>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</si>
  <si>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</si>
  <si>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</si>
  <si>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</si>
  <si>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</si>
  <si>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</si>
  <si>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</si>
  <si>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</si>
  <si>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</si>
  <si>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</si>
  <si>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</si>
  <si>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</si>
  <si>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</si>
  <si>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</si>
  <si>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</si>
  <si>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</si>
  <si>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</si>
  <si>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</si>
  <si>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</si>
  <si>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</si>
  <si>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</si>
  <si>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</si>
  <si>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</si>
  <si>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</si>
  <si>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</si>
  <si>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</si>
  <si>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</si>
  <si>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</si>
  <si>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</si>
  <si>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</si>
  <si>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</si>
  <si>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</si>
  <si>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</si>
  <si>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</si>
  <si>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</si>
  <si>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</si>
  <si>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</si>
  <si>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</si>
  <si>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</si>
  <si>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</si>
  <si>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</si>
  <si>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</si>
  <si>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</si>
  <si>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</si>
  <si>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</si>
  <si>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</si>
  <si>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</si>
  <si>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</si>
  <si>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</si>
  <si>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</si>
  <si>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</si>
  <si>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</si>
  <si>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</si>
  <si>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</si>
  <si>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</si>
  <si>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</si>
  <si>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</si>
  <si>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</si>
  <si>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</si>
  <si>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</si>
  <si>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</si>
  <si>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</si>
  <si>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</si>
  <si>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</si>
  <si>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</si>
  <si>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</si>
  <si>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</si>
  <si>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</si>
  <si>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</si>
  <si>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</si>
  <si>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</si>
  <si>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</si>
  <si>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</si>
  <si>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</si>
  <si>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</si>
  <si>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</si>
  <si>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</si>
  <si>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</si>
  <si>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</si>
  <si>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</si>
  <si>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</si>
  <si>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</si>
  <si>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</si>
  <si>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</si>
  <si>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</si>
  <si>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</si>
  <si>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</si>
  <si>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</si>
  <si>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</si>
  <si>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</si>
  <si>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</si>
  <si>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</si>
  <si>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</si>
  <si>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</si>
  <si>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</si>
  <si>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</si>
  <si>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</si>
  <si>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</si>
  <si>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</si>
  <si>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</si>
  <si>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</si>
  <si>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</si>
  <si>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</si>
  <si>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</si>
  <si>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</si>
  <si>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</si>
  <si>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</si>
  <si>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</si>
  <si>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</si>
  <si>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</si>
  <si>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</si>
  <si>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</si>
  <si>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</si>
  <si>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</si>
  <si>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</si>
  <si>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</si>
  <si>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</si>
  <si>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</si>
  <si>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</si>
  <si>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</si>
  <si>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</si>
  <si>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</si>
  <si>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</si>
  <si>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</si>
  <si>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</si>
  <si>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</si>
  <si>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</si>
  <si>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</si>
  <si>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</si>
  <si>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</si>
  <si>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</si>
  <si>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</si>
  <si>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</si>
  <si>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</si>
  <si>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</si>
  <si>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</si>
  <si>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</si>
  <si>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</si>
  <si>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</si>
  <si>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</si>
  <si>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</si>
  <si>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</si>
  <si>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</si>
  <si>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</si>
  <si>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</si>
  <si>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</si>
  <si>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</si>
  <si>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</si>
  <si>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</si>
  <si>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</si>
  <si>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</si>
  <si>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</si>
  <si>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</si>
  <si>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</si>
  <si>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</si>
  <si>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</si>
  <si>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</si>
  <si>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</si>
  <si>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</si>
  <si>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</si>
  <si>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</si>
  <si>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</si>
  <si>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</si>
  <si>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</si>
  <si>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</si>
  <si>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</si>
  <si>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</si>
  <si>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</si>
  <si>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</si>
  <si>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</si>
  <si>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</si>
  <si>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</si>
  <si>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</si>
  <si>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</si>
  <si>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</si>
  <si>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</si>
  <si>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</si>
  <si>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</si>
  <si>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</si>
  <si>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</si>
  <si>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</si>
  <si>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</si>
  <si>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</si>
  <si>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</si>
  <si>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</si>
  <si>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</si>
  <si>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</si>
  <si>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</si>
  <si>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</si>
  <si>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</si>
  <si>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</si>
  <si>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</si>
  <si>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</si>
  <si>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</si>
  <si>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</si>
  <si>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</si>
  <si>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</si>
  <si>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</si>
  <si>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</si>
  <si>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</si>
  <si>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</si>
  <si>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</si>
  <si>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</si>
  <si>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</si>
  <si>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</si>
  <si>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</si>
  <si>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</si>
  <si>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</si>
  <si>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</si>
  <si>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</si>
  <si>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</si>
  <si>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</si>
  <si>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</si>
  <si>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</si>
  <si>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</si>
  <si>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</si>
  <si>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</si>
  <si>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</si>
  <si>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</si>
  <si>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</si>
  <si>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</si>
  <si>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</si>
  <si>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</si>
  <si>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</si>
  <si>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</si>
  <si>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</si>
  <si>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</si>
  <si>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</si>
  <si>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</si>
  <si>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</si>
  <si>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</si>
  <si>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</si>
  <si>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</si>
  <si>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</si>
  <si>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</si>
  <si>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</si>
  <si>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</si>
  <si>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</si>
  <si>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</si>
  <si>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</si>
  <si>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</si>
  <si>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</si>
  <si>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</si>
  <si>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</si>
  <si>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</si>
  <si>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</si>
  <si>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</si>
  <si>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</si>
  <si>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</si>
  <si>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</si>
  <si>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</si>
  <si>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</si>
  <si>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</si>
  <si>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</si>
  <si>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</si>
  <si>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</si>
  <si>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</si>
  <si>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</si>
  <si>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</si>
  <si>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</si>
  <si>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</si>
  <si>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</si>
  <si>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</si>
  <si>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</si>
  <si>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</si>
  <si>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</si>
  <si>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</si>
  <si>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</si>
  <si>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</si>
  <si>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</si>
  <si>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</si>
  <si>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</si>
  <si>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</si>
  <si>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</si>
  <si>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</si>
  <si>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</si>
  <si>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</si>
  <si>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</si>
  <si>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</si>
  <si>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</si>
  <si>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</si>
  <si>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</si>
  <si>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</si>
  <si>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</si>
  <si>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</si>
  <si>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</si>
  <si>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</si>
  <si>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</si>
  <si>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</si>
  <si>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</si>
  <si>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</si>
  <si>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</si>
  <si>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</si>
  <si>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</si>
  <si>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</si>
  <si>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</si>
  <si>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</si>
  <si>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</si>
  <si>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</si>
  <si>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</si>
  <si>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</si>
  <si>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</si>
  <si>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</si>
  <si>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</si>
  <si>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</si>
  <si>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</si>
  <si>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</si>
  <si>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</si>
  <si>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</si>
  <si>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</si>
  <si>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</si>
  <si>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</si>
  <si>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</si>
  <si>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</si>
  <si>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</si>
  <si>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</si>
  <si>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</si>
  <si>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</si>
  <si>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</si>
  <si>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</si>
  <si>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</si>
  <si>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</si>
  <si>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</si>
  <si>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</si>
  <si>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</si>
  <si>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</si>
  <si>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</si>
  <si>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</si>
  <si>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</si>
  <si>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</si>
  <si>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</si>
  <si>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</si>
  <si>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</si>
  <si>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</si>
  <si>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</si>
  <si>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</si>
  <si>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</si>
  <si>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</si>
  <si>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</si>
  <si>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</si>
  <si>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</si>
  <si>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</si>
  <si>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</si>
  <si>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</si>
  <si>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</si>
  <si>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</si>
  <si>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</si>
  <si>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</si>
  <si>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</si>
  <si>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</si>
  <si>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</si>
  <si>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</si>
  <si>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</si>
  <si>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</si>
  <si>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</si>
  <si>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</si>
  <si>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</si>
  <si>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</si>
  <si>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</si>
  <si>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</si>
  <si>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</si>
  <si>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</si>
  <si>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</si>
  <si>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</si>
  <si>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</si>
  <si>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</si>
  <si>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</si>
  <si>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</si>
  <si>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</si>
  <si>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</si>
  <si>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</si>
  <si>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</si>
  <si>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</si>
  <si>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</si>
  <si>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</si>
  <si>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</si>
  <si>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</si>
  <si>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</si>
  <si>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</si>
  <si>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</si>
  <si>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</si>
  <si>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</si>
  <si>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</si>
  <si>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</si>
  <si>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</si>
  <si>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</si>
  <si>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</si>
  <si>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</si>
  <si>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</si>
  <si>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</si>
  <si>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</si>
  <si>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</si>
  <si>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</si>
  <si>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</si>
  <si>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</si>
  <si>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</si>
  <si>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</si>
  <si>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</si>
  <si>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</si>
  <si>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</si>
  <si>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</si>
  <si>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</si>
  <si>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</si>
  <si>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</si>
  <si>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</si>
  <si>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</si>
  <si>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</si>
  <si>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</si>
  <si>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</si>
  <si>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</si>
  <si>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</si>
  <si>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</si>
  <si>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</si>
  <si>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</si>
  <si>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</si>
  <si>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</si>
  <si>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</si>
  <si>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</si>
  <si>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</si>
  <si>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</si>
  <si>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</si>
  <si>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</si>
  <si>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</si>
  <si>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</si>
  <si>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</si>
  <si>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</si>
  <si>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</si>
  <si>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</si>
  <si>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</si>
  <si>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</si>
  <si>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</si>
  <si>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</si>
  <si>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</si>
  <si>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</si>
  <si>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</si>
  <si>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</si>
  <si>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</si>
  <si>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</si>
  <si>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</si>
  <si>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</si>
  <si>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</si>
  <si>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</si>
  <si>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</si>
  <si>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</si>
  <si>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</si>
  <si>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</si>
  <si>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</si>
  <si>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</si>
  <si>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</si>
  <si>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</si>
  <si>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</si>
  <si>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</si>
  <si>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</si>
  <si>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</si>
  <si>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</si>
  <si>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</si>
  <si>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</si>
  <si>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</si>
  <si>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</si>
  <si>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</si>
  <si>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</si>
  <si>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</si>
  <si>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</si>
  <si>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</si>
  <si>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</si>
  <si>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</si>
  <si>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</si>
  <si>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</si>
  <si>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</si>
  <si>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</si>
  <si>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</si>
  <si>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</si>
  <si>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</si>
  <si>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</si>
  <si>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</si>
  <si>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</si>
  <si>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</si>
  <si>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</si>
  <si>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</si>
  <si>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</si>
  <si>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</si>
  <si>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</si>
  <si>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</si>
  <si>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</si>
  <si>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</si>
  <si>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</si>
  <si>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</si>
  <si>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</si>
  <si>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</si>
  <si>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</si>
  <si>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</si>
  <si>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</si>
  <si>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</si>
  <si>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</si>
  <si>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</si>
  <si>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</si>
  <si>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</si>
  <si>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</si>
  <si>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</si>
  <si>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</si>
  <si>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</si>
  <si>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</si>
  <si>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</si>
  <si>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</si>
  <si>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</si>
  <si>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</si>
  <si>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</si>
  <si>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</si>
  <si>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</si>
  <si>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</si>
  <si>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</si>
  <si>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</si>
  <si>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</si>
  <si>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</si>
  <si>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</si>
  <si>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</si>
  <si>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</si>
  <si>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</si>
  <si>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</si>
  <si>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</si>
  <si>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</si>
  <si>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</si>
  <si>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</si>
  <si>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</si>
  <si>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</si>
  <si>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</si>
  <si>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</si>
  <si>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</si>
  <si>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</si>
  <si>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</si>
  <si>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</si>
  <si>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</si>
  <si>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</si>
  <si>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</si>
  <si>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</si>
  <si>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</si>
  <si>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</si>
  <si>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</si>
  <si>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</si>
  <si>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</si>
  <si>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</si>
  <si>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</si>
  <si>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</si>
  <si>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</si>
  <si>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</si>
  <si>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</si>
  <si>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</si>
  <si>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</si>
  <si>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</si>
  <si>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</si>
  <si>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</si>
  <si>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</si>
  <si>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</si>
  <si>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</si>
  <si>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</si>
  <si>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</si>
  <si>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</si>
  <si>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</si>
  <si>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</si>
  <si>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</si>
  <si>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</si>
  <si>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</si>
  <si>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</si>
  <si>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</si>
  <si>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</si>
  <si>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</si>
  <si>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</si>
  <si>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</si>
  <si>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</si>
  <si>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</si>
  <si>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</si>
  <si>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</si>
  <si>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</si>
  <si>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</si>
  <si>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</si>
  <si>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</si>
  <si>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</si>
  <si>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</si>
  <si>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</si>
  <si>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</si>
  <si>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</si>
  <si>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</si>
  <si>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</si>
  <si>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</si>
  <si>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</si>
  <si>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</si>
  <si>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</si>
  <si>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</si>
  <si>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</si>
  <si>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</si>
  <si>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</si>
  <si>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</si>
  <si>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</si>
  <si>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</si>
  <si>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</si>
  <si>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</si>
  <si>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</si>
  <si>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</si>
  <si>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</si>
  <si>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</si>
  <si>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</si>
  <si>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</si>
  <si>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</si>
  <si>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</si>
  <si>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</si>
  <si>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</si>
  <si>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</si>
  <si>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</si>
  <si>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</si>
  <si>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</si>
  <si>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</si>
  <si>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</si>
  <si>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</si>
  <si>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</si>
  <si>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</si>
  <si>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</si>
  <si>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</si>
  <si>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</si>
  <si>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</si>
  <si>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</si>
  <si>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</si>
  <si>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</si>
  <si>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</si>
  <si>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</si>
  <si>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</si>
  <si>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</si>
  <si>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</si>
  <si>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</si>
  <si>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</si>
  <si>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</si>
  <si>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</si>
  <si>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</si>
  <si>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</si>
  <si>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</si>
  <si>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</si>
  <si>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</si>
  <si>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</si>
  <si>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</si>
  <si>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</si>
  <si>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</si>
  <si>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</si>
  <si>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</si>
  <si>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</si>
  <si>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</si>
  <si>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</si>
  <si>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</si>
  <si>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</si>
  <si>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</si>
  <si>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</si>
  <si>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</si>
  <si>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</si>
  <si>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</si>
  <si>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</si>
  <si>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</si>
  <si>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</si>
  <si>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</si>
  <si>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</si>
  <si>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</si>
  <si>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</si>
  <si>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</si>
  <si>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</si>
  <si>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</si>
  <si>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</si>
  <si>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</si>
  <si>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</si>
  <si>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</si>
  <si>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</si>
  <si>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</si>
  <si>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</si>
  <si>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</si>
  <si>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</si>
  <si>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</si>
  <si>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</si>
  <si>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</si>
  <si>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</si>
  <si>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</si>
  <si>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</si>
  <si>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</si>
  <si>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</si>
  <si>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</si>
  <si>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</si>
  <si>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</si>
  <si>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</si>
  <si>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</si>
  <si>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</si>
  <si>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</si>
  <si>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</si>
  <si>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</si>
  <si>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</si>
  <si>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</si>
  <si>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</si>
  <si>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</si>
  <si>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</si>
  <si>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</si>
  <si>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</si>
  <si>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</si>
  <si>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</si>
  <si>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</si>
  <si>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</si>
  <si>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</si>
  <si>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</si>
  <si>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</si>
  <si>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</si>
  <si>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</si>
  <si>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</si>
  <si>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</si>
  <si>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</si>
  <si>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</si>
  <si>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</si>
  <si>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</si>
  <si>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</si>
  <si>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</si>
  <si>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</si>
  <si>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</si>
  <si>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</si>
  <si>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</si>
  <si>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</si>
  <si>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</si>
  <si>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</si>
  <si>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</si>
  <si>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</si>
  <si>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</si>
  <si>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</si>
  <si>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</si>
  <si>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</si>
  <si>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</si>
  <si>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</si>
  <si>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</si>
  <si>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</si>
  <si>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</si>
  <si>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</si>
  <si>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</si>
  <si>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</si>
  <si>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</si>
  <si>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</si>
  <si>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</si>
  <si>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</si>
  <si>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</si>
  <si>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</si>
  <si>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</si>
  <si>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</si>
  <si>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</si>
  <si>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</si>
  <si>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</si>
  <si>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</si>
  <si>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</si>
  <si>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</si>
  <si>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</si>
  <si>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</si>
  <si>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</si>
  <si>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</si>
  <si>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</si>
  <si>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</si>
  <si>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</si>
  <si>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</si>
  <si>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</si>
  <si>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</si>
  <si>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</si>
  <si>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</si>
  <si>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</si>
  <si>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</si>
  <si>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</si>
  <si>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</si>
  <si>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</si>
  <si>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</si>
  <si>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</si>
  <si>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</si>
  <si>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</si>
  <si>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</si>
  <si>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</si>
  <si>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</si>
  <si>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</si>
  <si>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</si>
  <si>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</si>
  <si>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</si>
  <si>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</si>
  <si>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</si>
  <si>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</si>
  <si>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</si>
  <si>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</si>
  <si>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</si>
  <si>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</si>
  <si>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</si>
  <si>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</si>
  <si>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</si>
  <si>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</si>
  <si>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</si>
  <si>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</si>
  <si>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</si>
  <si>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</si>
  <si>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</si>
  <si>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</si>
  <si>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</si>
  <si>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</si>
  <si>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</si>
  <si>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</si>
  <si>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</si>
  <si>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</si>
  <si>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</si>
  <si>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</si>
  <si>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</si>
  <si>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</si>
  <si>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</si>
  <si>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</si>
  <si>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</si>
  <si>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</si>
  <si>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</si>
  <si>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</si>
  <si>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</si>
  <si>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</si>
  <si>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</si>
  <si>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</si>
  <si>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</si>
  <si>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</si>
  <si>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</si>
  <si>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</si>
  <si>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</si>
  <si>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</si>
  <si>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</si>
  <si>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</si>
  <si>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</si>
  <si>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</si>
  <si>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</si>
  <si>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</si>
  <si>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</si>
  <si>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</si>
  <si>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</si>
  <si>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</si>
  <si>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</si>
  <si>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</si>
  <si>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</si>
  <si>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</si>
  <si>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</si>
  <si>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</si>
  <si>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</si>
  <si>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</si>
  <si>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</si>
  <si>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</si>
  <si>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</si>
  <si>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</si>
  <si>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</si>
  <si>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</si>
  <si>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</si>
  <si>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</si>
  <si>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</si>
  <si>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</si>
  <si>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</si>
  <si>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</si>
  <si>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</si>
  <si>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</si>
  <si>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</si>
  <si>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</si>
  <si>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</si>
  <si>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</si>
  <si>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</si>
  <si>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</si>
  <si>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</si>
  <si>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</si>
  <si>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</si>
  <si>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</si>
  <si>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</si>
  <si>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</si>
  <si>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</si>
  <si>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</si>
  <si>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</si>
  <si>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</si>
  <si>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</si>
  <si>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</si>
  <si>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</si>
  <si>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</si>
  <si>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</si>
  <si>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</si>
  <si>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</si>
  <si>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</si>
  <si>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</si>
  <si>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</si>
  <si>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</si>
  <si>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</si>
  <si>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</si>
  <si>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</si>
  <si>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</si>
  <si>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</si>
  <si>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</si>
  <si>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</si>
  <si>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</si>
  <si>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</si>
  <si>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</si>
  <si>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</si>
  <si>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</si>
  <si>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</si>
  <si>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</si>
  <si>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</si>
  <si>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</si>
  <si>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</si>
  <si>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</si>
  <si>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</si>
  <si>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</si>
  <si>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</si>
  <si>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</si>
  <si>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</si>
  <si>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</si>
  <si>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</si>
  <si>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</si>
  <si>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</si>
  <si>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</si>
  <si>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</si>
  <si>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</si>
  <si>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</si>
  <si>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</si>
  <si>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</si>
  <si>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</si>
  <si>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</si>
  <si>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</si>
  <si>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</si>
  <si>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</si>
  <si>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</si>
  <si>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</si>
  <si>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</si>
  <si>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</si>
  <si>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</si>
  <si>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</si>
  <si>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</si>
  <si>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</si>
  <si>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</si>
  <si>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</si>
  <si>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</si>
  <si>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</si>
  <si>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</si>
  <si>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</si>
  <si>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</si>
  <si>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</si>
  <si>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</si>
  <si>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</si>
  <si>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</si>
  <si>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</si>
  <si>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</si>
  <si>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</si>
  <si>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</si>
  <si>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</si>
  <si>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</si>
  <si>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</si>
  <si>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</si>
  <si>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</si>
  <si>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</si>
  <si>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</si>
  <si>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</si>
  <si>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</si>
  <si>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</si>
  <si>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</si>
  <si>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</si>
  <si>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</si>
  <si>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</si>
  <si>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</si>
  <si>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</si>
  <si>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</si>
  <si>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</si>
  <si>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</si>
  <si>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</si>
  <si>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</si>
  <si>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</si>
  <si>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</si>
  <si>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</si>
  <si>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</si>
  <si>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</si>
  <si>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</si>
  <si>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</si>
  <si>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</si>
  <si>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</si>
  <si>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</si>
  <si>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</si>
  <si>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</si>
  <si>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</si>
  <si>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</si>
  <si>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</si>
  <si>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</si>
  <si>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</si>
  <si>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</si>
  <si>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</si>
  <si>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</si>
  <si>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</si>
  <si>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</si>
  <si>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</si>
  <si>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</si>
  <si>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</si>
  <si>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</si>
  <si>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</si>
  <si>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</si>
  <si>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</si>
  <si>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</si>
  <si>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</si>
  <si>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</si>
  <si>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</si>
  <si>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</si>
  <si>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</si>
  <si>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</si>
  <si>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</si>
  <si>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</si>
  <si>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</si>
  <si>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</si>
  <si>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</si>
  <si>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</si>
  <si>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</si>
  <si>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</si>
  <si>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</si>
  <si>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</si>
  <si>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</si>
  <si>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</si>
  <si>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</si>
  <si>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</si>
  <si>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</si>
  <si>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</si>
  <si>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</si>
  <si>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</si>
  <si>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</si>
  <si>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</si>
  <si>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</si>
  <si>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</si>
  <si>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</si>
  <si>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</si>
  <si>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</si>
  <si>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</si>
  <si>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</si>
  <si>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</si>
  <si>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</si>
  <si>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</si>
  <si>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</si>
  <si>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</si>
  <si>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</si>
  <si>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</si>
  <si>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</si>
  <si>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</si>
  <si>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</si>
  <si>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</si>
  <si>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</si>
  <si>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</si>
  <si>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</si>
  <si>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</si>
  <si>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</si>
  <si>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</si>
  <si>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</si>
  <si>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</si>
  <si>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</si>
  <si>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</si>
  <si>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</si>
  <si>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</si>
  <si>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</si>
  <si>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</si>
  <si>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</si>
  <si>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</si>
  <si>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</si>
  <si>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</si>
  <si>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</si>
  <si>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</si>
  <si>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</si>
  <si>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</si>
  <si>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</si>
  <si>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</si>
  <si>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</si>
  <si>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</si>
  <si>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</si>
  <si>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</si>
  <si>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</si>
  <si>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</si>
  <si>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</si>
  <si>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</si>
  <si>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</si>
  <si>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</si>
  <si>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</si>
  <si>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</si>
  <si>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</si>
  <si>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</si>
  <si>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</si>
  <si>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</si>
  <si>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</si>
  <si>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</si>
  <si>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</si>
  <si>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</si>
  <si>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</si>
  <si>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</si>
  <si>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</si>
  <si>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</si>
  <si>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</si>
  <si>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</si>
  <si>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</si>
  <si>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</si>
  <si>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</si>
  <si>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</si>
  <si>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</si>
  <si>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</si>
  <si>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</si>
  <si>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</si>
  <si>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</si>
  <si>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</si>
  <si>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</si>
  <si>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</si>
  <si>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</si>
  <si>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</si>
  <si>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</si>
  <si>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</si>
  <si>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</si>
  <si>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</si>
  <si>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</si>
  <si>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</si>
  <si>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</si>
  <si>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</si>
  <si>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</si>
  <si>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</si>
  <si>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</si>
  <si>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</si>
  <si>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</si>
  <si>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</si>
  <si>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</si>
  <si>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</si>
  <si>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</si>
  <si>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</si>
  <si>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</si>
  <si>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</si>
  <si>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</si>
  <si>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</si>
  <si>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</si>
  <si>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</si>
  <si>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</si>
  <si>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</si>
  <si>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</si>
  <si>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</si>
  <si>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</si>
  <si>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</si>
  <si>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</si>
  <si>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</si>
  <si>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</si>
  <si>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</si>
  <si>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</si>
  <si>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</si>
  <si>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</si>
  <si>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</si>
  <si>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</si>
  <si>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</si>
  <si>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</si>
  <si>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</si>
  <si>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</si>
  <si>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</si>
  <si>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</si>
  <si>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</si>
  <si>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</si>
  <si>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</si>
  <si>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</si>
  <si>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</si>
  <si>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</si>
  <si>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</si>
  <si>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</si>
  <si>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</si>
  <si>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</si>
  <si>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</si>
  <si>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</si>
  <si>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</si>
  <si>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</si>
  <si>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</si>
  <si>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</si>
  <si>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</si>
  <si>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</si>
  <si>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</si>
  <si>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</si>
  <si>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</si>
  <si>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</si>
  <si>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</si>
  <si>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</si>
  <si>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</si>
  <si>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</si>
  <si>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</si>
  <si>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</si>
  <si>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</si>
  <si>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</si>
  <si>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</si>
  <si>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</si>
  <si>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</si>
  <si>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</si>
  <si>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</si>
  <si>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</si>
  <si>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</si>
  <si>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</si>
  <si>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</si>
  <si>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</si>
  <si>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</si>
  <si>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</si>
  <si>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</si>
  <si>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</si>
  <si>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</si>
  <si>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</si>
  <si>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</si>
  <si>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</si>
  <si>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</si>
  <si>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</si>
  <si>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</si>
  <si>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</si>
  <si>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</si>
  <si>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</si>
  <si>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</si>
  <si>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</si>
  <si>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</si>
  <si>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</si>
  <si>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</si>
  <si>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</si>
  <si>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</si>
  <si>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</si>
  <si>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</si>
  <si>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</si>
  <si>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</si>
  <si>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</si>
  <si>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</si>
  <si>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</si>
  <si>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</si>
  <si>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</si>
  <si>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</si>
  <si>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</si>
  <si>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</si>
  <si>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</si>
  <si>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</si>
  <si>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</si>
  <si>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</si>
  <si>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</si>
  <si>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</si>
  <si>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</si>
  <si>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</si>
  <si>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</si>
  <si>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</si>
  <si>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</si>
  <si>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</si>
  <si>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</si>
  <si>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</si>
  <si>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</si>
  <si>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</si>
  <si>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</si>
  <si>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</si>
  <si>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</si>
  <si>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</si>
  <si>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</si>
  <si>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</si>
  <si>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</si>
  <si>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</si>
  <si>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</si>
  <si>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</si>
  <si>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</si>
  <si>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</si>
  <si>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</si>
  <si>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</si>
  <si>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</si>
  <si>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</si>
  <si>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</si>
  <si>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</si>
  <si>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</si>
  <si>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</si>
  <si>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</si>
  <si>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</si>
  <si>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</si>
  <si>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</si>
  <si>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</si>
  <si>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</si>
  <si>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</si>
  <si>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</si>
  <si>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</si>
  <si>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</si>
  <si>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</si>
  <si>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</si>
  <si>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</si>
  <si>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</si>
  <si>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</si>
  <si>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</si>
  <si>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</si>
  <si>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</si>
  <si>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</si>
  <si>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</si>
  <si>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</si>
  <si>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</si>
  <si>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</si>
  <si>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</si>
  <si>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</si>
  <si>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</si>
  <si>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</si>
  <si>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</si>
  <si>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</si>
  <si>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</si>
  <si>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</si>
  <si>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</si>
  <si>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</si>
  <si>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</si>
  <si>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</si>
  <si>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</si>
  <si>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</si>
  <si>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</si>
  <si>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</si>
  <si>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</si>
  <si>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</si>
  <si>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</si>
  <si>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</si>
  <si>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</si>
  <si>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</si>
  <si>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</si>
  <si>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</si>
  <si>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</si>
  <si>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</si>
  <si>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</si>
  <si>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</si>
  <si>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</si>
  <si>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</si>
  <si>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</si>
  <si>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</si>
  <si>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</si>
  <si>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</si>
  <si>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</si>
  <si>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</si>
  <si>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</si>
  <si>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</si>
  <si>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</si>
  <si>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</si>
  <si>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</si>
  <si>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</si>
  <si>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</si>
  <si>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</si>
  <si>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</si>
  <si>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</si>
  <si>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</si>
  <si>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</si>
  <si>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</si>
  <si>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</si>
  <si>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</si>
  <si>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</si>
  <si>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</si>
  <si>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</si>
  <si>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</si>
  <si>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</si>
  <si>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</si>
  <si>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</si>
  <si>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</si>
  <si>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</si>
  <si>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</si>
  <si>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</si>
  <si>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</si>
  <si>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</si>
  <si>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</si>
  <si>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</si>
  <si>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</si>
  <si>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</si>
  <si>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</si>
  <si>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</si>
  <si>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</si>
  <si>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</si>
  <si>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</si>
  <si>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</si>
  <si>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</si>
  <si>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</si>
  <si>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</si>
  <si>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</si>
  <si>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</si>
  <si>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</si>
  <si>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</si>
  <si>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</si>
  <si>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</si>
  <si>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</si>
  <si>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</si>
  <si>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</si>
  <si>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</si>
  <si>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</si>
  <si>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</si>
  <si>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</si>
  <si>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</si>
  <si>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</si>
  <si>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</si>
  <si>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</si>
  <si>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</si>
  <si>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</si>
  <si>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</si>
  <si>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</si>
  <si>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</si>
  <si>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</si>
  <si>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</si>
  <si>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</si>
  <si>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</si>
  <si>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</si>
  <si>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</si>
  <si>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</si>
  <si>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</si>
  <si>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</si>
  <si>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</si>
  <si>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</si>
  <si>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</si>
  <si>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</si>
  <si>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</si>
  <si>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</si>
  <si>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</si>
  <si>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</si>
  <si>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</si>
  <si>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</si>
  <si>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</si>
  <si>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</si>
  <si>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</si>
  <si>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</si>
  <si>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</si>
  <si>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</si>
  <si>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</si>
  <si>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</si>
  <si>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</si>
  <si>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</si>
  <si>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</si>
  <si>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</si>
  <si>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</si>
  <si>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</si>
  <si>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</si>
  <si>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</si>
  <si>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</si>
  <si>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</si>
  <si>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</si>
  <si>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</si>
  <si>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</si>
  <si>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</si>
  <si>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</si>
  <si>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</si>
  <si>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</si>
  <si>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</si>
  <si>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</si>
  <si>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</si>
  <si>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</si>
  <si>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</si>
  <si>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</si>
  <si>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</si>
  <si>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</si>
  <si>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</si>
  <si>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</si>
  <si>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</si>
  <si>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</si>
  <si>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</si>
  <si>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</si>
  <si>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</si>
  <si>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</si>
  <si>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</si>
  <si>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</si>
  <si>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</si>
  <si>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</si>
  <si>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</si>
  <si>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</si>
  <si>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</si>
  <si>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</si>
  <si>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</si>
  <si>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</si>
  <si>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</si>
  <si>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</si>
  <si>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</si>
  <si>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</si>
  <si>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</si>
  <si>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</si>
  <si>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</si>
  <si>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</si>
  <si>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</si>
  <si>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</si>
  <si>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</si>
  <si>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</si>
  <si>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</si>
  <si>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</si>
  <si>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</si>
  <si>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</si>
  <si>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</si>
  <si>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</si>
  <si>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</si>
  <si>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</si>
  <si>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</si>
  <si>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</si>
  <si>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</si>
  <si>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</si>
  <si>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</si>
  <si>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</si>
  <si>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</si>
  <si>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</si>
  <si>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</si>
  <si>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</si>
  <si>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</si>
  <si>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</si>
  <si>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</si>
  <si>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</si>
  <si>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</si>
  <si>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</si>
  <si>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</si>
  <si>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</si>
  <si>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</si>
  <si>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</si>
  <si>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</si>
  <si>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</si>
  <si>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</si>
  <si>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</si>
  <si>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</si>
  <si>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</si>
  <si>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</si>
  <si>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</si>
  <si>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</si>
  <si>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</si>
  <si>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</si>
  <si>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</si>
  <si>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</si>
  <si>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</si>
  <si>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</si>
  <si>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</si>
  <si>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</si>
  <si>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</si>
  <si>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</si>
  <si>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</si>
  <si>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</si>
  <si>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</si>
  <si>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</si>
  <si>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</si>
  <si>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</si>
  <si>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</si>
  <si>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</si>
  <si>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</si>
  <si>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</si>
  <si>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</si>
  <si>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</si>
  <si>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</si>
  <si>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</si>
  <si>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</si>
  <si>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</si>
  <si>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</si>
  <si>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</si>
  <si>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</si>
  <si>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</si>
  <si>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</si>
  <si>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</si>
  <si>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</si>
  <si>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</si>
  <si>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</si>
  <si>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</si>
  <si>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</si>
  <si>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</si>
  <si>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</si>
  <si>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</si>
  <si>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</si>
  <si>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</si>
  <si>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</si>
  <si>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</si>
  <si>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</si>
  <si>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</si>
  <si>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</si>
  <si>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</si>
  <si>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</si>
  <si>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</si>
  <si>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</si>
  <si>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</si>
  <si>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</si>
  <si>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</si>
  <si>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</si>
  <si>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</si>
  <si>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</si>
  <si>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</si>
  <si>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</si>
  <si>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</si>
  <si>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</si>
  <si>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</si>
  <si>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</si>
  <si>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</si>
  <si>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</si>
  <si>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</si>
  <si>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</si>
  <si>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</si>
  <si>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</si>
  <si>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</si>
  <si>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</si>
  <si>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</si>
  <si>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</si>
  <si>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</si>
  <si>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</si>
  <si>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</si>
  <si>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</si>
  <si>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</si>
  <si>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</si>
  <si>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</si>
  <si>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</si>
  <si>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</si>
  <si>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</si>
  <si>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</si>
  <si>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</si>
  <si>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</si>
  <si>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</si>
  <si>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</si>
  <si>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</si>
  <si>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</si>
  <si>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</si>
  <si>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</si>
  <si>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</si>
  <si>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</si>
  <si>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</si>
  <si>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</si>
  <si>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</si>
  <si>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</si>
  <si>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</si>
  <si>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</si>
  <si>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</si>
  <si>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</si>
  <si>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</si>
  <si>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</si>
  <si>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</si>
  <si>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</si>
  <si>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</si>
  <si>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</si>
  <si>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</si>
  <si>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</si>
  <si>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</si>
  <si>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</si>
  <si>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</si>
  <si>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</si>
  <si>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</si>
  <si>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</si>
  <si>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</si>
  <si>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</si>
  <si>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</si>
  <si>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</si>
  <si>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</si>
  <si>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</si>
  <si>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</si>
  <si>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</si>
  <si>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</si>
  <si>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</si>
  <si>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</si>
  <si>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</si>
  <si>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</si>
  <si>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</si>
  <si>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</si>
  <si>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</si>
  <si>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</si>
  <si>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</si>
  <si>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</si>
  <si>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</si>
  <si>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</si>
  <si>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</si>
  <si>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</si>
  <si>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</si>
  <si>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</si>
  <si>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</si>
  <si>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</si>
  <si>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</si>
  <si>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</si>
  <si>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</si>
  <si>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</si>
  <si>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</si>
  <si>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</si>
  <si>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</si>
  <si>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</si>
  <si>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</si>
  <si>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</si>
  <si>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</si>
  <si>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</si>
  <si>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</si>
  <si>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</si>
  <si>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</si>
  <si>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</si>
  <si>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</si>
  <si>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</si>
  <si>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</si>
  <si>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</si>
  <si>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</si>
  <si>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</si>
  <si>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</si>
  <si>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</si>
  <si>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</si>
  <si>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</si>
  <si>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</si>
  <si>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</si>
  <si>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</si>
  <si>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</si>
  <si>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</si>
  <si>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</si>
  <si>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</si>
  <si>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</si>
  <si>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</si>
  <si>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</si>
  <si>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</si>
  <si>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</si>
  <si>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</si>
  <si>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</si>
  <si>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</si>
  <si>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</si>
  <si>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</si>
  <si>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</si>
  <si>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</si>
  <si>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</si>
  <si>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</si>
  <si>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</si>
  <si>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</si>
  <si>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</si>
  <si>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</si>
  <si>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</si>
  <si>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</si>
  <si>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</si>
  <si>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</si>
  <si>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</si>
  <si>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</si>
  <si>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</si>
  <si>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</si>
  <si>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</si>
  <si>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</si>
  <si>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</si>
  <si>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</si>
  <si>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</si>
  <si>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</si>
  <si>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</si>
  <si>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</si>
  <si>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</si>
  <si>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</si>
  <si>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</si>
  <si>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</si>
  <si>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</si>
  <si>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</si>
  <si>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</si>
  <si>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</si>
  <si>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</si>
  <si>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</si>
  <si>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</si>
  <si>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</si>
  <si>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</si>
  <si>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</si>
  <si>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</si>
  <si>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</si>
  <si>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</si>
  <si>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</si>
  <si>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</si>
  <si>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</si>
  <si>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</si>
  <si>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</si>
  <si>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</si>
  <si>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</si>
  <si>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</si>
  <si>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</si>
  <si>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</si>
  <si>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</si>
  <si>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</si>
  <si>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</si>
  <si>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</si>
  <si>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</si>
  <si>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</si>
  <si>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</si>
  <si>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</si>
  <si>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</si>
  <si>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</si>
  <si>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</si>
  <si>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</si>
  <si>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</si>
  <si>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</si>
  <si>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</si>
  <si>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</si>
  <si>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</si>
  <si>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</si>
  <si>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</si>
  <si>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</si>
  <si>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</si>
  <si>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</si>
  <si>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</si>
  <si>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</si>
  <si>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</si>
  <si>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</si>
  <si>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</si>
  <si>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</si>
  <si>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</si>
  <si>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</si>
  <si>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</si>
  <si>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</si>
  <si>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</si>
  <si>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</si>
  <si>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</si>
  <si>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</si>
  <si>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</si>
  <si>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</si>
  <si>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</si>
  <si>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</si>
  <si>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</si>
  <si>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</si>
  <si>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</si>
  <si>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</si>
  <si>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</si>
  <si>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</si>
  <si>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</si>
  <si>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</si>
  <si>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</si>
  <si>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</si>
  <si>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</si>
  <si>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</si>
  <si>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</si>
  <si>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</si>
  <si>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</si>
  <si>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</si>
  <si>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</si>
  <si>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</si>
  <si>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</si>
  <si>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</si>
  <si>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</si>
  <si>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</si>
  <si>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</si>
  <si>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</si>
  <si>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</si>
  <si>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</si>
  <si>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</si>
  <si>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</si>
  <si>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</si>
  <si>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</si>
  <si>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</si>
  <si>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</si>
  <si>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</si>
  <si>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</si>
  <si>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</si>
  <si>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</si>
  <si>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</si>
  <si>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</si>
  <si>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</si>
  <si>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</si>
  <si>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</si>
  <si>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</si>
  <si>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</si>
  <si>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</si>
  <si>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</si>
  <si>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</si>
  <si>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</si>
  <si>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</si>
  <si>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</si>
  <si>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</si>
  <si>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</si>
  <si>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</si>
  <si>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</si>
  <si>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</si>
  <si>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</si>
  <si>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</si>
  <si>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</si>
  <si>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</si>
  <si>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</si>
  <si>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</si>
  <si>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</si>
  <si>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</si>
  <si>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</si>
  <si>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</si>
  <si>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</si>
  <si>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</si>
  <si>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</si>
  <si>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</si>
  <si>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</si>
  <si>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</si>
  <si>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</si>
  <si>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</si>
  <si>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</si>
  <si>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</si>
  <si>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</si>
  <si>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</si>
  <si>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</si>
  <si>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</si>
  <si>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</si>
  <si>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</si>
  <si>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</si>
  <si>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</si>
  <si>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</si>
  <si>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</si>
  <si>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</si>
  <si>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</si>
  <si>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</si>
  <si>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</si>
  <si>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</si>
  <si>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</si>
  <si>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</si>
  <si>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</si>
  <si>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</si>
  <si>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</si>
  <si>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</si>
  <si>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</si>
  <si>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</si>
  <si>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</si>
  <si>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</si>
  <si>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</si>
  <si>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</si>
  <si>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</si>
  <si>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</si>
  <si>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</si>
  <si>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</si>
  <si>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</si>
  <si>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</si>
  <si>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</si>
  <si>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</si>
  <si>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</si>
  <si>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</si>
  <si>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</si>
  <si>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</si>
  <si>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</si>
  <si>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</si>
  <si>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</si>
  <si>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</si>
  <si>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</si>
  <si>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</si>
  <si>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</si>
  <si>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</si>
  <si>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</si>
  <si>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</si>
  <si>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</si>
  <si>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</si>
  <si>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</si>
  <si>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</si>
  <si>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</si>
  <si>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</si>
  <si>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</si>
  <si>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</si>
  <si>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</si>
  <si>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</si>
  <si>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</si>
  <si>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</si>
  <si>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</si>
  <si>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</si>
  <si>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</si>
  <si>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</si>
  <si>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</si>
  <si>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</si>
  <si>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</si>
  <si>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</si>
  <si>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</si>
  <si>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</si>
  <si>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</si>
  <si>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</si>
  <si>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</si>
  <si>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</si>
  <si>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</si>
  <si>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</si>
  <si>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</si>
  <si>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</si>
  <si>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</si>
  <si>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</si>
  <si>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</si>
  <si>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</si>
  <si>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</si>
  <si>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</si>
  <si>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</si>
  <si>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</si>
  <si>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</si>
  <si>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</si>
  <si>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</si>
  <si>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</si>
  <si>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</si>
  <si>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</si>
  <si>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</si>
  <si>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</si>
  <si>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</si>
  <si>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</si>
  <si>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</si>
  <si>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</si>
  <si>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</si>
  <si>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</si>
  <si>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</si>
  <si>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</si>
  <si>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</si>
  <si>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</si>
  <si>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</si>
  <si>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</si>
  <si>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</si>
  <si>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</si>
  <si>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</si>
  <si>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</si>
  <si>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</si>
  <si>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快速路</t>
    <phoneticPr fontId="26" type="noConversion"/>
  </si>
  <si>
    <t>高速路</t>
    <phoneticPr fontId="26" type="noConversion"/>
  </si>
  <si>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</si>
  <si>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</si>
  <si>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</si>
  <si>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</si>
  <si>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</si>
  <si>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</si>
  <si>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</si>
  <si>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</si>
  <si>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</si>
  <si>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</si>
  <si>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</si>
  <si>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</si>
  <si>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</si>
  <si>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</si>
  <si>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</si>
  <si>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</si>
  <si>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</si>
  <si>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</si>
  <si>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</si>
  <si>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</si>
  <si>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</si>
  <si>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</si>
  <si>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</si>
  <si>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</si>
  <si>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</si>
  <si>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</si>
  <si>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</si>
  <si>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</si>
  <si>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</si>
  <si>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</si>
  <si>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</si>
  <si>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</si>
  <si>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</si>
  <si>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</si>
  <si>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</si>
  <si>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</si>
  <si>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</si>
  <si>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</si>
  <si>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</si>
  <si>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</si>
  <si>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</si>
  <si>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</si>
  <si>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</si>
  <si>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</si>
  <si>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</si>
  <si>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</si>
  <si>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</si>
  <si>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</si>
  <si>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</si>
  <si>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</si>
  <si>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</si>
  <si>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</si>
  <si>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</si>
  <si>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</si>
  <si>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</si>
  <si>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</si>
  <si>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</si>
  <si>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3#地块</t>
    <phoneticPr fontId="233" type="noConversion"/>
  </si>
  <si>
    <t>湘（2016）长沙市不动产权第0001822号</t>
    <phoneticPr fontId="233" type="noConversion"/>
  </si>
  <si>
    <t>商业、金融用地</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</si>
  <si>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</si>
  <si>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</si>
  <si>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</si>
  <si>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</si>
  <si>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</si>
  <si>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</si>
  <si>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</si>
  <si>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</si>
  <si>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</si>
  <si>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</si>
  <si>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</si>
  <si>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</si>
  <si>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</si>
  <si>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</si>
  <si>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</si>
  <si>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</si>
  <si>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</si>
  <si>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</si>
  <si>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</si>
  <si>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</si>
  <si>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</si>
  <si>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</si>
  <si>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</si>
  <si>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</si>
  <si>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</si>
  <si>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</si>
  <si>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</si>
  <si>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</si>
  <si>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</si>
  <si>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</si>
  <si>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</si>
  <si>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</si>
  <si>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</si>
  <si>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</si>
  <si>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湘（2016）长沙市不动产权第0001821号</t>
    <phoneticPr fontId="233" type="noConversion"/>
  </si>
  <si>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</si>
  <si>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</si>
  <si>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</si>
  <si>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</si>
  <si>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</si>
  <si>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</si>
  <si>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</si>
  <si>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</si>
  <si>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</si>
  <si>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</si>
  <si>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</si>
  <si>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</si>
  <si>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</si>
  <si>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</si>
  <si>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</si>
  <si>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</si>
  <si>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</si>
  <si>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</si>
  <si>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</si>
  <si>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</si>
  <si>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</si>
  <si>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</si>
  <si>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</si>
  <si>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</si>
  <si>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</si>
  <si>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</si>
  <si>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土地</t>
  </si>
  <si>
    <t>项目全部</t>
  </si>
  <si>
    <t>幼儿园</t>
    <phoneticPr fontId="7" type="noConversion"/>
  </si>
  <si>
    <t>平整</t>
    <phoneticPr fontId="26" type="noConversion"/>
  </si>
  <si>
    <t>按租金收入计税</t>
  </si>
  <si>
    <t>押二</t>
  </si>
  <si>
    <t>1#地块</t>
    <phoneticPr fontId="233" type="noConversion"/>
  </si>
  <si>
    <t>无</t>
    <phoneticPr fontId="3" type="noConversion"/>
  </si>
  <si>
    <t>限价(0-20%)</t>
    <phoneticPr fontId="3" type="noConversion"/>
  </si>
  <si>
    <t>限价（20%-40%）</t>
    <phoneticPr fontId="3" type="noConversion"/>
  </si>
  <si>
    <t>万科魅力之城</t>
    <phoneticPr fontId="3" type="noConversion"/>
  </si>
  <si>
    <t>明昇壹城</t>
    <phoneticPr fontId="3" type="noConversion"/>
  </si>
  <si>
    <t>恒大国际广场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</si>
</sst>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b/>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45" fillId="7" borderId="2" xfId="0" applyFont="1" applyFill="1" applyBorder="1" applyAlignment="1">
      <alignment horizontal="center" vertical="center"/>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0" fillId="6" borderId="2" xfId="0" applyFill="1" applyBorder="1" applyAlignment="1">
      <alignment horizontal="center" vertical="center"/>
    </xf>
    <xf numFmtId="179" fontId="76" fillId="3" borderId="5" xfId="0" applyNumberFormat="1" applyFont="1" applyFill="1" applyBorder="1" applyAlignment="1" applyProtection="1">
      <alignment horizontal="center" vertical="center" wrapText="1"/>
      <protection locked="0"/>
    </xf>
    <xf numFmtId="176" fontId="285" fillId="16" borderId="2" xfId="0" applyNumberFormat="1" applyFont="1" applyFill="1" applyBorder="1" applyAlignment="1" applyProtection="1">
      <alignment horizontal="center" vertical="center" wrapText="1"/>
      <protection locked="0"/>
    </xf>
    <xf numFmtId="0" fontId="156" fillId="16" borderId="12" xfId="0" applyFont="1" applyFill="1" applyBorder="1" applyAlignment="1" applyProtection="1">
      <alignment vertical="center"/>
      <protection locked="0"/>
    </xf>
    <xf numFmtId="0" fontId="81" fillId="5" borderId="0" xfId="0" applyFont="1" applyFill="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7" borderId="2"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35</xdr:row>
      <xdr:rowOff>28575</xdr:rowOff>
    </xdr:from>
    <xdr:to>
      <xdr:col>10</xdr:col>
      <xdr:colOff>113429</xdr:colOff>
      <xdr:row>44</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74</xdr:row>
      <xdr:rowOff>9525</xdr:rowOff>
    </xdr:from>
    <xdr:to>
      <xdr:col>15</xdr:col>
      <xdr:colOff>644274</xdr:colOff>
      <xdr:row>111</xdr:row>
      <xdr:rowOff>19049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923925</xdr:colOff>
      <xdr:row>48</xdr:row>
      <xdr:rowOff>123825</xdr:rowOff>
    </xdr:from>
    <xdr:to>
      <xdr:col>12</xdr:col>
      <xdr:colOff>503974</xdr:colOff>
      <xdr:row>68</xdr:row>
      <xdr:rowOff>161436</xdr:rowOff>
    </xdr:to>
    <xdr:pic>
      <xdr:nvPicPr>
        <xdr:cNvPr id="5" name="图片 4"/>
        <xdr:cNvPicPr>
          <a:picLocks noChangeAspect="1"/>
        </xdr:cNvPicPr>
      </xdr:nvPicPr>
      <xdr:blipFill>
        <a:blip xmlns:r="http://schemas.openxmlformats.org/officeDocument/2006/relationships" r:embed="rId4"/>
        <a:stretch>
          <a:fillRect/>
        </a:stretch>
      </xdr:blipFill>
      <xdr:spPr>
        <a:xfrm>
          <a:off x="8467725" y="6334125"/>
          <a:ext cx="5085499" cy="3685686"/>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1518;10&#21495;&#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2149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D14">
            <v>47610</v>
          </cell>
          <cell r="G14">
            <v>47610</v>
          </cell>
        </row>
      </sheetData>
      <sheetData sheetId="21">
        <row r="39">
          <cell r="O39">
            <v>47610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I14">
            <v>26620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8号地块出让国有建设用地使用权抵押价格预评估</v>
      </c>
      <c r="AX2" s="2918"/>
      <c r="AZ2" s="2918"/>
      <c r="BA2" s="2919"/>
      <c r="BC2" s="2919"/>
    </row>
    <row r="3" spans="1:55" s="2920" customFormat="1">
      <c r="A3" s="2899" t="s">
        <v>2662</v>
      </c>
      <c r="B3" s="2902">
        <f>'预评函-封皮'!B40</f>
        <v>0</v>
      </c>
    </row>
    <row r="4" spans="1:55" s="2901" customFormat="1">
      <c r="A4" s="2899" t="s">
        <v>2663</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2664</v>
      </c>
      <c r="B5" s="2922" t="str">
        <f>'预评函-封皮'!B49</f>
        <v>康正预评字号</v>
      </c>
    </row>
    <row r="6" spans="1:55" s="2923" customFormat="1" ht="15" thickTop="1">
      <c r="A6" s="2915" t="s">
        <v>2706</v>
      </c>
      <c r="B6" s="2916" t="str">
        <f>'预评函-1'!A4</f>
        <v>受贵公司委托，我公司对8号地块出让国有建设用地使用权抵押价格进行了预评估。</v>
      </c>
      <c r="AM6" s="2924"/>
    </row>
    <row r="7" spans="1:55" s="2898" customFormat="1">
      <c r="A7" s="2899" t="s">
        <v>2658</v>
      </c>
      <c r="B7" s="2900" t="str">
        <f>'预评函-1'!A6</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2018年1月9日（评估专业人员勘察现场之日）</v>
      </c>
    </row>
    <row r="11" spans="1:55" s="2898" customFormat="1">
      <c r="A11" s="2899" t="s">
        <v>2666</v>
      </c>
      <c r="B11" s="2900" t="str">
        <f>'预评函-1'!A14</f>
        <v>根据《国有土地使用证》[]，本次评估估价对象证载（地类）用途为。</v>
      </c>
    </row>
    <row r="12" spans="1:55" s="2898" customFormat="1">
      <c r="A12" s="2899" t="s">
        <v>2667</v>
      </c>
      <c r="B12" s="2900" t="str">
        <f>'预评函-1'!A15</f>
        <v>本次评估设定用途即为证载用途。</v>
      </c>
    </row>
    <row r="13" spans="1:55" s="2898" customFormat="1">
      <c r="A13" s="2899" t="s">
        <v>2668</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根据《国有土地使用证》[]，估价对象（分摊）出让国有建设用地使用权面积为72299.64平方米。根据《建设工程规划许可证》[]、《出让合同》[]，估价对象规划建筑面积为320965.16平方米。</v>
      </c>
    </row>
    <row r="16" spans="1:55" s="2898" customFormat="1">
      <c r="A16" s="2899" t="s">
        <v>2670</v>
      </c>
      <c r="B16" s="2900" t="str">
        <f>'预评函-1'!A22</f>
        <v>本次估价对象为出让国有建设用地使用权，《国有土地使用证》[]证载土地终止日期为住宅2083年4月25日、商业2053年4月25日。截至估价期日，出让国有建设用地使用权剩余土地使用年限为。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估价期日：2018年1月9日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f>'预评函-2'!E5</f>
        <v>0</v>
      </c>
      <c r="AV32" s="2904"/>
    </row>
    <row r="33" spans="1:2">
      <c r="A33" s="2899" t="s">
        <v>2714</v>
      </c>
      <c r="B33" s="2900">
        <f>'预评函-2'!F5</f>
        <v>258</v>
      </c>
    </row>
    <row r="34" spans="1:2">
      <c r="A34" s="2899" t="s">
        <v>2715</v>
      </c>
      <c r="B34" s="2900">
        <f>'预评函-2'!G5</f>
        <v>0</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v>
      </c>
    </row>
    <row r="39" spans="1:2">
      <c r="A39" s="2899" t="s">
        <v>2720</v>
      </c>
      <c r="B39" s="2900" t="str">
        <f>'预评函-2'!L5</f>
        <v>红线外七通、宗地红线内场地</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72299.64</v>
      </c>
    </row>
    <row r="44" spans="1:2">
      <c r="A44" s="2899" t="s">
        <v>2741</v>
      </c>
      <c r="B44" s="2900" t="str">
        <f>'预评函-2'!O3</f>
        <v>规划建筑面积/㎡</v>
      </c>
    </row>
    <row r="45" spans="1:2">
      <c r="A45" s="2899" t="s">
        <v>2723</v>
      </c>
      <c r="B45" s="2900">
        <f>'预评函-2'!O5</f>
        <v>320965.16000000003</v>
      </c>
    </row>
    <row r="46" spans="1:2">
      <c r="A46" s="2899" t="s">
        <v>2724</v>
      </c>
      <c r="B46" s="2900">
        <f ca="1">'预评函-2'!P5</f>
        <v>12849</v>
      </c>
    </row>
    <row r="47" spans="1:2">
      <c r="A47" s="2899" t="s">
        <v>2725</v>
      </c>
      <c r="B47" s="2900">
        <f ca="1">'预评函-2'!Q5</f>
        <v>2894</v>
      </c>
    </row>
    <row r="48" spans="1:2">
      <c r="A48" s="2899" t="s">
        <v>2726</v>
      </c>
      <c r="B48" s="2900">
        <f ca="1">'预评函-2'!R5</f>
        <v>92899</v>
      </c>
    </row>
    <row r="49" spans="1:2">
      <c r="A49" s="2899" t="s">
        <v>2742</v>
      </c>
      <c r="B49" s="2900" t="str">
        <f>'预评函-2'!A6</f>
        <v>抵押价格</v>
      </c>
    </row>
    <row r="50" spans="1:2">
      <c r="A50" s="2899" t="s">
        <v>2727</v>
      </c>
      <c r="B50" s="2900">
        <f ca="1">'预评函-2'!R6</f>
        <v>92899</v>
      </c>
    </row>
    <row r="51" spans="1:2">
      <c r="A51" s="2899" t="s">
        <v>2743</v>
      </c>
      <c r="B51" s="2900" t="str">
        <f>'预评函-2'!A7</f>
        <v>——</v>
      </c>
    </row>
    <row r="52" spans="1:2">
      <c r="A52" s="2899" t="s">
        <v>2728</v>
      </c>
      <c r="B52" s="2900" t="str">
        <f>'预评函-2'!R7</f>
        <v>——</v>
      </c>
    </row>
    <row r="53" spans="1:2">
      <c r="A53" s="2899" t="s">
        <v>2744</v>
      </c>
      <c r="B53" s="2900" t="str">
        <f>'预评函-2'!A8</f>
        <v>抵押净值</v>
      </c>
    </row>
    <row r="54" spans="1:2" s="2914" customFormat="1" ht="15" thickBot="1">
      <c r="A54" s="2921" t="s">
        <v>2729</v>
      </c>
      <c r="B54" s="2922">
        <f ca="1">'预评函-2'!R8</f>
        <v>50866</v>
      </c>
    </row>
    <row r="55" spans="1:2" ht="15" thickTop="1">
      <c r="A55" s="2910" t="s">
        <v>2679</v>
      </c>
      <c r="B55" s="2911" t="str">
        <f>'预评函-3'!A2</f>
        <v>1.权利限制：根据估价对象《不动产权证书》原件、《国有土地使用权》复印件，截至估价期日，估价对象已设定抵押。未设定租赁等其他他项权利。</v>
      </c>
    </row>
    <row r="56" spans="1:2">
      <c r="A56" s="2899" t="s">
        <v>2680</v>
      </c>
      <c r="B56" s="2900" t="str">
        <f>'预评函-3'!A3</f>
        <v>2.基础设施条件：估价对象实际开发程度为红线外七通、宗地红线内；本次评估设定开发程度为红线外七通、宗地红线内场地。</v>
      </c>
    </row>
    <row r="57" spans="1:2">
      <c r="A57" s="2899" t="s">
        <v>2681</v>
      </c>
      <c r="B57" s="2900" t="str">
        <f>'预评函-3'!A4</f>
        <v>3.估价规划限制条件：详见《建设工程规划许可证》[]、《出让合同》[]。</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（1）根据估价对象《不动产权证书》原件、《国有土地使用权》复印件，截至估价期日，估价对象已设定抵押。上述抵押权设定日期为，权利人为，权利范围为，权利价值为。</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综上，本次评估设定估价对象不存在估价师知悉的法定优先受偿款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土地估价师</v>
      </c>
    </row>
    <row r="70" spans="1:2">
      <c r="A70" s="2899" t="s">
        <v>2691</v>
      </c>
      <c r="B70" s="2906">
        <f>'预评函-3'!B20</f>
        <v>0</v>
      </c>
    </row>
    <row r="71" spans="1:2">
      <c r="A71" s="2899" t="s">
        <v>2692</v>
      </c>
      <c r="B71" s="2900" t="str">
        <f>'预评函-3'!A21</f>
        <v>土地估价师</v>
      </c>
    </row>
    <row r="72" spans="1:2" s="2914" customFormat="1" ht="15" thickBot="1">
      <c r="A72" s="2921" t="s">
        <v>2692</v>
      </c>
      <c r="B72" s="2927">
        <f>'预评函-3'!B21</f>
        <v>0</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1935</v>
      </c>
      <c r="B1" s="3281" t="str">
        <f>IF(B10="北京市","北京市",C10)&amp;F10&amp;B16&amp;"国有建设用地使用权"&amp;B9&amp;"预评估"</f>
        <v>8号地块出让国有建设用地使用权抵押价格预评估</v>
      </c>
      <c r="C1" s="3282"/>
      <c r="D1" s="3282"/>
      <c r="E1" s="3282"/>
      <c r="F1" s="3282"/>
      <c r="G1" s="3282"/>
      <c r="H1" s="3282"/>
      <c r="I1" s="3283"/>
      <c r="J1" s="1690"/>
      <c r="K1" s="2474" t="str">
        <f>IF(B10="北京市","北京市",C10)&amp;F10&amp;B16&amp;"国有建设用地使用权"&amp;B9</f>
        <v>8号地块出让国有建设用地使用权抵押价格</v>
      </c>
      <c r="L1" s="1719"/>
      <c r="M1" s="1719"/>
      <c r="N1" s="1690"/>
      <c r="O1" s="1691"/>
      <c r="P1" s="1690"/>
      <c r="Q1" s="1690"/>
      <c r="R1" s="1690"/>
      <c r="S1" s="1690"/>
      <c r="T1" s="1690"/>
      <c r="U1" s="1690"/>
    </row>
    <row r="2" spans="1:21">
      <c r="A2" s="1656" t="s">
        <v>1936</v>
      </c>
      <c r="B2" s="1838"/>
      <c r="D2" s="1690"/>
      <c r="E2" s="1690"/>
      <c r="F2" s="1690"/>
      <c r="G2" s="1690"/>
      <c r="H2" s="1656"/>
      <c r="I2" s="1691"/>
      <c r="J2" s="1690"/>
      <c r="K2" s="2474" t="str">
        <f>IF(B10="北京市","北京市",C10)&amp;F10&amp;B16&amp;"国有建设用地使用权"</f>
        <v>8号地块出让国有建设用地使用权</v>
      </c>
      <c r="L2" s="1719"/>
      <c r="M2" s="1719"/>
      <c r="N2" s="1690"/>
      <c r="O2" s="1691"/>
      <c r="P2" s="1690"/>
      <c r="Q2" s="1690"/>
      <c r="R2" s="1690"/>
      <c r="S2" s="1690"/>
      <c r="T2" s="1690"/>
      <c r="U2" s="1690"/>
    </row>
    <row r="3" spans="1:21">
      <c r="A3" s="1657" t="s">
        <v>1937</v>
      </c>
      <c r="B3" s="1658">
        <v>43109</v>
      </c>
      <c r="C3" s="1659" t="s">
        <v>1993</v>
      </c>
      <c r="D3" s="1658">
        <v>43109</v>
      </c>
      <c r="E3" s="1690"/>
      <c r="F3" s="1690"/>
      <c r="G3" s="1690"/>
      <c r="H3" s="1656"/>
      <c r="I3" s="1691"/>
      <c r="J3" s="1690"/>
      <c r="K3" s="1770"/>
      <c r="L3" s="1719"/>
      <c r="M3" s="1719"/>
      <c r="N3" s="1690"/>
      <c r="O3" s="1691"/>
      <c r="P3" s="1690"/>
      <c r="Q3" s="1690"/>
      <c r="R3" s="1690"/>
      <c r="S3" s="1690"/>
      <c r="T3" s="1690"/>
      <c r="U3" s="1690"/>
    </row>
    <row r="4" spans="1:21" ht="29.25" thickBot="1">
      <c r="A4" s="1660" t="s">
        <v>1938</v>
      </c>
      <c r="B4" s="1839" t="s">
        <v>2889</v>
      </c>
      <c r="C4" s="1842">
        <f>SUMIF(土地估价师,B4,估价师及机构信息!E3:E24)</f>
        <v>0</v>
      </c>
      <c r="D4" s="1839" t="s">
        <v>2889</v>
      </c>
      <c r="E4" s="1842">
        <f>SUMIF(土地估价师,D4,估价师及机构信息!E3:E24)</f>
        <v>0</v>
      </c>
      <c r="F4" s="1839" t="s">
        <v>947</v>
      </c>
      <c r="G4" s="1842">
        <f>SUMIF(土地估价师,F4,估价师及机构信息!E3:E24)</f>
        <v>0</v>
      </c>
      <c r="H4" s="1839" t="s">
        <v>947</v>
      </c>
      <c r="I4" s="1842">
        <f>SUMIF(土地估价师,H4,估价师及机构信息!E3:E24)</f>
        <v>0</v>
      </c>
      <c r="J4" s="1690"/>
      <c r="K4" s="2474"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1939</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1940</v>
      </c>
      <c r="B8" s="1666" t="s">
        <v>3387</v>
      </c>
      <c r="C8" s="1667"/>
      <c r="D8" s="3287" t="s">
        <v>1942</v>
      </c>
      <c r="E8" s="1840" t="s">
        <v>3388</v>
      </c>
      <c r="F8" s="1668"/>
      <c r="G8" s="1656"/>
      <c r="H8" s="1656"/>
      <c r="I8" s="1703"/>
      <c r="J8" s="1690"/>
      <c r="K8" s="1770"/>
      <c r="L8" s="1719"/>
      <c r="M8" s="1719"/>
      <c r="N8" s="1690"/>
      <c r="O8" s="1691"/>
      <c r="P8" s="1690"/>
      <c r="Q8" s="1690"/>
      <c r="R8" s="1690"/>
      <c r="S8" s="1690"/>
      <c r="T8" s="1690"/>
      <c r="U8" s="1690"/>
    </row>
    <row r="9" spans="1:21" ht="15" thickBot="1">
      <c r="A9" s="1669" t="s">
        <v>1941</v>
      </c>
      <c r="B9" s="1670" t="s">
        <v>3388</v>
      </c>
      <c r="C9" s="1671"/>
      <c r="D9" s="3288"/>
      <c r="E9" s="1670" t="s">
        <v>2855</v>
      </c>
      <c r="F9" s="1743"/>
      <c r="G9" s="1738"/>
      <c r="H9" s="1738"/>
      <c r="I9" s="1739"/>
      <c r="J9" s="1690"/>
      <c r="K9" s="1770"/>
      <c r="L9" s="1719"/>
      <c r="M9" s="1719"/>
      <c r="N9" s="1690"/>
      <c r="O9" s="1691"/>
      <c r="P9" s="1690"/>
      <c r="Q9" s="1690"/>
      <c r="R9" s="1690"/>
      <c r="S9" s="1690"/>
      <c r="T9" s="1690"/>
      <c r="U9" s="1690"/>
    </row>
    <row r="10" spans="1:21" ht="15" thickTop="1">
      <c r="A10" s="1740" t="s">
        <v>1997</v>
      </c>
      <c r="B10" s="1715" t="s">
        <v>3389</v>
      </c>
      <c r="C10" s="1672"/>
      <c r="D10" s="1663"/>
      <c r="E10" s="1673" t="s">
        <v>1944</v>
      </c>
      <c r="F10" s="1674" t="s">
        <v>3393</v>
      </c>
      <c r="G10" s="1741"/>
      <c r="H10" s="1742"/>
      <c r="I10" s="1663"/>
      <c r="J10" s="1690"/>
      <c r="K10" s="1770"/>
      <c r="L10" s="1719"/>
      <c r="M10" s="1719"/>
      <c r="N10" s="1690"/>
      <c r="O10" s="1691"/>
      <c r="P10" s="1690"/>
      <c r="Q10" s="1690"/>
      <c r="R10" s="1690"/>
      <c r="S10" s="1690"/>
      <c r="T10" s="1690"/>
      <c r="U10" s="1690"/>
    </row>
    <row r="11" spans="1:21">
      <c r="A11" s="1693" t="s">
        <v>1998</v>
      </c>
      <c r="B11" s="1694" t="s">
        <v>3390</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2056</v>
      </c>
      <c r="B12" s="3284"/>
      <c r="C12" s="3285"/>
      <c r="D12" s="3286"/>
      <c r="E12" s="1695" t="s">
        <v>2059</v>
      </c>
      <c r="F12" s="3302" t="s">
        <v>2890</v>
      </c>
      <c r="G12" s="3303"/>
      <c r="H12" s="3303"/>
      <c r="I12" s="3304"/>
      <c r="J12" s="1690"/>
      <c r="K12" s="1770"/>
      <c r="L12" s="1719"/>
      <c r="M12" s="1719"/>
      <c r="N12" s="1690"/>
      <c r="O12" s="1691"/>
      <c r="P12" s="1690"/>
      <c r="Q12" s="1690"/>
      <c r="R12" s="1690"/>
      <c r="S12" s="1690"/>
      <c r="T12" s="1690"/>
      <c r="U12" s="1690"/>
    </row>
    <row r="13" spans="1:21">
      <c r="A13" s="1683" t="s">
        <v>2057</v>
      </c>
      <c r="B13" s="3284"/>
      <c r="C13" s="3285"/>
      <c r="D13" s="3286"/>
      <c r="E13" s="1695" t="s">
        <v>2059</v>
      </c>
      <c r="F13" s="3302" t="s">
        <v>2891</v>
      </c>
      <c r="G13" s="3303"/>
      <c r="H13" s="3303"/>
      <c r="I13" s="3304"/>
      <c r="J13" s="1690"/>
      <c r="K13" s="1770"/>
      <c r="L13" s="1719"/>
      <c r="M13" s="1719"/>
      <c r="N13" s="1690"/>
      <c r="O13" s="1691"/>
      <c r="P13" s="1690"/>
      <c r="Q13" s="1690"/>
      <c r="R13" s="1690"/>
      <c r="S13" s="1690"/>
      <c r="T13" s="1690"/>
      <c r="U13" s="1690"/>
    </row>
    <row r="14" spans="1:21">
      <c r="A14" s="1657" t="s">
        <v>2060</v>
      </c>
      <c r="B14" s="1695"/>
      <c r="C14" s="1841" t="s">
        <v>3391</v>
      </c>
      <c r="D14" s="1729" t="str">
        <f>IF(C14="不一致","是否符合证载地类范围","")</f>
        <v/>
      </c>
      <c r="E14" s="1695"/>
      <c r="F14" s="1786" t="s">
        <v>3392</v>
      </c>
      <c r="G14" s="1724"/>
      <c r="H14" s="1724"/>
      <c r="I14" s="1833"/>
      <c r="J14" s="1690"/>
      <c r="K14" s="1770"/>
      <c r="L14" s="1719"/>
      <c r="M14" s="1719"/>
      <c r="N14" s="1690"/>
      <c r="O14" s="1691"/>
      <c r="P14" s="1690"/>
      <c r="Q14" s="1690"/>
      <c r="R14" s="1690"/>
      <c r="S14" s="1690"/>
      <c r="T14" s="1690"/>
      <c r="U14" s="1690"/>
    </row>
    <row r="15" spans="1:21" hidden="1">
      <c r="A15" s="2665"/>
      <c r="B15" s="1659"/>
      <c r="C15" s="1659"/>
      <c r="D15" s="1762" t="s">
        <v>1947</v>
      </c>
      <c r="E15" s="1762" t="s">
        <v>1948</v>
      </c>
      <c r="F15" s="1762" t="s">
        <v>1949</v>
      </c>
      <c r="G15" s="1682" t="s">
        <v>1950</v>
      </c>
      <c r="H15" s="1682" t="s">
        <v>1951</v>
      </c>
      <c r="I15" s="1682" t="s">
        <v>1952</v>
      </c>
      <c r="J15" s="1690"/>
      <c r="K15" s="1770"/>
      <c r="L15" s="1719"/>
      <c r="M15" s="1719"/>
      <c r="N15" s="1690"/>
      <c r="O15" s="1691"/>
      <c r="P15" s="1690"/>
      <c r="Q15" s="1690"/>
      <c r="R15" s="1690"/>
      <c r="S15" s="1690"/>
      <c r="T15" s="1690"/>
      <c r="U15" s="1690"/>
    </row>
    <row r="16" spans="1:21" ht="28.5">
      <c r="A16" s="1676" t="s">
        <v>1945</v>
      </c>
      <c r="B16" s="1677" t="s">
        <v>2978</v>
      </c>
      <c r="C16" s="1695" t="s">
        <v>1946</v>
      </c>
      <c r="D16" s="2666" t="s">
        <v>1947</v>
      </c>
      <c r="E16" s="1718" t="s">
        <v>2976</v>
      </c>
      <c r="F16" s="1718"/>
      <c r="G16" s="1718" t="s">
        <v>35</v>
      </c>
      <c r="H16" s="1718"/>
      <c r="I16" s="1682" t="s">
        <v>1952</v>
      </c>
      <c r="J16" s="1690"/>
      <c r="K16" s="2475" t="str">
        <f>IF(D17="","",D16&amp;TEXT(D17,"yyyy年m月d日;;"))</f>
        <v>住宅2083年4月25日</v>
      </c>
      <c r="L16" s="1695" t="str">
        <f>IF(OR(K16="",M16=""),"","、")</f>
        <v>、</v>
      </c>
      <c r="M16" s="2475" t="str">
        <f>IF(E17="","",E16&amp;TEXT(E17,"yyyy年m月d日;;"))</f>
        <v>商业2053年4月25日</v>
      </c>
      <c r="N16" s="1695" t="str">
        <f>IF(OR(M16="",O16=""),"","、")</f>
        <v/>
      </c>
      <c r="O16" s="2475" t="str">
        <f>IF(F17="","",F16&amp;TEXT(F17,"yyyy年m月d日;;"))</f>
        <v/>
      </c>
      <c r="P16" s="1695" t="str">
        <f>IF(OR(O16="",Q16=""),"","、")</f>
        <v/>
      </c>
      <c r="Q16" s="2475" t="str">
        <f>IF(G17="","",G16&amp;TEXT(G17,"yyyy年m月d日;;"))</f>
        <v/>
      </c>
      <c r="R16" s="1695" t="str">
        <f>IF(OR(Q16="",S16=""),"","、")</f>
        <v/>
      </c>
      <c r="S16" s="2475" t="str">
        <f>IF(H17="","",H16&amp;TEXT(H17,"yyyy年m月d日;;"))</f>
        <v/>
      </c>
      <c r="T16" s="1695" t="str">
        <f>IF(OR(S16="",U16=""),"","、")</f>
        <v/>
      </c>
      <c r="U16" s="2475" t="str">
        <f>IF(I17="","",I16&amp;TEXT(I17,"yyyy年m月d日;;"))</f>
        <v/>
      </c>
    </row>
    <row r="17" spans="1:21">
      <c r="A17" s="1759"/>
      <c r="B17" s="1678"/>
      <c r="C17" s="1679" t="s">
        <v>1953</v>
      </c>
      <c r="D17" s="1696">
        <v>66956</v>
      </c>
      <c r="E17" s="1696">
        <v>55999</v>
      </c>
      <c r="F17" s="1696"/>
      <c r="G17" s="1696"/>
      <c r="H17" s="1696"/>
      <c r="I17" s="1696"/>
      <c r="J17" s="1690"/>
      <c r="K17" s="2474" t="str">
        <f>CONCATENATE(K16,L16,M16,N16,O16,P16,Q16,R16,S16,T16,,U16)</f>
        <v>住宅2083年4月25日、商业2053年4月25日</v>
      </c>
      <c r="L17" s="1719"/>
      <c r="M17" s="1719"/>
      <c r="N17" s="1690"/>
      <c r="O17" s="1691"/>
      <c r="P17" s="1690"/>
      <c r="Q17" s="1690"/>
      <c r="R17" s="1690"/>
      <c r="S17" s="1690"/>
      <c r="T17" s="1690"/>
      <c r="U17" s="1690"/>
    </row>
    <row r="18" spans="1:21">
      <c r="A18" s="1759"/>
      <c r="B18" s="1678"/>
      <c r="C18" s="1679" t="s">
        <v>1954</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1955</v>
      </c>
      <c r="D19" s="1754">
        <f>IF(B16="出让",IF(D17="","",ROUNDDOWN(MIN((D17-$D$3)/365,D18),2)),D18)</f>
        <v>65.33</v>
      </c>
      <c r="E19" s="1681">
        <f>IF(B16="出让",IF(E17="","",ROUNDDOWN(MIN((E17-$D$3)/365,E18),2)),E18)</f>
        <v>35.31</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99"/>
      <c r="E20" s="3300"/>
      <c r="F20" s="3300"/>
      <c r="G20" s="3300"/>
      <c r="H20" s="3300"/>
      <c r="I20" s="3301"/>
      <c r="J20" s="1690"/>
      <c r="K20" s="1770"/>
      <c r="L20" s="1719"/>
      <c r="M20" s="1719"/>
      <c r="N20" s="1690"/>
      <c r="O20" s="1691"/>
      <c r="P20" s="1690"/>
      <c r="Q20" s="1690"/>
      <c r="R20" s="1690"/>
      <c r="S20" s="1690"/>
      <c r="T20" s="1690"/>
      <c r="U20" s="1690"/>
    </row>
    <row r="21" spans="1:21">
      <c r="A21" s="1759" t="s">
        <v>1956</v>
      </c>
      <c r="B21" s="1760" t="s">
        <v>1957</v>
      </c>
      <c r="C21" s="1755">
        <f>'数据-汇总表'!E3</f>
        <v>320965.16000000003</v>
      </c>
      <c r="D21" s="1756" t="s">
        <v>1958</v>
      </c>
      <c r="E21" s="3289" t="s">
        <v>1996</v>
      </c>
      <c r="F21" s="3290"/>
      <c r="G21" s="3290"/>
      <c r="H21" s="3290"/>
      <c r="I21" s="3291"/>
      <c r="J21" s="1690"/>
      <c r="K21" s="1770"/>
      <c r="L21" s="1719"/>
      <c r="M21" s="1719"/>
      <c r="N21" s="1690"/>
      <c r="O21" s="1691"/>
      <c r="P21" s="1690"/>
      <c r="Q21" s="1690"/>
      <c r="R21" s="1690"/>
      <c r="S21" s="1690"/>
      <c r="T21" s="1690"/>
      <c r="U21" s="1690"/>
    </row>
    <row r="22" spans="1:21">
      <c r="A22" s="2657" t="s">
        <v>947</v>
      </c>
      <c r="B22" s="1657" t="s">
        <v>1959</v>
      </c>
      <c r="C22" s="1682">
        <f>'数据-汇总表'!D3</f>
        <v>72299.64</v>
      </c>
      <c r="D22" s="1683" t="s">
        <v>1958</v>
      </c>
      <c r="E22" s="3289" t="s">
        <v>2892</v>
      </c>
      <c r="F22" s="3290"/>
      <c r="G22" s="3290"/>
      <c r="H22" s="3290"/>
      <c r="I22" s="3291"/>
      <c r="J22" s="1690"/>
      <c r="K22" s="1770"/>
      <c r="L22" s="1719"/>
      <c r="M22" s="1719"/>
      <c r="N22" s="1690"/>
      <c r="O22" s="1691"/>
      <c r="P22" s="1690"/>
      <c r="Q22" s="1690"/>
      <c r="R22" s="1690"/>
      <c r="S22" s="1690"/>
      <c r="T22" s="1690"/>
      <c r="U22" s="1690"/>
    </row>
    <row r="23" spans="1:21" ht="43.5" thickBot="1">
      <c r="A23" s="1761" t="s">
        <v>1960</v>
      </c>
      <c r="B23" s="1697" t="s">
        <v>1961</v>
      </c>
      <c r="C23" s="1698" t="s">
        <v>1674</v>
      </c>
      <c r="D23" s="1699" t="s">
        <v>1962</v>
      </c>
      <c r="E23" s="1700" t="s">
        <v>1674</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1963</v>
      </c>
      <c r="B24" s="3292" t="s">
        <v>1964</v>
      </c>
      <c r="C24" s="3293"/>
      <c r="D24" s="3294" t="s">
        <v>1965</v>
      </c>
      <c r="E24" s="3295"/>
      <c r="F24" s="1704" t="s">
        <v>1966</v>
      </c>
      <c r="G24" s="1690"/>
      <c r="H24" s="1690"/>
      <c r="I24" s="1703"/>
      <c r="J24" s="1690"/>
      <c r="K24" s="3280" t="s">
        <v>1967</v>
      </c>
      <c r="L24" s="24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9"/>
      <c r="N24" s="1690"/>
      <c r="O24" s="1691"/>
      <c r="P24" s="1690"/>
      <c r="Q24" s="1690"/>
      <c r="R24" s="1690"/>
      <c r="S24" s="1690"/>
      <c r="T24" s="1690"/>
      <c r="U24" s="1690"/>
    </row>
    <row r="25" spans="1:21" ht="28.5">
      <c r="A25" s="1747"/>
      <c r="B25" s="1744" t="s">
        <v>2323</v>
      </c>
      <c r="C25" s="1705" t="s">
        <v>1968</v>
      </c>
      <c r="D25" s="1706"/>
      <c r="E25" s="1707" t="s">
        <v>947</v>
      </c>
      <c r="F25" s="1708"/>
      <c r="G25" s="1690"/>
      <c r="H25" s="1690"/>
      <c r="I25" s="1703"/>
      <c r="J25" s="1690"/>
      <c r="K25" s="3280"/>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9"/>
      <c r="N25" s="1690"/>
      <c r="O25" s="1691"/>
      <c r="P25" s="1690"/>
      <c r="Q25" s="1690"/>
      <c r="R25" s="1690"/>
      <c r="S25" s="1690"/>
      <c r="T25" s="1690"/>
      <c r="U25" s="1690"/>
    </row>
    <row r="26" spans="1:21" ht="29.25" thickBot="1">
      <c r="A26" s="1748"/>
      <c r="B26" s="1745" t="s">
        <v>1969</v>
      </c>
      <c r="C26" s="1705" t="s">
        <v>2324</v>
      </c>
      <c r="D26" s="1656"/>
      <c r="E26" s="1656"/>
      <c r="F26" s="1684"/>
      <c r="G26" s="1690"/>
      <c r="H26" s="1690"/>
      <c r="I26" s="1703"/>
      <c r="J26" s="1690"/>
      <c r="K26" s="3280"/>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1970</v>
      </c>
      <c r="B27" s="1749" t="s">
        <v>1971</v>
      </c>
      <c r="C27" s="1709"/>
      <c r="D27" s="2671" t="s">
        <v>1971</v>
      </c>
      <c r="E27" s="1710"/>
      <c r="F27" s="1684"/>
      <c r="G27" s="1690"/>
      <c r="H27" s="1690"/>
      <c r="I27" s="1703"/>
      <c r="J27" s="1690"/>
      <c r="K27" s="1770"/>
      <c r="L27" s="1719"/>
      <c r="M27" s="1719"/>
      <c r="N27" s="1690"/>
      <c r="O27" s="1691"/>
      <c r="P27" s="1690"/>
      <c r="Q27" s="1690"/>
      <c r="R27" s="1690"/>
      <c r="S27" s="1690"/>
      <c r="T27" s="1690"/>
      <c r="U27" s="1690"/>
    </row>
    <row r="28" spans="1:21">
      <c r="A28" s="1752"/>
      <c r="B28" s="1749" t="s">
        <v>1972</v>
      </c>
      <c r="C28" s="1711"/>
      <c r="D28" s="2672" t="s">
        <v>1972</v>
      </c>
      <c r="E28" s="1712"/>
      <c r="F28" s="1684"/>
      <c r="G28" s="1690"/>
      <c r="H28" s="1690"/>
      <c r="I28" s="1703"/>
      <c r="J28" s="1690"/>
      <c r="K28" s="1770"/>
      <c r="L28" s="1719"/>
      <c r="M28" s="1719"/>
      <c r="N28" s="1690"/>
      <c r="O28" s="1691"/>
      <c r="P28" s="1690"/>
      <c r="Q28" s="1690"/>
      <c r="R28" s="1690"/>
      <c r="S28" s="1690"/>
      <c r="T28" s="1690"/>
      <c r="U28" s="1690"/>
    </row>
    <row r="29" spans="1:21">
      <c r="A29" s="1752"/>
      <c r="B29" s="1749" t="s">
        <v>1973</v>
      </c>
      <c r="C29" s="1711"/>
      <c r="D29" s="2672" t="s">
        <v>1973</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1974</v>
      </c>
      <c r="C30" s="1713"/>
      <c r="D30" s="2673" t="s">
        <v>1974</v>
      </c>
      <c r="E30" s="1714"/>
      <c r="F30" s="1685"/>
      <c r="G30" s="1738"/>
      <c r="H30" s="1738"/>
      <c r="I30" s="1739"/>
      <c r="J30" s="1690"/>
      <c r="K30" s="1770"/>
      <c r="L30" s="1719"/>
      <c r="M30" s="1719"/>
      <c r="N30" s="1690"/>
      <c r="O30" s="1691"/>
      <c r="P30" s="1690"/>
      <c r="Q30" s="1690"/>
      <c r="R30" s="1690"/>
      <c r="S30" s="1690"/>
      <c r="T30" s="1690"/>
      <c r="U30" s="1690"/>
    </row>
    <row r="31" spans="1:21" ht="15" thickTop="1">
      <c r="A31" s="3266" t="s">
        <v>1999</v>
      </c>
      <c r="B31" s="1760" t="s">
        <v>2000</v>
      </c>
      <c r="C31" s="3305"/>
      <c r="D31" s="3306"/>
      <c r="E31" s="1690"/>
      <c r="F31" s="1690"/>
      <c r="G31" s="1690"/>
      <c r="H31" s="1690"/>
      <c r="I31" s="1703"/>
      <c r="J31" s="1690"/>
      <c r="K31" s="2477"/>
      <c r="L31" s="1690"/>
      <c r="M31" s="1690"/>
      <c r="N31" s="1690"/>
      <c r="O31" s="1690"/>
      <c r="P31" s="1690"/>
      <c r="Q31" s="1690"/>
      <c r="R31" s="1690"/>
      <c r="S31" s="1690"/>
      <c r="T31" s="1690"/>
      <c r="U31" s="1690"/>
    </row>
    <row r="32" spans="1:21">
      <c r="A32" s="3266"/>
      <c r="B32" s="1657" t="s">
        <v>2001</v>
      </c>
      <c r="C32" s="1715"/>
      <c r="D32" s="1716"/>
      <c r="E32" s="1690"/>
      <c r="F32" s="1690"/>
      <c r="G32" s="1690"/>
      <c r="H32" s="1690"/>
      <c r="I32" s="1703"/>
      <c r="J32" s="1690"/>
      <c r="K32" s="2477"/>
      <c r="L32" s="1690"/>
      <c r="M32" s="1690"/>
      <c r="N32" s="1690"/>
      <c r="O32" s="1690"/>
      <c r="P32" s="1690"/>
      <c r="Q32" s="1690"/>
      <c r="R32" s="1690"/>
      <c r="S32" s="1690"/>
      <c r="T32" s="1690"/>
      <c r="U32" s="1690"/>
    </row>
    <row r="33" spans="1:21">
      <c r="A33" s="3266"/>
      <c r="B33" s="1657" t="s">
        <v>2002</v>
      </c>
      <c r="C33" s="1717"/>
      <c r="D33" s="1834"/>
      <c r="E33" s="1690"/>
      <c r="F33" s="1690"/>
      <c r="G33" s="1690"/>
      <c r="H33" s="1690"/>
      <c r="I33" s="1703"/>
      <c r="J33" s="1690"/>
      <c r="K33" s="2477"/>
      <c r="L33" s="1690"/>
      <c r="M33" s="1690"/>
      <c r="N33" s="1690"/>
      <c r="O33" s="1690"/>
      <c r="P33" s="1690"/>
      <c r="Q33" s="1690"/>
      <c r="R33" s="1690"/>
      <c r="S33" s="1690"/>
      <c r="T33" s="1690"/>
      <c r="U33" s="1690"/>
    </row>
    <row r="34" spans="1:21">
      <c r="A34" s="3267"/>
      <c r="B34" s="1657" t="s">
        <v>2003</v>
      </c>
      <c r="C34" s="3268"/>
      <c r="D34" s="3269"/>
      <c r="E34" s="1690"/>
      <c r="F34" s="1690"/>
      <c r="G34" s="1690"/>
      <c r="H34" s="1690"/>
      <c r="I34" s="1703"/>
      <c r="J34" s="1690"/>
      <c r="K34" s="2477"/>
      <c r="L34" s="1690"/>
      <c r="M34" s="1690"/>
      <c r="N34" s="1690"/>
      <c r="O34" s="1690"/>
      <c r="P34" s="1690"/>
      <c r="Q34" s="1690"/>
      <c r="R34" s="1690"/>
      <c r="S34" s="1690"/>
      <c r="T34" s="1690"/>
      <c r="U34" s="1690"/>
    </row>
    <row r="35" spans="1:21">
      <c r="A35" s="3270" t="s">
        <v>842</v>
      </c>
      <c r="B35" s="1718"/>
      <c r="C35" s="1772" t="str">
        <f>IF(B35="场地平整","——","具体情况：")</f>
        <v>具体情况：</v>
      </c>
      <c r="D35" s="3272"/>
      <c r="E35" s="3273"/>
      <c r="F35" s="3273"/>
      <c r="G35" s="3273"/>
      <c r="H35" s="3273"/>
      <c r="I35" s="3274"/>
      <c r="J35" s="1690"/>
      <c r="K35" s="1771"/>
      <c r="L35" s="1719"/>
      <c r="M35" s="1719"/>
      <c r="N35" s="1690"/>
      <c r="O35" s="1691"/>
      <c r="P35" s="1690"/>
      <c r="Q35" s="1690"/>
      <c r="R35" s="1690"/>
      <c r="S35" s="1690"/>
      <c r="T35" s="1690"/>
      <c r="U35" s="1690"/>
    </row>
    <row r="36" spans="1:21">
      <c r="A36" s="3266"/>
      <c r="B36" s="3275" t="s">
        <v>2052</v>
      </c>
      <c r="C36" s="3276"/>
      <c r="D36" s="1788"/>
      <c r="E36" s="3277"/>
      <c r="F36" s="3277"/>
      <c r="G36" s="1683" t="str">
        <f>IF(B35="场地未平整","估价结果处理","")</f>
        <v/>
      </c>
      <c r="H36" s="3278"/>
      <c r="I36" s="3278"/>
      <c r="J36" s="1690"/>
      <c r="K36" s="1771"/>
      <c r="L36" s="1719"/>
      <c r="M36" s="1719"/>
      <c r="N36" s="1690"/>
      <c r="O36" s="1691"/>
      <c r="P36" s="1690"/>
      <c r="Q36" s="1690"/>
      <c r="R36" s="1690"/>
      <c r="S36" s="1690"/>
      <c r="T36" s="1690"/>
      <c r="U36" s="1690"/>
    </row>
    <row r="37" spans="1:21" ht="28.5">
      <c r="A37" s="3266"/>
      <c r="B37" s="3296" t="s">
        <v>843</v>
      </c>
      <c r="C37" s="1720" t="s">
        <v>844</v>
      </c>
      <c r="D37" s="1721"/>
      <c r="E37" s="1722"/>
      <c r="F37" s="1690"/>
      <c r="G37" s="1690"/>
      <c r="H37" s="1690"/>
      <c r="I37" s="1703"/>
      <c r="J37" s="1690"/>
      <c r="K37" s="1771"/>
      <c r="L37" s="1690"/>
      <c r="M37" s="1690"/>
      <c r="N37" s="1690"/>
      <c r="O37" s="1690"/>
      <c r="P37" s="1690"/>
      <c r="Q37" s="1690"/>
      <c r="R37" s="1690"/>
      <c r="S37" s="1690"/>
      <c r="T37" s="1690"/>
      <c r="U37" s="1690"/>
    </row>
    <row r="38" spans="1:21">
      <c r="A38" s="3266"/>
      <c r="B38" s="3297"/>
      <c r="C38" s="1665" t="s">
        <v>845</v>
      </c>
      <c r="D38" s="1787">
        <f>ROUNDDOWN(MIN(('数据-取费表'!$B$2-D37)/365,D34),1)</f>
        <v>118.1</v>
      </c>
      <c r="E38" s="1723" t="s">
        <v>846</v>
      </c>
      <c r="F38" s="1690"/>
      <c r="G38" s="1690"/>
      <c r="H38" s="1690"/>
      <c r="I38" s="1703"/>
      <c r="J38" s="1690"/>
      <c r="K38" s="1771"/>
      <c r="L38" s="1690"/>
      <c r="M38" s="1690"/>
      <c r="N38" s="1690"/>
      <c r="O38" s="1690"/>
      <c r="P38" s="1690"/>
      <c r="Q38" s="1690"/>
      <c r="R38" s="1690"/>
      <c r="S38" s="1690"/>
      <c r="T38" s="1690"/>
      <c r="U38" s="1690"/>
    </row>
    <row r="39" spans="1:21">
      <c r="A39" s="3267"/>
      <c r="B39" s="329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1975</v>
      </c>
      <c r="B40" s="1686"/>
      <c r="C40" s="1686"/>
      <c r="D40" s="1686"/>
      <c r="E40" s="1686"/>
      <c r="F40" s="1686"/>
      <c r="G40" s="1686"/>
      <c r="H40" s="1686"/>
      <c r="I40" s="1703"/>
      <c r="J40" s="1690"/>
      <c r="K40" s="1726">
        <f>COUNTIF(B40:H40,"——")</f>
        <v>0</v>
      </c>
      <c r="L40" s="1695" t="s">
        <v>1976</v>
      </c>
      <c r="M40" s="1692" t="s">
        <v>1977</v>
      </c>
      <c r="N40" s="1692" t="s">
        <v>1978</v>
      </c>
      <c r="O40" s="1692" t="s">
        <v>1979</v>
      </c>
      <c r="P40" s="1692" t="s">
        <v>1980</v>
      </c>
      <c r="Q40" s="1692" t="s">
        <v>1981</v>
      </c>
      <c r="R40" s="1692" t="s">
        <v>1982</v>
      </c>
      <c r="S40" s="3279" t="s">
        <v>1983</v>
      </c>
      <c r="T40" s="1727" t="str">
        <f>NUMBERSTRING(7-K40,1)&amp;"通"</f>
        <v>七通</v>
      </c>
      <c r="U40" s="1690"/>
    </row>
    <row r="41" spans="1:21">
      <c r="A41" s="1659"/>
      <c r="B41" s="3271" t="s">
        <v>1717</v>
      </c>
      <c r="C41" s="3271"/>
      <c r="D41" s="3271"/>
      <c r="E41" s="3271"/>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79"/>
      <c r="T41" s="1729" t="str">
        <f>IF(T40="一通",L41,IF(T40="二通",M41,IF(T40="三通",N41,IF(T40="四通",O41,IF(T40="五通",P41,IF(T40="六通",Q41,R41))))))</f>
        <v>、、、、、、</v>
      </c>
      <c r="U41" s="1690"/>
    </row>
    <row r="42" spans="1:21">
      <c r="A42" s="1731"/>
      <c r="B42" s="1762" t="s">
        <v>1893</v>
      </c>
      <c r="C42" s="1762" t="s">
        <v>1894</v>
      </c>
      <c r="D42" s="1762" t="s">
        <v>1895</v>
      </c>
      <c r="E42" s="1695" t="s">
        <v>1896</v>
      </c>
      <c r="F42" s="1732"/>
      <c r="G42" s="1690"/>
      <c r="H42" s="1690"/>
      <c r="I42" s="1703"/>
      <c r="J42" s="1690"/>
      <c r="K42" s="1770"/>
      <c r="L42" s="1719"/>
      <c r="M42" s="1719"/>
      <c r="N42" s="1690"/>
      <c r="O42" s="1691"/>
      <c r="P42" s="1690"/>
      <c r="Q42" s="1690"/>
      <c r="R42" s="1690"/>
      <c r="S42" s="1690"/>
      <c r="T42" s="1690"/>
      <c r="U42" s="1690"/>
    </row>
    <row r="43" spans="1:21">
      <c r="A43" s="1733" t="s">
        <v>1702</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1703</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C32" sqref="C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6" width="12.375" style="15" customWidth="1"/>
    <col min="37" max="37" width="9.5" style="15" customWidth="1"/>
    <col min="38"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6" t="s">
        <v>2331</v>
      </c>
      <c r="BA2" s="2357" t="s">
        <v>2330</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72299.64</v>
      </c>
      <c r="B3" s="22">
        <f>IF(C3="否",G5-AT5,G5)</f>
        <v>320965.16000000003</v>
      </c>
      <c r="C3" s="23" t="s">
        <v>947</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234">
        <f>A3</f>
        <v>72299.64</v>
      </c>
      <c r="AZ3" s="12">
        <f>面积表!G9</f>
        <v>255941</v>
      </c>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320965.16000000003</v>
      </c>
      <c r="H5" s="26">
        <f t="shared" ref="H5:AT5" si="0">SUM(H13:H641)</f>
        <v>249027.74000000002</v>
      </c>
      <c r="I5" s="26">
        <f t="shared" si="0"/>
        <v>241349.54</v>
      </c>
      <c r="J5" s="26">
        <f t="shared" si="0"/>
        <v>0</v>
      </c>
      <c r="K5" s="26">
        <f t="shared" si="0"/>
        <v>7678.2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71937.42</v>
      </c>
      <c r="AD5" s="26">
        <f t="shared" si="0"/>
        <v>5668.01</v>
      </c>
      <c r="AE5" s="26">
        <f t="shared" si="0"/>
        <v>0</v>
      </c>
      <c r="AF5" s="26">
        <f t="shared" si="0"/>
        <v>1245.2499999999918</v>
      </c>
      <c r="AG5" s="26">
        <f t="shared" si="0"/>
        <v>0</v>
      </c>
      <c r="AH5" s="26">
        <f t="shared" si="0"/>
        <v>0</v>
      </c>
      <c r="AI5" s="26">
        <f t="shared" si="0"/>
        <v>0</v>
      </c>
      <c r="AJ5" s="26">
        <f t="shared" si="0"/>
        <v>0</v>
      </c>
      <c r="AK5" s="26">
        <f t="shared" si="0"/>
        <v>0</v>
      </c>
      <c r="AL5" s="26">
        <f t="shared" si="0"/>
        <v>0</v>
      </c>
      <c r="AM5" s="26">
        <f t="shared" si="0"/>
        <v>0</v>
      </c>
      <c r="AN5" s="26">
        <f t="shared" si="0"/>
        <v>65024.160000000003</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320965.16000000003</v>
      </c>
      <c r="BA5" s="28">
        <f t="shared" si="1"/>
        <v>249027.74000000002</v>
      </c>
      <c r="BB5" s="28">
        <f t="shared" si="1"/>
        <v>241349.54</v>
      </c>
      <c r="BC5" s="28">
        <f t="shared" si="1"/>
        <v>7678.2</v>
      </c>
      <c r="BD5" s="28">
        <f t="shared" si="1"/>
        <v>0</v>
      </c>
      <c r="BE5" s="28">
        <f t="shared" si="1"/>
        <v>0</v>
      </c>
      <c r="BF5" s="28">
        <f t="shared" si="1"/>
        <v>0</v>
      </c>
      <c r="BG5" s="28">
        <f t="shared" si="1"/>
        <v>0</v>
      </c>
      <c r="BH5" s="28">
        <f t="shared" si="1"/>
        <v>0</v>
      </c>
      <c r="BI5" s="28">
        <f t="shared" si="1"/>
        <v>0</v>
      </c>
      <c r="BJ5" s="28">
        <f t="shared" si="1"/>
        <v>0</v>
      </c>
      <c r="BK5" s="28">
        <f t="shared" si="1"/>
        <v>0</v>
      </c>
      <c r="BL5" s="28">
        <f t="shared" si="1"/>
        <v>71937.42</v>
      </c>
      <c r="BM5" s="28">
        <f t="shared" si="1"/>
        <v>5668.01</v>
      </c>
      <c r="BN5" s="28">
        <f t="shared" si="1"/>
        <v>1245.2499999999918</v>
      </c>
      <c r="BO5" s="28">
        <f t="shared" si="1"/>
        <v>0</v>
      </c>
      <c r="BP5" s="28">
        <f t="shared" si="1"/>
        <v>0</v>
      </c>
      <c r="BQ5" s="28">
        <f t="shared" si="1"/>
        <v>0</v>
      </c>
      <c r="BR5" s="28">
        <f t="shared" si="1"/>
        <v>65024.160000000003</v>
      </c>
      <c r="BS5" s="28">
        <f t="shared" si="1"/>
        <v>0</v>
      </c>
      <c r="BT5" s="29">
        <f t="shared" si="1"/>
        <v>0</v>
      </c>
    </row>
    <row r="6" spans="1:72" s="36" customFormat="1" ht="12.75">
      <c r="A6" s="25" t="s">
        <v>169</v>
      </c>
      <c r="B6" s="30"/>
      <c r="C6" s="30"/>
      <c r="D6" s="31"/>
      <c r="E6" s="26">
        <f>H6+AC6+AT6</f>
        <v>72299.649999999994</v>
      </c>
      <c r="F6" s="26" t="s">
        <v>1</v>
      </c>
      <c r="G6" s="26" t="s">
        <v>2</v>
      </c>
      <c r="H6" s="32">
        <f>SUMIF(I$12:AB$12,"总值",I6:AB6)</f>
        <v>56095.24</v>
      </c>
      <c r="I6" s="26">
        <f t="shared" ref="I6:AB6" si="2">ROUND($A$3*I5/$B$3,2)</f>
        <v>54365.67</v>
      </c>
      <c r="J6" s="26">
        <f t="shared" si="2"/>
        <v>0</v>
      </c>
      <c r="K6" s="26">
        <f t="shared" si="2"/>
        <v>1729.57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16204.41</v>
      </c>
      <c r="AD6" s="26">
        <f t="shared" ref="AD6:AS6" si="3">ROUND($A$3*AD5/$B$3,2)</f>
        <v>1276.76</v>
      </c>
      <c r="AE6" s="26">
        <f t="shared" si="3"/>
        <v>0</v>
      </c>
      <c r="AF6" s="26">
        <f t="shared" si="3"/>
        <v>280.5</v>
      </c>
      <c r="AG6" s="26">
        <f t="shared" si="3"/>
        <v>0</v>
      </c>
      <c r="AH6" s="26">
        <f t="shared" si="3"/>
        <v>0</v>
      </c>
      <c r="AI6" s="26">
        <f t="shared" si="3"/>
        <v>0</v>
      </c>
      <c r="AJ6" s="26">
        <f t="shared" si="3"/>
        <v>0</v>
      </c>
      <c r="AK6" s="26">
        <f t="shared" si="3"/>
        <v>0</v>
      </c>
      <c r="AL6" s="26">
        <f t="shared" si="3"/>
        <v>0</v>
      </c>
      <c r="AM6" s="26">
        <f t="shared" si="3"/>
        <v>0</v>
      </c>
      <c r="AN6" s="26">
        <f t="shared" si="3"/>
        <v>14647.15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72299.64</v>
      </c>
      <c r="AZ6" s="26" t="s">
        <v>3</v>
      </c>
      <c r="BA6" s="26">
        <f>ROUND($AY$6*BA5/$AZ$5,2)</f>
        <v>56095.23</v>
      </c>
      <c r="BB6" s="26">
        <f>ROUND($AY$6*BB5/$AZ$5,2)</f>
        <v>54365.67</v>
      </c>
      <c r="BC6" s="26">
        <f t="shared" ref="BC6:BH6" si="4">ROUND($AY$6*BC5/$AZ$5,2)</f>
        <v>1729.57</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16204.41</v>
      </c>
      <c r="BM6" s="26">
        <f t="shared" si="5"/>
        <v>1276.76</v>
      </c>
      <c r="BN6" s="26">
        <f t="shared" si="5"/>
        <v>280.5</v>
      </c>
      <c r="BO6" s="26">
        <f t="shared" si="5"/>
        <v>0</v>
      </c>
      <c r="BP6" s="26">
        <f t="shared" si="5"/>
        <v>0</v>
      </c>
      <c r="BQ6" s="26">
        <f t="shared" si="5"/>
        <v>0</v>
      </c>
      <c r="BR6" s="26">
        <f t="shared" si="5"/>
        <v>14647.15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3"/>
      <c r="AT8" s="2324" t="s">
        <v>850</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0" t="s">
        <v>2975</v>
      </c>
      <c r="J9" s="50"/>
      <c r="K9" s="3040" t="s">
        <v>2977</v>
      </c>
      <c r="L9" s="50"/>
      <c r="M9" s="3040"/>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5"/>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0" t="s">
        <v>918</v>
      </c>
      <c r="J10" s="50"/>
      <c r="K10" s="3042" t="s">
        <v>2976</v>
      </c>
      <c r="L10" s="50"/>
      <c r="M10" s="3042"/>
      <c r="N10" s="50"/>
      <c r="O10" s="65"/>
      <c r="P10" s="50"/>
      <c r="Q10" s="65"/>
      <c r="R10" s="50"/>
      <c r="S10" s="65"/>
      <c r="T10" s="50"/>
      <c r="U10" s="65"/>
      <c r="V10" s="50"/>
      <c r="W10" s="65"/>
      <c r="X10" s="50"/>
      <c r="Y10" s="65"/>
      <c r="Z10" s="50"/>
      <c r="AA10" s="65"/>
      <c r="AB10" s="50"/>
      <c r="AC10" s="54"/>
      <c r="AD10" s="2310" t="s">
        <v>2315</v>
      </c>
      <c r="AE10" s="2332"/>
      <c r="AF10" s="2310" t="s">
        <v>2315</v>
      </c>
      <c r="AG10" s="2332"/>
      <c r="AH10" s="2310" t="s">
        <v>2316</v>
      </c>
      <c r="AI10" s="2332"/>
      <c r="AJ10" s="25" t="s">
        <v>2329</v>
      </c>
      <c r="AK10" s="2329"/>
      <c r="AL10" s="2310" t="s">
        <v>2317</v>
      </c>
      <c r="AM10" s="2311"/>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地下</v>
      </c>
      <c r="BD10" s="68">
        <f>M9</f>
        <v>0</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0" t="s">
        <v>2328</v>
      </c>
      <c r="AE11" s="999"/>
      <c r="AF11" s="2330" t="s">
        <v>2328</v>
      </c>
      <c r="AG11" s="999"/>
      <c r="AH11" s="2330" t="s">
        <v>2327</v>
      </c>
      <c r="AI11" s="2331"/>
      <c r="AJ11" s="2330" t="s">
        <v>2327</v>
      </c>
      <c r="AK11" s="2329"/>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3035"/>
      <c r="B13" s="3035"/>
      <c r="C13" s="3035"/>
      <c r="D13" s="3036" t="s">
        <v>1674</v>
      </c>
      <c r="E13" s="26">
        <f t="shared" ref="E13:E20" si="6">IF($C$3="是",ROUND($A$3*G13/$B$3,2),ROUND($A$3*(G13-AT13)/$B$3,2))</f>
        <v>72299.64</v>
      </c>
      <c r="F13" s="80"/>
      <c r="G13" s="81">
        <f t="shared" ref="G13:G20" si="7">H13+AC13+AT13</f>
        <v>320965.16000000003</v>
      </c>
      <c r="H13" s="32">
        <f t="shared" ref="H13:H20" si="8">SUMIF(I$12:AB$12,"总值",I13:AB13)</f>
        <v>249027.74000000002</v>
      </c>
      <c r="I13" s="3039">
        <f>面积表!K9</f>
        <v>241349.54</v>
      </c>
      <c r="J13" s="3039"/>
      <c r="K13" s="3039">
        <f>面积表!O9</f>
        <v>7678.2</v>
      </c>
      <c r="L13" s="3039"/>
      <c r="M13" s="3039"/>
      <c r="N13" s="82"/>
      <c r="O13" s="82"/>
      <c r="P13" s="82"/>
      <c r="Q13" s="82"/>
      <c r="R13" s="82"/>
      <c r="S13" s="82"/>
      <c r="T13" s="82"/>
      <c r="U13" s="82"/>
      <c r="V13" s="82"/>
      <c r="W13" s="82"/>
      <c r="X13" s="82"/>
      <c r="Y13" s="82"/>
      <c r="Z13" s="82"/>
      <c r="AA13" s="82"/>
      <c r="AB13" s="82"/>
      <c r="AC13" s="26">
        <f t="shared" ref="AC13:AC20" si="9">SUMIF(AD$12:AS$12,"总值",AD13:AS13)</f>
        <v>71937.42</v>
      </c>
      <c r="AD13" s="3043">
        <f>面积表!M9</f>
        <v>5668.01</v>
      </c>
      <c r="AE13" s="3043"/>
      <c r="AF13" s="3235">
        <f>面积表!Q9</f>
        <v>1245.2499999999918</v>
      </c>
      <c r="AG13" s="3043"/>
      <c r="AH13" s="3043"/>
      <c r="AI13" s="3043"/>
      <c r="AJ13" s="3043"/>
      <c r="AK13" s="3043"/>
      <c r="AL13" s="3043"/>
      <c r="AM13" s="3043"/>
      <c r="AN13" s="3043">
        <f>面积表!S9</f>
        <v>65024.160000000003</v>
      </c>
      <c r="AO13" s="3043"/>
      <c r="AP13" s="3043"/>
      <c r="AQ13" s="3043"/>
      <c r="AR13" s="3043"/>
      <c r="AS13" s="3043"/>
      <c r="AT13" s="3044"/>
      <c r="AU13" s="3045"/>
      <c r="AV13" s="17">
        <f t="shared" ref="AV13:AX20" si="10">A13</f>
        <v>0</v>
      </c>
      <c r="AW13" s="17">
        <f t="shared" si="10"/>
        <v>0</v>
      </c>
      <c r="AX13" s="17">
        <f t="shared" si="10"/>
        <v>0</v>
      </c>
      <c r="AY13" s="993">
        <f t="shared" ref="AY13:AY20" si="11">ROUND($AY$6*AZ13/$AZ$5,2)</f>
        <v>72299.64</v>
      </c>
      <c r="AZ13" s="26">
        <f t="shared" ref="AZ13:AZ20" si="12">BA13+BL13</f>
        <v>320965.16000000003</v>
      </c>
      <c r="BA13" s="26">
        <f t="shared" ref="BA13:BA20" si="13">SUM(BB13:BK13)</f>
        <v>249027.74000000002</v>
      </c>
      <c r="BB13" s="26">
        <f t="shared" ref="BB13:BB20" si="14">IF($D13="是",I13-J13,0)</f>
        <v>241349.54</v>
      </c>
      <c r="BC13" s="26">
        <f t="shared" ref="BC13:BC20" si="15">IF($D13="是",K13-L13,0)</f>
        <v>7678.2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71937.42</v>
      </c>
      <c r="BM13" s="26">
        <f t="shared" ref="BM13:BM20" si="25">IF($D13="是",AD13-AE13,0)</f>
        <v>5668.01</v>
      </c>
      <c r="BN13" s="26">
        <f t="shared" ref="BN13:BN20" si="26">IF($D13="是",AF13-AG13,0)</f>
        <v>1245.2499999999918</v>
      </c>
      <c r="BO13" s="26">
        <f t="shared" ref="BO13:BO20" si="27">IF($D13="是",AH13-AI13,0)</f>
        <v>0</v>
      </c>
      <c r="BP13" s="26">
        <f t="shared" ref="BP13:BP20" si="28">IF($D13="是",AJ13-AK13,0)</f>
        <v>0</v>
      </c>
      <c r="BQ13" s="26">
        <f t="shared" ref="BQ13:BQ20" si="29">IF($D13="是",AL13-AM13,0)</f>
        <v>0</v>
      </c>
      <c r="BR13" s="26">
        <f t="shared" ref="BR13:BR20" si="30">IF($D13="是",AN13-AO13,0)</f>
        <v>65024.160000000003</v>
      </c>
      <c r="BS13" s="26">
        <f t="shared" ref="BS13:BS20" si="31">IF($D13="是",AP13-AQ13,0)</f>
        <v>0</v>
      </c>
      <c r="BT13" s="35">
        <f t="shared" ref="BT13:BT20" si="32">IF($D13="是",AR13-AS13,0)</f>
        <v>0</v>
      </c>
    </row>
    <row r="14" spans="1:72" s="18"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1"/>
      <c r="J18" s="90"/>
      <c r="K18" s="1391"/>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1361"/>
      <c r="AM18" s="91"/>
      <c r="AN18" s="1391"/>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1"/>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1"/>
      <c r="N22" s="90"/>
      <c r="O22" s="90"/>
      <c r="P22" s="90"/>
      <c r="Q22" s="90"/>
      <c r="R22" s="90"/>
      <c r="S22" s="90"/>
      <c r="T22" s="90"/>
      <c r="U22" s="90"/>
      <c r="V22" s="90"/>
      <c r="W22" s="90"/>
      <c r="X22" s="90"/>
      <c r="Y22" s="90"/>
      <c r="Z22" s="90"/>
      <c r="AA22" s="90"/>
      <c r="AB22" s="90"/>
      <c r="AC22" s="86">
        <f t="shared" si="36"/>
        <v>0</v>
      </c>
      <c r="AD22" s="1361"/>
      <c r="AE22" s="91"/>
      <c r="AF22" s="1394"/>
      <c r="AG22" s="91"/>
      <c r="AH22" s="91"/>
      <c r="AI22" s="91"/>
      <c r="AJ22" s="91"/>
      <c r="AK22" s="91"/>
      <c r="AL22" s="1361"/>
      <c r="AM22" s="91"/>
      <c r="AN22" s="1361"/>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1"/>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1"/>
      <c r="AM23" s="91"/>
      <c r="AN23" s="1361"/>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1"/>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1"/>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1"/>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4"/>
      <c r="AG114" s="91"/>
      <c r="AH114" s="91"/>
      <c r="AI114" s="91"/>
      <c r="AJ114" s="91"/>
      <c r="AK114" s="91"/>
      <c r="AL114" s="1361"/>
      <c r="AM114" s="91"/>
      <c r="AN114" s="1361"/>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1"/>
      <c r="AM115" s="91"/>
      <c r="AN115" s="1361"/>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1"/>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1"/>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4"/>
      <c r="AG206" s="91"/>
      <c r="AH206" s="91"/>
      <c r="AI206" s="91"/>
      <c r="AJ206" s="91"/>
      <c r="AK206" s="91"/>
      <c r="AL206" s="1361"/>
      <c r="AM206" s="91"/>
      <c r="AN206" s="1361"/>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1"/>
      <c r="AM207" s="91"/>
      <c r="AN207" s="1361"/>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1"/>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1"/>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4"/>
      <c r="AG298" s="91"/>
      <c r="AH298" s="91"/>
      <c r="AI298" s="91"/>
      <c r="AJ298" s="91"/>
      <c r="AK298" s="91"/>
      <c r="AL298" s="1361"/>
      <c r="AM298" s="91"/>
      <c r="AN298" s="1361"/>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1"/>
      <c r="AM299" s="91"/>
      <c r="AN299" s="1361"/>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1"/>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1"/>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4"/>
      <c r="AG390" s="91"/>
      <c r="AH390" s="91"/>
      <c r="AI390" s="91"/>
      <c r="AJ390" s="91"/>
      <c r="AK390" s="91"/>
      <c r="AL390" s="1361"/>
      <c r="AM390" s="91"/>
      <c r="AN390" s="1361"/>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1"/>
      <c r="AM391" s="91"/>
      <c r="AN391" s="1361"/>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1"/>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4"/>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
  <sheetViews>
    <sheetView topLeftCell="J7" workbookViewId="0">
      <selection activeCell="S9" sqref="S9"/>
    </sheetView>
  </sheetViews>
  <sheetFormatPr defaultRowHeight="13.5"/>
  <cols>
    <col min="1" max="1" width="8.5" style="3183" customWidth="1"/>
    <col min="2" max="2" width="34.75" style="3183" customWidth="1"/>
    <col min="3" max="3" width="15.75" style="3183" customWidth="1"/>
    <col min="4" max="4" width="10.5" style="3183" customWidth="1"/>
    <col min="5" max="5" width="16.5" style="3183" customWidth="1"/>
    <col min="6" max="7" width="13" style="3183" customWidth="1"/>
    <col min="8" max="8" width="12.875" style="3183" customWidth="1"/>
    <col min="9" max="9" width="15" style="3183" customWidth="1"/>
    <col min="10" max="11" width="11.625" style="3183" customWidth="1"/>
    <col min="12" max="12" width="8.125" style="3183" customWidth="1"/>
    <col min="13" max="13" width="11.5" style="3183" customWidth="1"/>
    <col min="14" max="15" width="9.625" style="3183" customWidth="1"/>
    <col min="16" max="16" width="15.75" style="3183" customWidth="1"/>
    <col min="17" max="17" width="14.25" style="3183" customWidth="1"/>
    <col min="18" max="18" width="25" style="3186" customWidth="1"/>
    <col min="19" max="19" width="13.5" style="3186" customWidth="1"/>
    <col min="20" max="28" width="9" style="3186"/>
    <col min="29" max="16384" width="9" style="3183"/>
  </cols>
  <sheetData>
    <row r="1" spans="1:28" s="3215" customFormat="1" ht="20.100000000000001" hidden="1" customHeight="1">
      <c r="A1" s="3312"/>
      <c r="B1" s="3309" t="s">
        <v>3426</v>
      </c>
      <c r="C1" s="3313" t="s">
        <v>3427</v>
      </c>
      <c r="D1" s="3315"/>
      <c r="E1" s="3309" t="s">
        <v>3428</v>
      </c>
      <c r="F1" s="3309" t="s">
        <v>3429</v>
      </c>
      <c r="G1" s="3317" t="s">
        <v>3430</v>
      </c>
      <c r="H1" s="3309" t="s">
        <v>3431</v>
      </c>
      <c r="I1" s="3309" t="s">
        <v>3430</v>
      </c>
      <c r="J1" s="3309" t="s">
        <v>3432</v>
      </c>
      <c r="K1" s="3309"/>
      <c r="L1" s="3309"/>
      <c r="M1" s="3309"/>
      <c r="N1" s="3309"/>
      <c r="O1" s="3214"/>
      <c r="P1" s="3309" t="s">
        <v>3433</v>
      </c>
      <c r="Q1" s="3309"/>
      <c r="R1" s="3309"/>
      <c r="S1" s="3190"/>
      <c r="T1" s="3190"/>
      <c r="U1" s="3190"/>
      <c r="V1" s="3190"/>
      <c r="W1" s="3190"/>
      <c r="X1" s="3190"/>
      <c r="Y1" s="3190"/>
      <c r="Z1" s="3190"/>
      <c r="AA1" s="3190"/>
      <c r="AB1" s="3190"/>
    </row>
    <row r="2" spans="1:28" s="3215" customFormat="1" ht="20.100000000000001" hidden="1" customHeight="1">
      <c r="A2" s="3312"/>
      <c r="B2" s="3309"/>
      <c r="C2" s="3314"/>
      <c r="D2" s="3316"/>
      <c r="E2" s="3309"/>
      <c r="F2" s="3309"/>
      <c r="G2" s="3318"/>
      <c r="H2" s="3309"/>
      <c r="I2" s="3309"/>
      <c r="J2" s="3214" t="s">
        <v>3434</v>
      </c>
      <c r="K2" s="3214"/>
      <c r="L2" s="3214" t="s">
        <v>3435</v>
      </c>
      <c r="M2" s="3214"/>
      <c r="N2" s="3214" t="s">
        <v>3436</v>
      </c>
      <c r="O2" s="3214"/>
      <c r="P2" s="3191" t="s">
        <v>3437</v>
      </c>
      <c r="Q2" s="3191"/>
      <c r="R2" s="3214" t="s">
        <v>3438</v>
      </c>
      <c r="S2" s="3190"/>
      <c r="T2" s="3190"/>
      <c r="U2" s="3190"/>
      <c r="V2" s="3190"/>
      <c r="W2" s="3190"/>
      <c r="X2" s="3190"/>
      <c r="Y2" s="3190"/>
      <c r="Z2" s="3190"/>
      <c r="AA2" s="3190"/>
      <c r="AB2" s="3190"/>
    </row>
    <row r="3" spans="1:28" s="3185" customFormat="1" ht="20.100000000000001" hidden="1" customHeight="1">
      <c r="A3" s="3184" t="s">
        <v>3439</v>
      </c>
      <c r="B3" s="3184" t="s">
        <v>3440</v>
      </c>
      <c r="C3" s="3184">
        <v>16366.67</v>
      </c>
      <c r="D3" s="3184"/>
      <c r="E3" s="3184" t="s">
        <v>3441</v>
      </c>
      <c r="F3" s="3184">
        <v>6</v>
      </c>
      <c r="G3" s="3228">
        <f>ROUND(G6-G4-G5,2)</f>
        <v>-128198.82</v>
      </c>
      <c r="H3" s="3184">
        <v>228303</v>
      </c>
      <c r="I3" s="3184">
        <f>J3+L3+N3+P3</f>
        <v>174119</v>
      </c>
      <c r="J3" s="3184">
        <v>153114</v>
      </c>
      <c r="K3" s="3184"/>
      <c r="L3" s="3184">
        <v>0</v>
      </c>
      <c r="M3" s="3184"/>
      <c r="N3" s="3184">
        <v>20000</v>
      </c>
      <c r="O3" s="3184"/>
      <c r="P3" s="3184">
        <v>1005</v>
      </c>
      <c r="Q3" s="3184"/>
      <c r="R3" s="3185">
        <f>H3-I3</f>
        <v>54184</v>
      </c>
      <c r="S3" s="3186">
        <f>ROUND(R3/I3,2)</f>
        <v>0.31</v>
      </c>
      <c r="T3" s="3186"/>
      <c r="U3" s="3186"/>
      <c r="V3" s="3186"/>
      <c r="W3" s="3186"/>
      <c r="X3" s="3186"/>
      <c r="Y3" s="3186"/>
      <c r="Z3" s="3186"/>
      <c r="AA3" s="3186"/>
      <c r="AB3" s="3186"/>
    </row>
    <row r="4" spans="1:28" s="3188" customFormat="1" ht="20.100000000000001" hidden="1" customHeight="1">
      <c r="A4" s="3187" t="s">
        <v>3442</v>
      </c>
      <c r="B4" s="3187" t="s">
        <v>3443</v>
      </c>
      <c r="C4" s="3188">
        <v>14325.93</v>
      </c>
      <c r="E4" s="3187" t="s">
        <v>3441</v>
      </c>
      <c r="F4" s="3188">
        <v>6</v>
      </c>
      <c r="G4" s="3206">
        <f t="shared" ref="G4:G5" si="0">C4*F4</f>
        <v>85955.58</v>
      </c>
      <c r="H4" s="3188">
        <v>363169</v>
      </c>
      <c r="I4" s="3184">
        <f t="shared" ref="I4:I5" si="1">J4+L4+N4+P4</f>
        <v>273598</v>
      </c>
      <c r="J4" s="3188">
        <v>181812.5</v>
      </c>
      <c r="K4" s="3184"/>
      <c r="L4" s="3188">
        <v>75200</v>
      </c>
      <c r="N4" s="3188">
        <v>15000</v>
      </c>
      <c r="P4" s="3188">
        <v>1585.5</v>
      </c>
      <c r="R4" s="3188">
        <f>H4-I4</f>
        <v>89571</v>
      </c>
      <c r="S4" s="3186">
        <f t="shared" ref="S4:S5" si="2">ROUND(R4/I4,2)</f>
        <v>0.33</v>
      </c>
      <c r="T4" s="3186"/>
      <c r="U4" s="3186"/>
      <c r="V4" s="3186"/>
      <c r="W4" s="3186"/>
      <c r="X4" s="3186"/>
      <c r="Y4" s="3186"/>
      <c r="Z4" s="3186"/>
      <c r="AA4" s="3186"/>
      <c r="AB4" s="3186"/>
    </row>
    <row r="5" spans="1:28" s="3188" customFormat="1" ht="20.100000000000001" hidden="1" customHeight="1">
      <c r="A5" s="3187" t="s">
        <v>3475</v>
      </c>
      <c r="B5" s="3187" t="s">
        <v>3476</v>
      </c>
      <c r="C5" s="3204">
        <v>7040.54</v>
      </c>
      <c r="E5" s="3187" t="s">
        <v>3477</v>
      </c>
      <c r="F5" s="3188">
        <v>6</v>
      </c>
      <c r="G5" s="3206">
        <f t="shared" si="0"/>
        <v>42243.24</v>
      </c>
      <c r="H5" s="3188">
        <v>76473</v>
      </c>
      <c r="I5" s="3184">
        <f t="shared" si="1"/>
        <v>58442</v>
      </c>
      <c r="J5" s="3188">
        <v>40165</v>
      </c>
      <c r="K5" s="3184"/>
      <c r="L5" s="3188">
        <v>0</v>
      </c>
      <c r="N5" s="3188">
        <v>17941</v>
      </c>
      <c r="P5" s="3188">
        <v>336</v>
      </c>
      <c r="R5" s="3188">
        <f>H5-I5</f>
        <v>18031</v>
      </c>
      <c r="S5" s="3186">
        <f t="shared" si="2"/>
        <v>0.31</v>
      </c>
      <c r="T5" s="3186"/>
      <c r="U5" s="3186"/>
      <c r="V5" s="3186"/>
      <c r="W5" s="3186"/>
      <c r="X5" s="3186"/>
      <c r="Y5" s="3186"/>
      <c r="Z5" s="3186"/>
      <c r="AA5" s="3186"/>
      <c r="AB5" s="3186"/>
    </row>
    <row r="6" spans="1:28" s="3189" customFormat="1" ht="20.100000000000001" hidden="1" customHeight="1">
      <c r="A6" s="3310" t="s">
        <v>3478</v>
      </c>
      <c r="B6" s="3311"/>
      <c r="C6" s="3205">
        <f>C3+C4+C5</f>
        <v>37733.14</v>
      </c>
      <c r="F6" s="3189">
        <f>ROUND(G6/C6,2)</f>
        <v>0</v>
      </c>
      <c r="G6" s="3207">
        <f>G16-G15</f>
        <v>0</v>
      </c>
      <c r="H6" s="3189">
        <f>SUM(H3:H5)</f>
        <v>667945</v>
      </c>
      <c r="I6" s="3189">
        <f t="shared" ref="I6:J6" si="3">SUM(I3:I5)</f>
        <v>506159</v>
      </c>
      <c r="J6" s="3189">
        <f t="shared" si="3"/>
        <v>375091.5</v>
      </c>
      <c r="K6" s="3207">
        <f>ROUND(J6/I6*G6,2)</f>
        <v>0</v>
      </c>
      <c r="L6" s="3189">
        <f>L3+L4+L5</f>
        <v>75200</v>
      </c>
      <c r="M6" s="3207">
        <f>ROUND(L6/I6*G6,2)</f>
        <v>0</v>
      </c>
      <c r="N6" s="3189">
        <f>N3+N4+N5</f>
        <v>52941</v>
      </c>
      <c r="O6" s="3207">
        <f>ROUND(N6/I6*G6,2)</f>
        <v>0</v>
      </c>
      <c r="P6" s="3189">
        <f>P3+P4+P5</f>
        <v>2926.5</v>
      </c>
      <c r="Q6" s="3207">
        <f>G6-K6-M6-O6</f>
        <v>0</v>
      </c>
      <c r="R6" s="3189">
        <f>R3+R4+R5</f>
        <v>161786</v>
      </c>
      <c r="S6" s="3207">
        <f>ROUND(R6/I6*G6,2)</f>
        <v>0</v>
      </c>
    </row>
    <row r="7" spans="1:28" s="3215" customFormat="1" ht="20.100000000000001" customHeight="1">
      <c r="A7" s="3312"/>
      <c r="B7" s="3309" t="s">
        <v>3479</v>
      </c>
      <c r="C7" s="3309" t="s">
        <v>3480</v>
      </c>
      <c r="D7" s="3214"/>
      <c r="E7" s="3309" t="s">
        <v>3481</v>
      </c>
      <c r="F7" s="3309" t="s">
        <v>3482</v>
      </c>
      <c r="G7" s="3317" t="s">
        <v>3483</v>
      </c>
      <c r="H7" s="3309" t="s">
        <v>3484</v>
      </c>
      <c r="I7" s="3309" t="s">
        <v>3483</v>
      </c>
      <c r="J7" s="3309" t="s">
        <v>3485</v>
      </c>
      <c r="K7" s="3309"/>
      <c r="L7" s="3309"/>
      <c r="M7" s="3309"/>
      <c r="N7" s="3309"/>
      <c r="O7" s="3214"/>
      <c r="P7" s="3309" t="s">
        <v>3486</v>
      </c>
      <c r="Q7" s="3309"/>
      <c r="R7" s="3309"/>
      <c r="S7" s="3190"/>
      <c r="T7" s="3190"/>
      <c r="U7" s="3190"/>
      <c r="V7" s="3190"/>
      <c r="W7" s="3190"/>
      <c r="X7" s="3190"/>
      <c r="Y7" s="3190"/>
      <c r="Z7" s="3190"/>
      <c r="AA7" s="3190"/>
      <c r="AB7" s="3190"/>
    </row>
    <row r="8" spans="1:28" s="3193" customFormat="1" ht="32.25" customHeight="1">
      <c r="A8" s="3312"/>
      <c r="B8" s="3309"/>
      <c r="C8" s="3309"/>
      <c r="D8" s="3214"/>
      <c r="E8" s="3309"/>
      <c r="F8" s="3309"/>
      <c r="G8" s="3318"/>
      <c r="H8" s="3309"/>
      <c r="I8" s="3309"/>
      <c r="J8" s="3191" t="s">
        <v>3487</v>
      </c>
      <c r="K8" s="3191"/>
      <c r="L8" s="3191" t="s">
        <v>3488</v>
      </c>
      <c r="M8" s="3191"/>
      <c r="N8" s="3191" t="s">
        <v>3489</v>
      </c>
      <c r="O8" s="3191" t="s">
        <v>3490</v>
      </c>
      <c r="P8" s="3191" t="s">
        <v>3491</v>
      </c>
      <c r="Q8" s="3191" t="s">
        <v>3492</v>
      </c>
      <c r="R8" s="3191" t="s">
        <v>3493</v>
      </c>
      <c r="S8" s="3191" t="s">
        <v>3494</v>
      </c>
      <c r="T8" s="3192"/>
      <c r="U8" s="3192"/>
      <c r="V8" s="3192"/>
      <c r="W8" s="3192"/>
      <c r="X8" s="3192"/>
      <c r="Y8" s="3192"/>
      <c r="Z8" s="3192"/>
      <c r="AA8" s="3192"/>
      <c r="AB8" s="3192"/>
    </row>
    <row r="9" spans="1:28" s="3185" customFormat="1" ht="20.100000000000001" customHeight="1">
      <c r="A9" s="3184" t="s">
        <v>3545</v>
      </c>
      <c r="B9" s="3184" t="s">
        <v>3512</v>
      </c>
      <c r="C9" s="3185">
        <f>'数据-基础表'!A3</f>
        <v>72299.64</v>
      </c>
      <c r="E9" s="3184" t="s">
        <v>3497</v>
      </c>
      <c r="F9" s="3185">
        <v>3.54</v>
      </c>
      <c r="G9" s="3206">
        <f>ROUND(C9*F9,0)</f>
        <v>255941</v>
      </c>
      <c r="H9" s="3185">
        <v>377865.84</v>
      </c>
      <c r="I9" s="3185">
        <f>J9+L9+N9+P9</f>
        <v>301314.2</v>
      </c>
      <c r="J9" s="3185">
        <v>284135.96999999997</v>
      </c>
      <c r="K9" s="3233">
        <f>ROUND(J9/I9*G9,2)</f>
        <v>241349.54</v>
      </c>
      <c r="L9" s="3185">
        <v>6672.84</v>
      </c>
      <c r="M9" s="3233">
        <f>ROUND(L9/I9*G9,2)</f>
        <v>5668.01</v>
      </c>
      <c r="N9" s="3185">
        <v>9039.39</v>
      </c>
      <c r="O9" s="3233">
        <f>ROUND(N9/I9*G9,2)</f>
        <v>7678.2</v>
      </c>
      <c r="P9" s="3185">
        <v>1466</v>
      </c>
      <c r="Q9" s="3233">
        <f>G9-K9-M9-O9</f>
        <v>1245.2499999999918</v>
      </c>
      <c r="R9" s="3185">
        <f>H9-I9</f>
        <v>76551.640000000014</v>
      </c>
      <c r="S9" s="3233">
        <f>ROUND(R9/I9*G9,2)</f>
        <v>65024.160000000003</v>
      </c>
    </row>
    <row r="10" spans="1:28" s="3185" customFormat="1" ht="20.100000000000001" customHeight="1">
      <c r="A10" s="3184"/>
      <c r="B10" s="3184"/>
      <c r="E10" s="3184"/>
      <c r="G10" s="3206"/>
    </row>
    <row r="11" spans="1:28" s="3185" customFormat="1" ht="20.100000000000001" customHeight="1">
      <c r="A11" s="3184"/>
      <c r="B11" s="3184"/>
      <c r="E11" s="3184"/>
      <c r="G11" s="3206"/>
    </row>
    <row r="12" spans="1:28" s="3185" customFormat="1" ht="20.100000000000001" customHeight="1">
      <c r="A12" s="3184"/>
      <c r="B12" s="3184"/>
      <c r="E12" s="3184"/>
      <c r="G12" s="3206"/>
    </row>
    <row r="13" spans="1:28" s="3185" customFormat="1" ht="20.100000000000001" customHeight="1">
      <c r="A13" s="3184"/>
      <c r="B13" s="3184"/>
      <c r="E13" s="3184"/>
      <c r="G13" s="3206"/>
    </row>
    <row r="14" spans="1:28" s="3185" customFormat="1" ht="20.100000000000001" customHeight="1">
      <c r="A14" s="3184"/>
      <c r="B14" s="3184"/>
      <c r="E14" s="3184"/>
      <c r="G14" s="3206"/>
    </row>
    <row r="15" spans="1:28" s="3189" customFormat="1" ht="20.100000000000001" customHeight="1">
      <c r="A15" s="3310"/>
      <c r="B15" s="3311"/>
      <c r="G15" s="3207"/>
      <c r="K15" s="3207"/>
      <c r="M15" s="3207"/>
      <c r="O15" s="3207"/>
      <c r="Q15" s="3207"/>
      <c r="S15" s="3207"/>
    </row>
    <row r="16" spans="1:28" s="3189" customFormat="1" ht="20.100000000000001" customHeight="1">
      <c r="G16" s="3207"/>
    </row>
    <row r="17" spans="1:28" ht="12.75" customHeight="1"/>
    <row r="18" spans="1:28">
      <c r="G18" s="3183">
        <f>G17*0.15</f>
        <v>0</v>
      </c>
      <c r="N18" s="3183">
        <f>N10+P10</f>
        <v>0</v>
      </c>
      <c r="P18" s="3183" t="e">
        <f>N18/I10</f>
        <v>#DIV/0!</v>
      </c>
    </row>
    <row r="19" spans="1:28" s="3215" customFormat="1" ht="20.100000000000001" hidden="1" customHeight="1">
      <c r="A19" s="3312"/>
      <c r="B19" s="3309" t="s">
        <v>3426</v>
      </c>
      <c r="C19" s="3313" t="s">
        <v>3427</v>
      </c>
      <c r="D19" s="3315"/>
      <c r="E19" s="3309" t="s">
        <v>3428</v>
      </c>
      <c r="F19" s="3309" t="s">
        <v>3429</v>
      </c>
      <c r="G19" s="3214"/>
      <c r="H19" s="3309" t="s">
        <v>3431</v>
      </c>
      <c r="I19" s="3309" t="s">
        <v>3430</v>
      </c>
      <c r="J19" s="3309" t="s">
        <v>3432</v>
      </c>
      <c r="K19" s="3309"/>
      <c r="L19" s="3309"/>
      <c r="M19" s="3309"/>
      <c r="N19" s="3309"/>
      <c r="O19" s="3214"/>
      <c r="P19" s="3309" t="s">
        <v>3433</v>
      </c>
      <c r="Q19" s="3309"/>
      <c r="R19" s="3309"/>
      <c r="S19" s="3190"/>
      <c r="T19" s="3190"/>
      <c r="U19" s="3190"/>
      <c r="V19" s="3190"/>
      <c r="W19" s="3190"/>
      <c r="X19" s="3190"/>
      <c r="Y19" s="3190"/>
      <c r="Z19" s="3190"/>
      <c r="AA19" s="3190"/>
      <c r="AB19" s="3190"/>
    </row>
    <row r="20" spans="1:28" s="3215" customFormat="1" ht="20.100000000000001" hidden="1" customHeight="1">
      <c r="A20" s="3312"/>
      <c r="B20" s="3309"/>
      <c r="C20" s="3314"/>
      <c r="D20" s="3316"/>
      <c r="E20" s="3309"/>
      <c r="F20" s="3309"/>
      <c r="G20" s="3214"/>
      <c r="H20" s="3309"/>
      <c r="I20" s="3309"/>
      <c r="J20" s="3214" t="s">
        <v>3434</v>
      </c>
      <c r="K20" s="3214"/>
      <c r="L20" s="3214" t="s">
        <v>3435</v>
      </c>
      <c r="M20" s="3214"/>
      <c r="N20" s="3214" t="s">
        <v>3436</v>
      </c>
      <c r="O20" s="3214"/>
      <c r="P20" s="3191" t="s">
        <v>3437</v>
      </c>
      <c r="Q20" s="3191"/>
      <c r="R20" s="3214" t="s">
        <v>3438</v>
      </c>
      <c r="S20" s="3190"/>
      <c r="T20" s="3190"/>
      <c r="U20" s="3190"/>
      <c r="V20" s="3190"/>
      <c r="W20" s="3190"/>
      <c r="X20" s="3190"/>
      <c r="Y20" s="3190"/>
      <c r="Z20" s="3190"/>
      <c r="AA20" s="3190"/>
      <c r="AB20" s="3190"/>
    </row>
    <row r="21" spans="1:28" s="3185" customFormat="1" ht="20.100000000000001" hidden="1" customHeight="1">
      <c r="A21" s="3184" t="s">
        <v>3439</v>
      </c>
      <c r="B21" s="3184" t="s">
        <v>3440</v>
      </c>
      <c r="C21" s="3184">
        <v>16366.67</v>
      </c>
      <c r="D21" s="3184"/>
      <c r="E21" s="3184" t="s">
        <v>3441</v>
      </c>
      <c r="F21" s="3184">
        <v>9.1</v>
      </c>
      <c r="G21" s="3184"/>
      <c r="H21" s="3184">
        <v>228303</v>
      </c>
      <c r="I21" s="3184">
        <f>J21+L21+N21+P21</f>
        <v>174119</v>
      </c>
      <c r="J21" s="3184">
        <v>153114</v>
      </c>
      <c r="K21" s="3184"/>
      <c r="L21" s="3184">
        <v>0</v>
      </c>
      <c r="M21" s="3184"/>
      <c r="N21" s="3184">
        <v>20000</v>
      </c>
      <c r="O21" s="3184"/>
      <c r="P21" s="3184">
        <v>1005</v>
      </c>
      <c r="Q21" s="3184"/>
      <c r="R21" s="3185">
        <f>H21-I21</f>
        <v>54184</v>
      </c>
      <c r="S21" s="3186"/>
      <c r="T21" s="3186"/>
      <c r="U21" s="3186"/>
      <c r="V21" s="3186"/>
      <c r="W21" s="3186"/>
      <c r="X21" s="3186"/>
      <c r="Y21" s="3186"/>
      <c r="Z21" s="3186"/>
      <c r="AA21" s="3186"/>
      <c r="AB21" s="3186"/>
    </row>
    <row r="22" spans="1:28" s="3188" customFormat="1" ht="20.100000000000001" hidden="1" customHeight="1">
      <c r="A22" s="3187" t="s">
        <v>3442</v>
      </c>
      <c r="B22" s="3187" t="s">
        <v>3443</v>
      </c>
      <c r="C22" s="3188">
        <v>14325.93</v>
      </c>
      <c r="E22" s="3187" t="s">
        <v>3441</v>
      </c>
      <c r="F22" s="3188">
        <v>8.77</v>
      </c>
      <c r="H22" s="3188">
        <v>363169</v>
      </c>
      <c r="I22" s="3187">
        <f>J22+L22+N22+P22</f>
        <v>273598</v>
      </c>
      <c r="J22" s="3188">
        <v>181812.5</v>
      </c>
      <c r="L22" s="3188">
        <v>75200</v>
      </c>
      <c r="N22" s="3188">
        <v>15000</v>
      </c>
      <c r="P22" s="3188">
        <v>1585.5</v>
      </c>
      <c r="R22" s="3188">
        <f>H22-I22</f>
        <v>89571</v>
      </c>
      <c r="S22" s="3186"/>
      <c r="T22" s="3186"/>
      <c r="U22" s="3186"/>
      <c r="V22" s="3186"/>
      <c r="W22" s="3186"/>
      <c r="X22" s="3186"/>
      <c r="Y22" s="3186"/>
      <c r="Z22" s="3186"/>
      <c r="AA22" s="3186"/>
      <c r="AB22" s="3186"/>
    </row>
    <row r="23" spans="1:28" s="3189" customFormat="1" ht="20.100000000000001" hidden="1" customHeight="1">
      <c r="A23" s="3310" t="s">
        <v>3446</v>
      </c>
      <c r="B23" s="3311"/>
      <c r="C23" s="3189">
        <f>C21+C22</f>
        <v>30692.6</v>
      </c>
      <c r="E23" s="3189" t="s">
        <v>3473</v>
      </c>
      <c r="F23" s="3189">
        <f>ROUND(I23/C23,2)</f>
        <v>14.59</v>
      </c>
      <c r="H23" s="3189">
        <f t="shared" ref="H23:R23" si="4">H21+H22</f>
        <v>591472</v>
      </c>
      <c r="I23" s="3189">
        <f t="shared" si="4"/>
        <v>447717</v>
      </c>
      <c r="J23" s="3189">
        <f t="shared" si="4"/>
        <v>334926.5</v>
      </c>
      <c r="L23" s="3189">
        <f t="shared" si="4"/>
        <v>75200</v>
      </c>
      <c r="N23" s="3189">
        <f t="shared" si="4"/>
        <v>35000</v>
      </c>
      <c r="P23" s="3189">
        <f t="shared" si="4"/>
        <v>2590.5</v>
      </c>
      <c r="R23" s="3189">
        <f t="shared" si="4"/>
        <v>143755</v>
      </c>
    </row>
    <row r="24" spans="1:28" s="3215" customFormat="1" ht="20.100000000000001" hidden="1" customHeight="1">
      <c r="A24" s="3312"/>
      <c r="B24" s="3309" t="s">
        <v>3479</v>
      </c>
      <c r="C24" s="3309" t="s">
        <v>3480</v>
      </c>
      <c r="D24" s="3214"/>
      <c r="E24" s="3309" t="s">
        <v>3481</v>
      </c>
      <c r="F24" s="3309" t="s">
        <v>3482</v>
      </c>
      <c r="G24" s="3214"/>
      <c r="H24" s="3309" t="s">
        <v>3484</v>
      </c>
      <c r="I24" s="3309" t="s">
        <v>3483</v>
      </c>
      <c r="J24" s="3309" t="s">
        <v>3485</v>
      </c>
      <c r="K24" s="3309"/>
      <c r="L24" s="3309"/>
      <c r="M24" s="3309"/>
      <c r="N24" s="3309"/>
      <c r="O24" s="3214"/>
      <c r="P24" s="3309" t="s">
        <v>3486</v>
      </c>
      <c r="Q24" s="3309"/>
      <c r="R24" s="3309"/>
      <c r="S24" s="3190"/>
      <c r="T24" s="3190"/>
      <c r="U24" s="3190"/>
      <c r="V24" s="3190"/>
      <c r="W24" s="3190"/>
      <c r="X24" s="3190"/>
      <c r="Y24" s="3190"/>
      <c r="Z24" s="3190"/>
      <c r="AA24" s="3190"/>
      <c r="AB24" s="3190"/>
    </row>
    <row r="25" spans="1:28" s="3193" customFormat="1" ht="32.25" hidden="1" customHeight="1">
      <c r="A25" s="3312"/>
      <c r="B25" s="3309"/>
      <c r="C25" s="3309"/>
      <c r="D25" s="3214"/>
      <c r="E25" s="3309"/>
      <c r="F25" s="3309"/>
      <c r="G25" s="3214"/>
      <c r="H25" s="3309"/>
      <c r="I25" s="3309"/>
      <c r="J25" s="3191" t="s">
        <v>3487</v>
      </c>
      <c r="K25" s="3191"/>
      <c r="L25" s="3191" t="s">
        <v>3488</v>
      </c>
      <c r="M25" s="3191"/>
      <c r="N25" s="3191" t="s">
        <v>3489</v>
      </c>
      <c r="O25" s="3191"/>
      <c r="P25" s="3191" t="s">
        <v>3491</v>
      </c>
      <c r="Q25" s="3191"/>
      <c r="R25" s="3191" t="s">
        <v>3493</v>
      </c>
      <c r="S25" s="3192"/>
      <c r="T25" s="3192"/>
      <c r="U25" s="3192"/>
      <c r="V25" s="3192"/>
      <c r="W25" s="3192"/>
      <c r="X25" s="3192"/>
      <c r="Y25" s="3192"/>
      <c r="Z25" s="3192"/>
      <c r="AA25" s="3192"/>
      <c r="AB25" s="3192"/>
    </row>
    <row r="26" spans="1:28" s="3185" customFormat="1" ht="20.100000000000001" hidden="1" customHeight="1">
      <c r="A26" s="3184" t="s">
        <v>3495</v>
      </c>
      <c r="B26" s="3184" t="s">
        <v>3496</v>
      </c>
      <c r="C26" s="3185">
        <v>8130.89</v>
      </c>
      <c r="E26" s="3184" t="s">
        <v>3497</v>
      </c>
      <c r="F26" s="3185">
        <v>3.63</v>
      </c>
      <c r="H26" s="3185">
        <v>96457</v>
      </c>
      <c r="I26" s="3185">
        <f>ROUND(F26*C26,2)</f>
        <v>29515.13</v>
      </c>
      <c r="J26" s="3185">
        <f>ROUND(I26/I9*J9,2)</f>
        <v>27832.44</v>
      </c>
      <c r="L26" s="3185">
        <v>0</v>
      </c>
      <c r="N26" s="3185">
        <f>ROUND(I26/I9*N9,2)</f>
        <v>885.45</v>
      </c>
      <c r="P26" s="3185">
        <f>I26-J26-N26-L26</f>
        <v>797.24000000000228</v>
      </c>
      <c r="R26" s="3185">
        <f>H26-I26</f>
        <v>66941.87</v>
      </c>
    </row>
    <row r="27" spans="1:28" s="3185" customFormat="1" ht="20.100000000000001" hidden="1" customHeight="1">
      <c r="A27" s="3184" t="s">
        <v>3498</v>
      </c>
      <c r="B27" s="3184" t="s">
        <v>3499</v>
      </c>
      <c r="C27" s="3185">
        <v>38188.080000000002</v>
      </c>
      <c r="E27" s="3184" t="s">
        <v>3497</v>
      </c>
      <c r="F27" s="3185">
        <v>3.28</v>
      </c>
      <c r="H27" s="3185">
        <v>191762</v>
      </c>
      <c r="I27" s="3185">
        <f t="shared" ref="I27:I29" si="5">ROUND(F27*C27,2)</f>
        <v>125256.9</v>
      </c>
      <c r="J27" s="3185" t="e">
        <f>ROUND(I27/I10*J10,2)</f>
        <v>#DIV/0!</v>
      </c>
      <c r="L27" s="3185">
        <v>0</v>
      </c>
      <c r="N27" s="3185" t="e">
        <f>ROUND(I27/I10*N10,2)</f>
        <v>#DIV/0!</v>
      </c>
      <c r="P27" s="3185" t="e">
        <f t="shared" ref="P27:P29" si="6">I27-J27-N27-L27</f>
        <v>#DIV/0!</v>
      </c>
      <c r="R27" s="3185">
        <f t="shared" ref="R27:R29" si="7">H27-I27</f>
        <v>66505.100000000006</v>
      </c>
    </row>
    <row r="28" spans="1:28" s="3185" customFormat="1" ht="20.100000000000001" hidden="1" customHeight="1">
      <c r="A28" s="3184" t="s">
        <v>3500</v>
      </c>
      <c r="B28" s="3184" t="s">
        <v>3501</v>
      </c>
      <c r="C28" s="3185">
        <v>66413.67</v>
      </c>
      <c r="E28" s="3184" t="s">
        <v>3497</v>
      </c>
      <c r="F28" s="3185">
        <v>4.37</v>
      </c>
      <c r="H28" s="3185">
        <v>360282</v>
      </c>
      <c r="I28" s="3185">
        <f t="shared" si="5"/>
        <v>290227.74</v>
      </c>
      <c r="J28" s="3185" t="e">
        <f>ROUND(I28/I11*J11,2)</f>
        <v>#DIV/0!</v>
      </c>
      <c r="L28" s="3185">
        <v>0</v>
      </c>
      <c r="N28" s="3185" t="e">
        <f>ROUND(I28/I11*N11,2)</f>
        <v>#DIV/0!</v>
      </c>
      <c r="P28" s="3185" t="e">
        <f t="shared" si="6"/>
        <v>#DIV/0!</v>
      </c>
      <c r="R28" s="3185">
        <f t="shared" si="7"/>
        <v>70054.260000000009</v>
      </c>
    </row>
    <row r="29" spans="1:28" s="3185" customFormat="1" ht="20.100000000000001" hidden="1" customHeight="1">
      <c r="A29" s="3184" t="s">
        <v>3502</v>
      </c>
      <c r="B29" s="3184" t="s">
        <v>3503</v>
      </c>
      <c r="C29" s="3185">
        <v>102426.3</v>
      </c>
      <c r="E29" s="3184" t="s">
        <v>3497</v>
      </c>
      <c r="F29" s="3185">
        <v>4.55</v>
      </c>
      <c r="H29" s="3185">
        <v>613033</v>
      </c>
      <c r="I29" s="3185">
        <f t="shared" si="5"/>
        <v>466039.67</v>
      </c>
      <c r="J29" s="3185" t="e">
        <f>ROUND(I29/I12*J12,2)</f>
        <v>#DIV/0!</v>
      </c>
      <c r="L29" s="3185" t="e">
        <f>ROUND(I29/I12*L12,2)</f>
        <v>#DIV/0!</v>
      </c>
      <c r="N29" s="3185" t="e">
        <f>ROUND(I29/I12*N12,2)</f>
        <v>#DIV/0!</v>
      </c>
      <c r="P29" s="3185" t="e">
        <f t="shared" si="6"/>
        <v>#DIV/0!</v>
      </c>
      <c r="R29" s="3185">
        <f t="shared" si="7"/>
        <v>146993.33000000002</v>
      </c>
    </row>
    <row r="30" spans="1:28" s="3189" customFormat="1" ht="20.100000000000001" hidden="1" customHeight="1">
      <c r="A30" s="3310" t="s">
        <v>3478</v>
      </c>
      <c r="B30" s="3311"/>
      <c r="C30" s="3189">
        <f>C26+C27+C28+C29</f>
        <v>215158.94</v>
      </c>
      <c r="E30" s="3189" t="s">
        <v>3504</v>
      </c>
      <c r="F30" s="3189">
        <f>ROUND(I30/C30,2)</f>
        <v>4.2300000000000004</v>
      </c>
      <c r="H30" s="3189">
        <f t="shared" ref="H30:R30" si="8">H26+H27+H28+H29</f>
        <v>1261534</v>
      </c>
      <c r="I30" s="3189">
        <f t="shared" si="8"/>
        <v>911039.44</v>
      </c>
      <c r="J30" s="3189" t="e">
        <f t="shared" si="8"/>
        <v>#DIV/0!</v>
      </c>
      <c r="L30" s="3189" t="e">
        <f t="shared" si="8"/>
        <v>#DIV/0!</v>
      </c>
      <c r="N30" s="3189" t="e">
        <f t="shared" si="8"/>
        <v>#DIV/0!</v>
      </c>
      <c r="P30" s="3189" t="e">
        <f t="shared" si="8"/>
        <v>#DIV/0!</v>
      </c>
      <c r="R30" s="3189">
        <f t="shared" si="8"/>
        <v>350494.56000000006</v>
      </c>
    </row>
    <row r="31" spans="1:28" s="3189" customFormat="1" ht="20.100000000000001" hidden="1" customHeight="1">
      <c r="C31" s="3189">
        <f>C30+C23</f>
        <v>245851.54</v>
      </c>
      <c r="H31" s="3189">
        <f t="shared" ref="H31:R31" si="9">H30+H23</f>
        <v>1853006</v>
      </c>
      <c r="I31" s="3189">
        <f t="shared" si="9"/>
        <v>1358756.44</v>
      </c>
      <c r="J31" s="3189" t="e">
        <f t="shared" si="9"/>
        <v>#DIV/0!</v>
      </c>
      <c r="L31" s="3189" t="e">
        <f t="shared" si="9"/>
        <v>#DIV/0!</v>
      </c>
      <c r="N31" s="3189" t="e">
        <f t="shared" si="9"/>
        <v>#DIV/0!</v>
      </c>
      <c r="P31" s="3189" t="e">
        <f t="shared" si="9"/>
        <v>#DIV/0!</v>
      </c>
      <c r="R31" s="3189">
        <f t="shared" si="9"/>
        <v>494249.56000000006</v>
      </c>
    </row>
    <row r="32" spans="1:28" hidden="1"/>
    <row r="33" spans="2:16" s="3183" customFormat="1">
      <c r="N33" s="3183">
        <f>N11+P11</f>
        <v>0</v>
      </c>
      <c r="P33" s="3183" t="e">
        <f>N33/I11</f>
        <v>#DIV/0!</v>
      </c>
    </row>
    <row r="36" spans="2:16" s="3183" customFormat="1" ht="16.5">
      <c r="B36" s="3197" t="s">
        <v>3398</v>
      </c>
      <c r="C36" s="3199">
        <v>72299.64</v>
      </c>
      <c r="D36">
        <v>3.75</v>
      </c>
      <c r="E36" s="3200">
        <f>C36*D36</f>
        <v>271123.65000000002</v>
      </c>
    </row>
    <row r="37" spans="2:16" s="3183" customFormat="1" ht="16.5">
      <c r="B37" s="3195" t="s">
        <v>3474</v>
      </c>
      <c r="C37" s="3196">
        <v>23457.47</v>
      </c>
      <c r="D37" s="3201">
        <v>3.75</v>
      </c>
      <c r="E37" s="3200">
        <f t="shared" ref="E37:E53" si="10">C37*D37</f>
        <v>87965.512500000012</v>
      </c>
    </row>
    <row r="38" spans="2:16" s="3183" customFormat="1" ht="16.5">
      <c r="B38" s="3195" t="s">
        <v>3399</v>
      </c>
      <c r="C38" s="3196">
        <v>26441.71</v>
      </c>
      <c r="D38" s="3201">
        <v>3.75</v>
      </c>
      <c r="E38" s="3200">
        <f t="shared" si="10"/>
        <v>99156.412499999991</v>
      </c>
    </row>
    <row r="39" spans="2:16" s="3183" customFormat="1" ht="16.5">
      <c r="B39" s="3195" t="s">
        <v>3401</v>
      </c>
      <c r="C39" s="3196">
        <v>27040.87</v>
      </c>
      <c r="D39" s="3201">
        <v>3.75</v>
      </c>
      <c r="E39" s="3200">
        <f t="shared" si="10"/>
        <v>101403.2625</v>
      </c>
    </row>
    <row r="40" spans="2:16" s="3183" customFormat="1" ht="16.5">
      <c r="B40" s="3195" t="s">
        <v>3400</v>
      </c>
      <c r="C40" s="3196">
        <v>42164.18</v>
      </c>
      <c r="D40" s="3201">
        <v>3.75</v>
      </c>
      <c r="E40" s="3200">
        <f t="shared" si="10"/>
        <v>158115.67499999999</v>
      </c>
    </row>
    <row r="41" spans="2:16" s="3183" customFormat="1" ht="16.5">
      <c r="B41" s="3195" t="s">
        <v>3406</v>
      </c>
      <c r="C41" s="3196">
        <v>7040.54</v>
      </c>
      <c r="D41">
        <v>8.23</v>
      </c>
      <c r="E41" s="3200">
        <f t="shared" si="10"/>
        <v>57943.644200000002</v>
      </c>
    </row>
    <row r="42" spans="2:16" s="3183" customFormat="1" ht="16.5">
      <c r="B42" s="3195" t="s">
        <v>3407</v>
      </c>
      <c r="C42" s="3196">
        <v>16366.67</v>
      </c>
      <c r="D42">
        <v>9.1</v>
      </c>
      <c r="E42" s="3200">
        <f t="shared" si="10"/>
        <v>148936.69699999999</v>
      </c>
    </row>
    <row r="43" spans="2:16" s="3183" customFormat="1" ht="16.5">
      <c r="B43" s="3195" t="s">
        <v>3404</v>
      </c>
      <c r="C43" s="3196">
        <v>3554.21</v>
      </c>
      <c r="D43">
        <v>4.18</v>
      </c>
      <c r="E43" s="3200">
        <f t="shared" si="10"/>
        <v>14856.5978</v>
      </c>
    </row>
    <row r="44" spans="2:16" s="3183" customFormat="1" ht="16.5">
      <c r="B44" s="3195" t="s">
        <v>3405</v>
      </c>
      <c r="C44" s="3196">
        <v>8130.89</v>
      </c>
      <c r="D44">
        <v>3.63</v>
      </c>
      <c r="E44" s="3200">
        <f t="shared" si="10"/>
        <v>29515.130700000002</v>
      </c>
    </row>
    <row r="45" spans="2:16" s="3183" customFormat="1" ht="16.5">
      <c r="B45" s="3195" t="s">
        <v>3408</v>
      </c>
      <c r="C45" s="3196">
        <v>14325.93</v>
      </c>
      <c r="D45">
        <v>8.77</v>
      </c>
      <c r="E45" s="3200">
        <f t="shared" si="10"/>
        <v>125638.40609999999</v>
      </c>
    </row>
    <row r="46" spans="2:16" s="3183" customFormat="1" ht="16.5">
      <c r="B46" s="3195" t="s">
        <v>3409</v>
      </c>
      <c r="C46" s="3196">
        <v>38188.080000000002</v>
      </c>
      <c r="D46">
        <v>3.28</v>
      </c>
      <c r="E46" s="3200">
        <f t="shared" si="10"/>
        <v>125256.90239999999</v>
      </c>
    </row>
    <row r="47" spans="2:16" s="3183" customFormat="1" ht="16.5">
      <c r="B47" s="3195" t="s">
        <v>3402</v>
      </c>
      <c r="C47" s="3196">
        <v>56546.04</v>
      </c>
      <c r="D47">
        <v>3.47</v>
      </c>
      <c r="E47" s="3200">
        <f t="shared" si="10"/>
        <v>196214.75880000001</v>
      </c>
    </row>
    <row r="48" spans="2:16" s="3183" customFormat="1" ht="16.5">
      <c r="B48" s="3195" t="s">
        <v>3410</v>
      </c>
      <c r="C48" s="3196">
        <v>66413.67</v>
      </c>
      <c r="D48">
        <v>4.37</v>
      </c>
      <c r="E48" s="3200">
        <f t="shared" si="10"/>
        <v>290227.73790000001</v>
      </c>
    </row>
    <row r="49" spans="2:8" s="3183" customFormat="1" ht="16.5">
      <c r="B49" s="3195" t="s">
        <v>3403</v>
      </c>
      <c r="C49" s="3196">
        <v>14042.77</v>
      </c>
      <c r="D49" s="3202">
        <v>1.54</v>
      </c>
      <c r="E49" s="3200">
        <f t="shared" si="10"/>
        <v>21625.8658</v>
      </c>
    </row>
    <row r="50" spans="2:8" s="3183" customFormat="1" ht="16.5">
      <c r="B50" s="3195" t="s">
        <v>3411</v>
      </c>
      <c r="C50" s="3196">
        <v>16747.95</v>
      </c>
      <c r="D50">
        <v>3.76</v>
      </c>
      <c r="E50" s="3200">
        <f t="shared" si="10"/>
        <v>62972.292000000001</v>
      </c>
      <c r="F50" s="3212"/>
      <c r="G50" s="3212"/>
      <c r="H50" s="3212"/>
    </row>
    <row r="51" spans="2:8" s="3183" customFormat="1" ht="16.5">
      <c r="B51" s="3195" t="s">
        <v>3412</v>
      </c>
      <c r="C51" s="3196">
        <v>102426.3</v>
      </c>
      <c r="D51">
        <v>4.55</v>
      </c>
      <c r="E51" s="3200">
        <f t="shared" si="10"/>
        <v>466039.66499999998</v>
      </c>
      <c r="H51" s="3194"/>
    </row>
    <row r="52" spans="2:8" s="3183" customFormat="1" ht="16.5">
      <c r="B52" s="3195" t="s">
        <v>3413</v>
      </c>
      <c r="C52" s="3196">
        <v>44776.57</v>
      </c>
      <c r="D52">
        <v>4.84</v>
      </c>
      <c r="E52" s="3200">
        <f t="shared" si="10"/>
        <v>216718.59879999998</v>
      </c>
    </row>
    <row r="53" spans="2:8" s="3183" customFormat="1" ht="16.5">
      <c r="B53" s="3195" t="s">
        <v>3414</v>
      </c>
      <c r="C53" s="3196">
        <v>21904.02</v>
      </c>
      <c r="D53">
        <v>3.68</v>
      </c>
      <c r="E53" s="3200">
        <f t="shared" si="10"/>
        <v>80606.793600000005</v>
      </c>
    </row>
    <row r="54" spans="2:8" s="3183" customFormat="1">
      <c r="B54" s="3198"/>
      <c r="C54" s="3200">
        <f>SUM(C36:C53)</f>
        <v>601867.51</v>
      </c>
      <c r="D54" s="3200"/>
      <c r="E54" s="3200">
        <f t="shared" ref="E54" si="11">SUM(E36:E53)</f>
        <v>2554317.6025999994</v>
      </c>
    </row>
    <row r="55" spans="2:8" s="3183" customFormat="1">
      <c r="B55"/>
      <c r="C55"/>
      <c r="D55"/>
      <c r="E55" s="3200">
        <v>2700000</v>
      </c>
    </row>
    <row r="59" spans="2:8" ht="14.25" thickBot="1"/>
    <row r="60" spans="2:8" ht="14.25" thickBot="1">
      <c r="B60" s="3229">
        <v>37733.14</v>
      </c>
      <c r="C60" s="3230">
        <v>438803.29</v>
      </c>
      <c r="D60" s="3230">
        <v>29473</v>
      </c>
      <c r="E60" s="3230">
        <v>2534</v>
      </c>
      <c r="F60" s="3230">
        <v>111212</v>
      </c>
    </row>
    <row r="61" spans="2:8" ht="14.25" thickBot="1">
      <c r="B61" s="3231">
        <v>281839.53000000003</v>
      </c>
      <c r="C61" s="3232">
        <v>1520321.5</v>
      </c>
      <c r="D61" s="3232">
        <v>16396</v>
      </c>
      <c r="E61" s="3232">
        <v>3040</v>
      </c>
      <c r="F61" s="3232">
        <v>462107</v>
      </c>
    </row>
    <row r="62" spans="2:8">
      <c r="B62" s="3183">
        <f>B60+B61</f>
        <v>319572.67000000004</v>
      </c>
      <c r="C62" s="3183">
        <f t="shared" ref="C62:F62" si="12">C60+C61</f>
        <v>1959124.79</v>
      </c>
      <c r="D62" s="3183">
        <f t="shared" si="12"/>
        <v>45869</v>
      </c>
      <c r="E62" s="3183">
        <f t="shared" si="12"/>
        <v>5574</v>
      </c>
      <c r="F62" s="3183">
        <f t="shared" si="12"/>
        <v>573319</v>
      </c>
    </row>
    <row r="92" spans="2:6" ht="14.25" thickBot="1"/>
    <row r="93" spans="2:6" ht="14.25" thickBot="1">
      <c r="B93" s="3229">
        <v>281839.53000000003</v>
      </c>
      <c r="C93" s="3230">
        <v>1520321.5</v>
      </c>
      <c r="D93" s="3230">
        <v>16320</v>
      </c>
      <c r="E93" s="3230">
        <v>3025</v>
      </c>
      <c r="F93" s="3230">
        <v>459973</v>
      </c>
    </row>
    <row r="94" spans="2:6" ht="14.25" thickBot="1">
      <c r="B94" s="3231">
        <v>37733.14</v>
      </c>
      <c r="C94" s="3232">
        <v>298918.99</v>
      </c>
      <c r="D94" s="3232">
        <v>20993</v>
      </c>
      <c r="E94" s="3232">
        <v>2650</v>
      </c>
      <c r="F94" s="3232">
        <v>79215</v>
      </c>
    </row>
    <row r="95" spans="2:6">
      <c r="B95" s="3183">
        <f>B93+B94</f>
        <v>319572.67000000004</v>
      </c>
      <c r="C95" s="3183">
        <f t="shared" ref="C95:F95" si="13">C93+C94</f>
        <v>1819240.49</v>
      </c>
      <c r="D95" s="3183">
        <f t="shared" si="13"/>
        <v>37313</v>
      </c>
      <c r="E95" s="3183">
        <f t="shared" si="13"/>
        <v>5675</v>
      </c>
      <c r="F95" s="3183">
        <f t="shared" si="13"/>
        <v>539188</v>
      </c>
    </row>
  </sheetData>
  <mergeCells count="44">
    <mergeCell ref="P1:R1"/>
    <mergeCell ref="A6:B6"/>
    <mergeCell ref="A1:A2"/>
    <mergeCell ref="B1:B2"/>
    <mergeCell ref="C1:C2"/>
    <mergeCell ref="D1:D2"/>
    <mergeCell ref="E1:E2"/>
    <mergeCell ref="F1:F2"/>
    <mergeCell ref="G7:G8"/>
    <mergeCell ref="G1:G2"/>
    <mergeCell ref="H1:H2"/>
    <mergeCell ref="I1:I2"/>
    <mergeCell ref="J1:N1"/>
    <mergeCell ref="A23:B23"/>
    <mergeCell ref="H7:H8"/>
    <mergeCell ref="I7:I8"/>
    <mergeCell ref="J7:N7"/>
    <mergeCell ref="P7:R7"/>
    <mergeCell ref="A15:B15"/>
    <mergeCell ref="A19:A20"/>
    <mergeCell ref="B19:B20"/>
    <mergeCell ref="C19:C20"/>
    <mergeCell ref="D19:D20"/>
    <mergeCell ref="E19:E20"/>
    <mergeCell ref="A7:A8"/>
    <mergeCell ref="B7:B8"/>
    <mergeCell ref="C7:C8"/>
    <mergeCell ref="E7:E8"/>
    <mergeCell ref="F7:F8"/>
    <mergeCell ref="F19:F20"/>
    <mergeCell ref="H19:H20"/>
    <mergeCell ref="I19:I20"/>
    <mergeCell ref="J19:N19"/>
    <mergeCell ref="P19:R19"/>
    <mergeCell ref="I24:I25"/>
    <mergeCell ref="J24:N24"/>
    <mergeCell ref="P24:R24"/>
    <mergeCell ref="A30:B30"/>
    <mergeCell ref="A24:A25"/>
    <mergeCell ref="B24:B25"/>
    <mergeCell ref="C24:C25"/>
    <mergeCell ref="E24:E25"/>
    <mergeCell ref="F24:F25"/>
    <mergeCell ref="H24:H25"/>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7" t="s">
        <v>3398</v>
      </c>
      <c r="B2" s="3199">
        <v>72299.64</v>
      </c>
      <c r="C2">
        <v>3.54</v>
      </c>
      <c r="D2" s="3200">
        <f>B2*C2</f>
        <v>255940.72560000001</v>
      </c>
    </row>
    <row r="3" spans="1:4" ht="16.5">
      <c r="A3" s="3195" t="s">
        <v>3415</v>
      </c>
      <c r="B3" s="3196">
        <v>23457.47</v>
      </c>
      <c r="C3" s="3201">
        <v>3.75</v>
      </c>
      <c r="D3" s="3200">
        <f t="shared" ref="D3:D19" si="0">B3*C3</f>
        <v>87965.512500000012</v>
      </c>
    </row>
    <row r="4" spans="1:4" ht="16.5">
      <c r="A4" s="3195" t="s">
        <v>3399</v>
      </c>
      <c r="B4" s="3196">
        <v>26441.71</v>
      </c>
      <c r="C4" s="3201">
        <v>3.75</v>
      </c>
      <c r="D4" s="3200">
        <f t="shared" si="0"/>
        <v>99156.412499999991</v>
      </c>
    </row>
    <row r="5" spans="1:4" ht="16.5">
      <c r="A5" s="3195" t="s">
        <v>3401</v>
      </c>
      <c r="B5" s="3196">
        <v>27040.87</v>
      </c>
      <c r="C5" s="3201">
        <v>3.75</v>
      </c>
      <c r="D5" s="3200">
        <f t="shared" si="0"/>
        <v>101403.2625</v>
      </c>
    </row>
    <row r="6" spans="1:4" ht="16.5">
      <c r="A6" s="3195" t="s">
        <v>3400</v>
      </c>
      <c r="B6" s="3196">
        <v>42164.18</v>
      </c>
      <c r="C6" s="3201">
        <v>3.75</v>
      </c>
      <c r="D6" s="3200">
        <f t="shared" si="0"/>
        <v>158115.67499999999</v>
      </c>
    </row>
    <row r="7" spans="1:4" ht="16.5">
      <c r="A7" s="3195" t="s">
        <v>3406</v>
      </c>
      <c r="B7" s="3196">
        <v>7040.54</v>
      </c>
      <c r="C7">
        <v>8.23</v>
      </c>
      <c r="D7" s="3200">
        <f t="shared" si="0"/>
        <v>57943.644200000002</v>
      </c>
    </row>
    <row r="8" spans="1:4" ht="16.5">
      <c r="A8" s="3195" t="s">
        <v>3407</v>
      </c>
      <c r="B8" s="3196">
        <v>16366.67</v>
      </c>
      <c r="C8">
        <v>9.1</v>
      </c>
      <c r="D8" s="3200">
        <f t="shared" si="0"/>
        <v>148936.69699999999</v>
      </c>
    </row>
    <row r="9" spans="1:4" ht="16.5">
      <c r="A9" s="3195" t="s">
        <v>3404</v>
      </c>
      <c r="B9" s="3196">
        <v>3554.21</v>
      </c>
      <c r="C9">
        <v>4.18</v>
      </c>
      <c r="D9" s="3200">
        <f t="shared" si="0"/>
        <v>14856.5978</v>
      </c>
    </row>
    <row r="10" spans="1:4" ht="16.5">
      <c r="A10" s="3195" t="s">
        <v>3405</v>
      </c>
      <c r="B10" s="3196">
        <v>8130.89</v>
      </c>
      <c r="C10">
        <v>3.63</v>
      </c>
      <c r="D10" s="3200">
        <f t="shared" si="0"/>
        <v>29515.130700000002</v>
      </c>
    </row>
    <row r="11" spans="1:4" ht="16.5">
      <c r="A11" s="3195" t="s">
        <v>3408</v>
      </c>
      <c r="B11" s="3196">
        <v>14325.93</v>
      </c>
      <c r="C11">
        <v>8.77</v>
      </c>
      <c r="D11" s="3200">
        <f t="shared" si="0"/>
        <v>125638.40609999999</v>
      </c>
    </row>
    <row r="12" spans="1:4" ht="16.5">
      <c r="A12" s="3195" t="s">
        <v>3409</v>
      </c>
      <c r="B12" s="3196">
        <v>38188.080000000002</v>
      </c>
      <c r="C12">
        <v>3.28</v>
      </c>
      <c r="D12" s="3200">
        <f t="shared" si="0"/>
        <v>125256.90239999999</v>
      </c>
    </row>
    <row r="13" spans="1:4" ht="16.5">
      <c r="A13" s="3195" t="s">
        <v>3402</v>
      </c>
      <c r="B13" s="3196">
        <v>56546.04</v>
      </c>
      <c r="C13">
        <v>3.47</v>
      </c>
      <c r="D13" s="3200">
        <f t="shared" si="0"/>
        <v>196214.75880000001</v>
      </c>
    </row>
    <row r="14" spans="1:4" ht="16.5">
      <c r="A14" s="3195" t="s">
        <v>3410</v>
      </c>
      <c r="B14" s="3196">
        <v>66413.67</v>
      </c>
      <c r="C14">
        <v>4.37</v>
      </c>
      <c r="D14" s="3200">
        <f t="shared" si="0"/>
        <v>290227.73790000001</v>
      </c>
    </row>
    <row r="15" spans="1:4" ht="16.5">
      <c r="A15" s="3195" t="s">
        <v>3403</v>
      </c>
      <c r="B15" s="3196">
        <v>14042.77</v>
      </c>
      <c r="C15" s="3202">
        <v>1.54</v>
      </c>
      <c r="D15" s="3200">
        <f t="shared" si="0"/>
        <v>21625.8658</v>
      </c>
    </row>
    <row r="16" spans="1:4" ht="16.5">
      <c r="A16" s="3195" t="s">
        <v>3411</v>
      </c>
      <c r="B16" s="3196">
        <v>16747.95</v>
      </c>
      <c r="C16">
        <v>3.76</v>
      </c>
      <c r="D16" s="3200">
        <f t="shared" si="0"/>
        <v>62972.292000000001</v>
      </c>
    </row>
    <row r="17" spans="1:6" ht="16.5">
      <c r="A17" s="3195" t="s">
        <v>3412</v>
      </c>
      <c r="B17" s="3196">
        <v>102426.3</v>
      </c>
      <c r="C17">
        <v>4.55</v>
      </c>
      <c r="D17" s="3200">
        <f t="shared" si="0"/>
        <v>466039.66499999998</v>
      </c>
    </row>
    <row r="18" spans="1:6" ht="16.5">
      <c r="A18" s="3195" t="s">
        <v>3413</v>
      </c>
      <c r="B18" s="3196">
        <v>44776.57</v>
      </c>
      <c r="C18">
        <v>4.84</v>
      </c>
      <c r="D18" s="3200">
        <f t="shared" si="0"/>
        <v>216718.59879999998</v>
      </c>
    </row>
    <row r="19" spans="1:6" ht="16.5">
      <c r="A19" s="3195" t="s">
        <v>3414</v>
      </c>
      <c r="B19" s="3196">
        <v>21904.02</v>
      </c>
      <c r="C19">
        <v>3.68</v>
      </c>
      <c r="D19" s="3200">
        <f t="shared" si="0"/>
        <v>80606.793600000005</v>
      </c>
    </row>
    <row r="20" spans="1:6">
      <c r="A20" s="3198"/>
      <c r="B20" s="3200">
        <f>SUM(B2:B19)</f>
        <v>601867.51</v>
      </c>
      <c r="C20" s="3200"/>
      <c r="D20" s="3200">
        <f t="shared" ref="D20" si="1">SUM(D2:D19)</f>
        <v>2539134.6781999995</v>
      </c>
    </row>
    <row r="21" spans="1:6">
      <c r="D21" s="3200">
        <v>2700000</v>
      </c>
      <c r="F21" s="3200"/>
    </row>
    <row r="23" spans="1:6">
      <c r="A23" t="s">
        <v>3406</v>
      </c>
      <c r="B23">
        <v>7040.54</v>
      </c>
      <c r="C23">
        <v>8.23</v>
      </c>
      <c r="D23">
        <v>57943.644200000002</v>
      </c>
    </row>
    <row r="24" spans="1:6">
      <c r="A24" t="s">
        <v>3407</v>
      </c>
      <c r="B24">
        <v>16366.67</v>
      </c>
      <c r="C24">
        <v>9.1</v>
      </c>
      <c r="D24">
        <v>148936.69699999999</v>
      </c>
    </row>
    <row r="25" spans="1:6">
      <c r="A25" t="s">
        <v>3404</v>
      </c>
      <c r="C25">
        <v>4.18</v>
      </c>
    </row>
    <row r="26" spans="1:6">
      <c r="A26" t="s">
        <v>3405</v>
      </c>
      <c r="B26">
        <v>8130.89</v>
      </c>
      <c r="C26">
        <v>3.63</v>
      </c>
      <c r="D26">
        <v>29515.130700000002</v>
      </c>
    </row>
    <row r="27" spans="1:6">
      <c r="A27" t="s">
        <v>3408</v>
      </c>
      <c r="B27">
        <v>14325.93</v>
      </c>
      <c r="C27">
        <v>8.77</v>
      </c>
      <c r="D27">
        <v>125638.40609999999</v>
      </c>
    </row>
    <row r="28" spans="1:6">
      <c r="A28" t="s">
        <v>3409</v>
      </c>
      <c r="B28">
        <v>38188.080000000002</v>
      </c>
      <c r="C28">
        <v>3.28</v>
      </c>
      <c r="D28">
        <v>125256.90239999999</v>
      </c>
    </row>
    <row r="29" spans="1:6">
      <c r="A29" t="s">
        <v>3410</v>
      </c>
      <c r="B29">
        <v>66413.67</v>
      </c>
      <c r="C29">
        <v>4.37</v>
      </c>
      <c r="D29">
        <v>290227.73790000001</v>
      </c>
    </row>
    <row r="30" spans="1:6">
      <c r="A30" t="s">
        <v>3412</v>
      </c>
      <c r="B30">
        <v>102426.3</v>
      </c>
      <c r="C30">
        <v>4.55</v>
      </c>
      <c r="D30">
        <v>466039.66499999998</v>
      </c>
    </row>
    <row r="31" spans="1:6">
      <c r="A31" t="s">
        <v>3413</v>
      </c>
      <c r="B31">
        <v>44776.57</v>
      </c>
      <c r="C31">
        <v>4.84</v>
      </c>
      <c r="D31">
        <v>216718.59879999998</v>
      </c>
    </row>
    <row r="32" spans="1:6">
      <c r="A32" t="s">
        <v>3414</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3" customWidth="1"/>
    <col min="2" max="2" width="34.75" style="3183" customWidth="1"/>
    <col min="3" max="3" width="15.75" style="3183" customWidth="1"/>
    <col min="4" max="4" width="10.5" style="3183" customWidth="1"/>
    <col min="5" max="5" width="16.5" style="3183" customWidth="1"/>
    <col min="6" max="7" width="13" style="3183" customWidth="1"/>
    <col min="8" max="8" width="12.875" style="3183" customWidth="1"/>
    <col min="9" max="9" width="15" style="3183" customWidth="1"/>
    <col min="10" max="11" width="11.625" style="3183" customWidth="1"/>
    <col min="12" max="12" width="8.125" style="3183" customWidth="1"/>
    <col min="13" max="13" width="11.5" style="3183" customWidth="1"/>
    <col min="14" max="15" width="9.625" style="3183" customWidth="1"/>
    <col min="16" max="17" width="15.75" style="3183" customWidth="1"/>
    <col min="18" max="18" width="25" style="3186" customWidth="1"/>
    <col min="19" max="19" width="13.5" style="3186" customWidth="1"/>
    <col min="20" max="28" width="9" style="3186"/>
    <col min="29" max="16384" width="9" style="3183"/>
  </cols>
  <sheetData>
    <row r="1" spans="1:28" s="3215" customFormat="1" ht="20.100000000000001" customHeight="1">
      <c r="A1" s="3322"/>
      <c r="B1" s="3315" t="s">
        <v>3426</v>
      </c>
      <c r="C1" s="3313" t="s">
        <v>3427</v>
      </c>
      <c r="D1" s="3315"/>
      <c r="E1" s="3315" t="s">
        <v>3428</v>
      </c>
      <c r="F1" s="3315" t="s">
        <v>3429</v>
      </c>
      <c r="G1" s="3317" t="s">
        <v>3430</v>
      </c>
      <c r="H1" s="3315" t="s">
        <v>3431</v>
      </c>
      <c r="I1" s="3315" t="s">
        <v>3430</v>
      </c>
      <c r="J1" s="3319" t="s">
        <v>3432</v>
      </c>
      <c r="K1" s="3320"/>
      <c r="L1" s="3320"/>
      <c r="M1" s="3320"/>
      <c r="N1" s="3321"/>
      <c r="O1" s="3214"/>
      <c r="P1" s="3319" t="s">
        <v>3433</v>
      </c>
      <c r="Q1" s="3320"/>
      <c r="R1" s="3321"/>
      <c r="S1" s="3190"/>
      <c r="T1" s="3190"/>
      <c r="U1" s="3190"/>
      <c r="V1" s="3190"/>
      <c r="W1" s="3190"/>
      <c r="X1" s="3190"/>
      <c r="Y1" s="3190"/>
      <c r="Z1" s="3190"/>
      <c r="AA1" s="3190"/>
      <c r="AB1" s="3190"/>
    </row>
    <row r="2" spans="1:28" s="3215" customFormat="1" ht="20.100000000000001" customHeight="1">
      <c r="A2" s="3323"/>
      <c r="B2" s="3316"/>
      <c r="C2" s="3314"/>
      <c r="D2" s="3316"/>
      <c r="E2" s="3316"/>
      <c r="F2" s="3316"/>
      <c r="G2" s="3318"/>
      <c r="H2" s="3316"/>
      <c r="I2" s="3316"/>
      <c r="J2" s="3214" t="s">
        <v>3434</v>
      </c>
      <c r="K2" s="3214"/>
      <c r="L2" s="3214" t="s">
        <v>3435</v>
      </c>
      <c r="M2" s="3214"/>
      <c r="N2" s="3214" t="s">
        <v>3436</v>
      </c>
      <c r="O2" s="3214"/>
      <c r="P2" s="3191" t="s">
        <v>3437</v>
      </c>
      <c r="Q2" s="3191"/>
      <c r="R2" s="3214" t="s">
        <v>3438</v>
      </c>
      <c r="S2" s="3190"/>
      <c r="T2" s="3190"/>
      <c r="U2" s="3190"/>
      <c r="V2" s="3190"/>
      <c r="W2" s="3190"/>
      <c r="X2" s="3190"/>
      <c r="Y2" s="3190"/>
      <c r="Z2" s="3190"/>
      <c r="AA2" s="3190"/>
      <c r="AB2" s="3190"/>
    </row>
    <row r="3" spans="1:28" s="3185" customFormat="1" ht="20.100000000000001" customHeight="1">
      <c r="A3" s="3184" t="s">
        <v>3439</v>
      </c>
      <c r="B3" s="3184" t="s">
        <v>3440</v>
      </c>
      <c r="C3" s="3184">
        <v>16366.67</v>
      </c>
      <c r="D3" s="3184"/>
      <c r="E3" s="3184" t="s">
        <v>3441</v>
      </c>
      <c r="F3" s="3184">
        <v>9.1</v>
      </c>
      <c r="G3" s="3206">
        <f>C3*F3</f>
        <v>148936.69699999999</v>
      </c>
      <c r="H3" s="3184">
        <v>228303</v>
      </c>
      <c r="I3" s="3184">
        <f>J3+L3+N3+P3</f>
        <v>174119</v>
      </c>
      <c r="J3" s="3184">
        <v>153114</v>
      </c>
      <c r="K3" s="3184"/>
      <c r="L3" s="3184">
        <v>0</v>
      </c>
      <c r="M3" s="3184"/>
      <c r="N3" s="3184">
        <v>20000</v>
      </c>
      <c r="O3" s="3184"/>
      <c r="P3" s="3184">
        <v>1005</v>
      </c>
      <c r="Q3" s="3184"/>
      <c r="R3" s="3185">
        <f>H3-I3</f>
        <v>54184</v>
      </c>
      <c r="S3" s="3186">
        <f>ROUND(R3/I3,2)</f>
        <v>0.31</v>
      </c>
      <c r="T3" s="3186"/>
      <c r="U3" s="3186"/>
      <c r="V3" s="3186"/>
      <c r="W3" s="3186"/>
      <c r="X3" s="3186"/>
      <c r="Y3" s="3186"/>
      <c r="Z3" s="3186"/>
      <c r="AA3" s="3186"/>
      <c r="AB3" s="3186"/>
    </row>
    <row r="4" spans="1:28" s="3188" customFormat="1" ht="20.100000000000001" customHeight="1">
      <c r="A4" s="3187" t="s">
        <v>3442</v>
      </c>
      <c r="B4" s="3187" t="s">
        <v>3443</v>
      </c>
      <c r="C4" s="3188">
        <v>14325.93</v>
      </c>
      <c r="E4" s="3187" t="s">
        <v>3441</v>
      </c>
      <c r="F4" s="3188">
        <v>8.77</v>
      </c>
      <c r="G4" s="3206">
        <f t="shared" ref="G4:G14" si="0">C4*F4</f>
        <v>125638.40609999999</v>
      </c>
      <c r="H4" s="3188">
        <v>363169</v>
      </c>
      <c r="I4" s="3184">
        <f t="shared" ref="I4:I5" si="1">J4+L4+N4+P4</f>
        <v>273598</v>
      </c>
      <c r="J4" s="3188">
        <v>181812.5</v>
      </c>
      <c r="K4" s="3184"/>
      <c r="L4" s="3188">
        <v>75200</v>
      </c>
      <c r="N4" s="3188">
        <v>15000</v>
      </c>
      <c r="P4" s="3188">
        <v>1585.5</v>
      </c>
      <c r="R4" s="3188">
        <f>H4-I4</f>
        <v>89571</v>
      </c>
      <c r="S4" s="3186">
        <f t="shared" ref="S4:S5" si="2">ROUND(R4/I4,2)</f>
        <v>0.33</v>
      </c>
      <c r="T4" s="3186"/>
      <c r="U4" s="3186"/>
      <c r="V4" s="3186"/>
      <c r="W4" s="3186"/>
      <c r="X4" s="3186"/>
      <c r="Y4" s="3186"/>
      <c r="Z4" s="3186"/>
      <c r="AA4" s="3186"/>
      <c r="AB4" s="3186"/>
    </row>
    <row r="5" spans="1:28" s="3188" customFormat="1" ht="20.100000000000001" customHeight="1">
      <c r="A5" s="3187" t="s">
        <v>3444</v>
      </c>
      <c r="B5" s="3187" t="s">
        <v>3445</v>
      </c>
      <c r="C5" s="3204">
        <v>7040.54</v>
      </c>
      <c r="E5" s="3187" t="s">
        <v>3441</v>
      </c>
      <c r="F5" s="3188">
        <v>8.23</v>
      </c>
      <c r="G5" s="3206">
        <f t="shared" si="0"/>
        <v>57943.644200000002</v>
      </c>
      <c r="H5" s="3188">
        <v>76473</v>
      </c>
      <c r="I5" s="3184">
        <f t="shared" si="1"/>
        <v>58442</v>
      </c>
      <c r="J5" s="3188">
        <v>40165</v>
      </c>
      <c r="K5" s="3184"/>
      <c r="L5" s="3188">
        <v>0</v>
      </c>
      <c r="N5" s="3188">
        <v>17941</v>
      </c>
      <c r="P5" s="3188">
        <v>336</v>
      </c>
      <c r="R5" s="3188">
        <f>H5-I5</f>
        <v>18031</v>
      </c>
      <c r="S5" s="3186">
        <f t="shared" si="2"/>
        <v>0.31</v>
      </c>
      <c r="T5" s="3186"/>
      <c r="U5" s="3186"/>
      <c r="V5" s="3186"/>
      <c r="W5" s="3186"/>
      <c r="X5" s="3186"/>
      <c r="Y5" s="3186"/>
      <c r="Z5" s="3186"/>
      <c r="AA5" s="3186"/>
      <c r="AB5" s="3186"/>
    </row>
    <row r="6" spans="1:28" s="3189" customFormat="1" ht="20.100000000000001" customHeight="1">
      <c r="A6" s="3310" t="s">
        <v>3446</v>
      </c>
      <c r="B6" s="3311"/>
      <c r="C6" s="3205">
        <f>C3+C4+C5</f>
        <v>37733.14</v>
      </c>
      <c r="G6" s="3207">
        <f>ROUND(G3+G4+G5,2)</f>
        <v>332518.75</v>
      </c>
      <c r="H6" s="3189">
        <f t="shared" ref="H6:R6" si="3">H3+H4</f>
        <v>591472</v>
      </c>
      <c r="I6" s="3189">
        <f t="shared" si="3"/>
        <v>447717</v>
      </c>
      <c r="J6" s="3189">
        <f t="shared" si="3"/>
        <v>334926.5</v>
      </c>
      <c r="K6" s="3207">
        <f>ROUND(J6/I6*G6,2)</f>
        <v>248749.41</v>
      </c>
      <c r="L6" s="3189">
        <f t="shared" si="3"/>
        <v>75200</v>
      </c>
      <c r="M6" s="3207">
        <f>ROUND(L6/I6*G6,2)</f>
        <v>55850.93</v>
      </c>
      <c r="N6" s="3189">
        <f t="shared" si="3"/>
        <v>35000</v>
      </c>
      <c r="O6" s="3207">
        <f>ROUND(N6/I6*G6,2)</f>
        <v>25994.45</v>
      </c>
      <c r="P6" s="3189">
        <f t="shared" si="3"/>
        <v>2590.5</v>
      </c>
      <c r="Q6" s="3207">
        <f>G6-K6-M6-O6</f>
        <v>1923.9599999999955</v>
      </c>
      <c r="R6" s="3189">
        <f t="shared" si="3"/>
        <v>143755</v>
      </c>
      <c r="S6" s="3207">
        <f>ROUND(SUM(S3:S5)/3*G6,2)</f>
        <v>105297.60000000001</v>
      </c>
    </row>
    <row r="7" spans="1:28" s="3215" customFormat="1" ht="20.100000000000001" customHeight="1">
      <c r="A7" s="3322"/>
      <c r="B7" s="3315" t="s">
        <v>3447</v>
      </c>
      <c r="C7" s="3315" t="s">
        <v>3448</v>
      </c>
      <c r="D7" s="3214"/>
      <c r="E7" s="3315" t="s">
        <v>3449</v>
      </c>
      <c r="F7" s="3315" t="s">
        <v>3450</v>
      </c>
      <c r="G7" s="3317" t="s">
        <v>3451</v>
      </c>
      <c r="H7" s="3315" t="s">
        <v>3452</v>
      </c>
      <c r="I7" s="3315" t="s">
        <v>3451</v>
      </c>
      <c r="J7" s="3319" t="s">
        <v>3432</v>
      </c>
      <c r="K7" s="3320"/>
      <c r="L7" s="3320"/>
      <c r="M7" s="3320"/>
      <c r="N7" s="3321"/>
      <c r="O7" s="3214"/>
      <c r="P7" s="3319" t="s">
        <v>3433</v>
      </c>
      <c r="Q7" s="3320"/>
      <c r="R7" s="3321"/>
      <c r="S7" s="3190"/>
      <c r="T7" s="3190"/>
      <c r="U7" s="3190"/>
      <c r="V7" s="3190"/>
      <c r="W7" s="3190"/>
      <c r="X7" s="3190"/>
      <c r="Y7" s="3190"/>
      <c r="Z7" s="3190"/>
      <c r="AA7" s="3190"/>
      <c r="AB7" s="3190"/>
    </row>
    <row r="8" spans="1:28" s="3193" customFormat="1" ht="32.25" customHeight="1">
      <c r="A8" s="3323"/>
      <c r="B8" s="3316"/>
      <c r="C8" s="3316"/>
      <c r="D8" s="3214"/>
      <c r="E8" s="3316"/>
      <c r="F8" s="3316"/>
      <c r="G8" s="3318"/>
      <c r="H8" s="3316"/>
      <c r="I8" s="3316"/>
      <c r="J8" s="3191" t="s">
        <v>3453</v>
      </c>
      <c r="K8" s="3191"/>
      <c r="L8" s="3191" t="s">
        <v>3454</v>
      </c>
      <c r="M8" s="3191"/>
      <c r="N8" s="3191" t="s">
        <v>3455</v>
      </c>
      <c r="O8" s="3191" t="s">
        <v>3456</v>
      </c>
      <c r="P8" s="3191" t="s">
        <v>3457</v>
      </c>
      <c r="Q8" s="3191" t="s">
        <v>3458</v>
      </c>
      <c r="R8" s="3191" t="s">
        <v>3459</v>
      </c>
      <c r="S8" s="3191" t="s">
        <v>3460</v>
      </c>
      <c r="T8" s="3192"/>
      <c r="U8" s="3192"/>
      <c r="V8" s="3192"/>
      <c r="W8" s="3192"/>
      <c r="X8" s="3192"/>
      <c r="Y8" s="3192"/>
      <c r="Z8" s="3192"/>
      <c r="AA8" s="3192"/>
      <c r="AB8" s="3192"/>
    </row>
    <row r="9" spans="1:28" s="3185" customFormat="1" ht="20.100000000000001" customHeight="1">
      <c r="A9" s="3184" t="s">
        <v>3461</v>
      </c>
      <c r="B9" s="3184" t="s">
        <v>3462</v>
      </c>
      <c r="C9" s="3185">
        <v>8130.89</v>
      </c>
      <c r="E9" s="3184" t="s">
        <v>3463</v>
      </c>
      <c r="F9" s="3185">
        <v>3.63</v>
      </c>
      <c r="G9" s="3206">
        <f t="shared" si="0"/>
        <v>29515.130700000002</v>
      </c>
      <c r="H9" s="3185">
        <v>96457</v>
      </c>
      <c r="I9" s="3185">
        <f>J9+L9+N9+P9</f>
        <v>77167</v>
      </c>
      <c r="J9" s="3185">
        <v>74369</v>
      </c>
      <c r="L9" s="3185">
        <v>0</v>
      </c>
      <c r="N9" s="3185">
        <v>2314</v>
      </c>
      <c r="O9" s="3185">
        <f>ROUND(N9/I9,3)</f>
        <v>0.03</v>
      </c>
      <c r="P9" s="3185">
        <v>484</v>
      </c>
      <c r="Q9" s="3185">
        <f>ROUND((N9+P9)/I9,2)</f>
        <v>0.04</v>
      </c>
      <c r="R9" s="3185">
        <f>H9-I9</f>
        <v>19290</v>
      </c>
      <c r="S9" s="3185">
        <f>ROUND(R9/I9,2)</f>
        <v>0.25</v>
      </c>
    </row>
    <row r="10" spans="1:28" s="3185" customFormat="1" ht="20.100000000000001" customHeight="1">
      <c r="A10" s="3184" t="s">
        <v>3464</v>
      </c>
      <c r="B10" s="3184" t="s">
        <v>3465</v>
      </c>
      <c r="C10" s="3185">
        <v>38188.080000000002</v>
      </c>
      <c r="E10" s="3184" t="s">
        <v>3463</v>
      </c>
      <c r="F10" s="3185">
        <v>3.28</v>
      </c>
      <c r="G10" s="3206">
        <f t="shared" si="0"/>
        <v>125256.90239999999</v>
      </c>
      <c r="H10" s="3185">
        <v>191762</v>
      </c>
      <c r="I10" s="3185">
        <f>J10+L10+N10+P10</f>
        <v>153399</v>
      </c>
      <c r="J10" s="3185">
        <v>147934</v>
      </c>
      <c r="L10" s="3185">
        <v>0</v>
      </c>
      <c r="N10" s="3185">
        <v>4602</v>
      </c>
      <c r="O10" s="3185">
        <f t="shared" ref="O10:O14" si="4">ROUND(N10/I10,3)</f>
        <v>0.03</v>
      </c>
      <c r="P10" s="3185">
        <v>863</v>
      </c>
      <c r="Q10" s="3185">
        <f t="shared" ref="Q10:Q14" si="5">ROUND((N10+P10)/I10,2)</f>
        <v>0.04</v>
      </c>
      <c r="R10" s="3185">
        <f t="shared" ref="R10:R14" si="6">H10-I10</f>
        <v>38363</v>
      </c>
      <c r="S10" s="3185">
        <f t="shared" ref="S10:S14" si="7">ROUND(R10/I10,2)</f>
        <v>0.25</v>
      </c>
    </row>
    <row r="11" spans="1:28" s="3185" customFormat="1" ht="20.100000000000001" customHeight="1">
      <c r="A11" s="3184" t="s">
        <v>3466</v>
      </c>
      <c r="B11" s="3184" t="s">
        <v>3467</v>
      </c>
      <c r="C11" s="3185">
        <v>66413.67</v>
      </c>
      <c r="E11" s="3184" t="s">
        <v>3463</v>
      </c>
      <c r="F11" s="3185">
        <v>4.37</v>
      </c>
      <c r="G11" s="3206">
        <f t="shared" si="0"/>
        <v>290227.73790000001</v>
      </c>
      <c r="H11" s="3185">
        <v>360282</v>
      </c>
      <c r="I11" s="3185">
        <f t="shared" ref="I11:I14" si="8">J11+L11+N11+P11</f>
        <v>287225.51</v>
      </c>
      <c r="J11" s="3185">
        <v>276983.48</v>
      </c>
      <c r="L11" s="3185">
        <v>0</v>
      </c>
      <c r="N11" s="3185">
        <v>8616.77</v>
      </c>
      <c r="O11" s="3185">
        <f t="shared" si="4"/>
        <v>0.03</v>
      </c>
      <c r="P11" s="3185">
        <v>1625.26</v>
      </c>
      <c r="Q11" s="3185">
        <f t="shared" si="5"/>
        <v>0.04</v>
      </c>
      <c r="R11" s="3185">
        <f t="shared" si="6"/>
        <v>73056.489999999991</v>
      </c>
      <c r="S11" s="3185">
        <f t="shared" si="7"/>
        <v>0.25</v>
      </c>
    </row>
    <row r="12" spans="1:28" s="3185" customFormat="1" ht="20.100000000000001" customHeight="1">
      <c r="A12" s="3184" t="s">
        <v>3468</v>
      </c>
      <c r="B12" s="3184" t="s">
        <v>3469</v>
      </c>
      <c r="C12" s="3185">
        <v>102426.3</v>
      </c>
      <c r="E12" s="3184" t="s">
        <v>3463</v>
      </c>
      <c r="F12" s="3185">
        <v>4.55</v>
      </c>
      <c r="G12" s="3206">
        <f t="shared" si="0"/>
        <v>466039.66499999998</v>
      </c>
      <c r="H12" s="3185">
        <v>613033</v>
      </c>
      <c r="I12" s="3185">
        <f t="shared" si="8"/>
        <v>482645.57</v>
      </c>
      <c r="J12" s="3185">
        <v>458808.93</v>
      </c>
      <c r="L12" s="3185">
        <v>7050</v>
      </c>
      <c r="N12" s="3185">
        <v>14479.34</v>
      </c>
      <c r="O12" s="3185">
        <f t="shared" si="4"/>
        <v>0.03</v>
      </c>
      <c r="P12" s="3185">
        <v>2307.3000000000002</v>
      </c>
      <c r="Q12" s="3185">
        <f t="shared" si="5"/>
        <v>0.03</v>
      </c>
      <c r="R12" s="3185">
        <f t="shared" si="6"/>
        <v>130387.43</v>
      </c>
      <c r="S12" s="3185">
        <f t="shared" si="7"/>
        <v>0.27</v>
      </c>
    </row>
    <row r="13" spans="1:28" s="3185" customFormat="1" ht="20.100000000000001" customHeight="1">
      <c r="A13" s="3184" t="s">
        <v>3470</v>
      </c>
      <c r="B13" s="3203"/>
      <c r="C13" s="3185">
        <f>[1]Sheet5!B18</f>
        <v>0</v>
      </c>
      <c r="E13" s="3184" t="s">
        <v>3463</v>
      </c>
      <c r="F13" s="3185">
        <v>4.84</v>
      </c>
      <c r="G13" s="3206">
        <f t="shared" si="0"/>
        <v>0</v>
      </c>
      <c r="H13" s="3185">
        <v>273472</v>
      </c>
      <c r="I13" s="3185">
        <f t="shared" si="8"/>
        <v>218777</v>
      </c>
      <c r="J13" s="3185">
        <v>202106</v>
      </c>
      <c r="L13" s="3185">
        <v>8900</v>
      </c>
      <c r="N13" s="3185">
        <v>6563</v>
      </c>
      <c r="O13" s="3185">
        <f t="shared" si="4"/>
        <v>0.03</v>
      </c>
      <c r="P13" s="3185">
        <v>1208</v>
      </c>
      <c r="Q13" s="3185">
        <f t="shared" si="5"/>
        <v>0.04</v>
      </c>
      <c r="R13" s="3185">
        <f t="shared" si="6"/>
        <v>54695</v>
      </c>
      <c r="S13" s="3185">
        <f t="shared" si="7"/>
        <v>0.25</v>
      </c>
    </row>
    <row r="14" spans="1:28" s="3185" customFormat="1" ht="20.100000000000001" customHeight="1">
      <c r="A14" s="3184" t="s">
        <v>3471</v>
      </c>
      <c r="B14" s="3203"/>
      <c r="C14" s="3185">
        <f>[1]Sheet5!B19</f>
        <v>0</v>
      </c>
      <c r="E14" s="3184" t="s">
        <v>3463</v>
      </c>
      <c r="F14" s="3185">
        <v>3.68</v>
      </c>
      <c r="G14" s="3206">
        <f t="shared" si="0"/>
        <v>0</v>
      </c>
      <c r="H14" s="3185">
        <v>158058</v>
      </c>
      <c r="I14" s="3185">
        <f t="shared" si="8"/>
        <v>126448</v>
      </c>
      <c r="J14" s="3185">
        <v>121893</v>
      </c>
      <c r="L14" s="3185">
        <v>0</v>
      </c>
      <c r="N14" s="3185">
        <v>3793</v>
      </c>
      <c r="O14" s="3185">
        <f t="shared" si="4"/>
        <v>0.03</v>
      </c>
      <c r="P14" s="3185">
        <v>762</v>
      </c>
      <c r="Q14" s="3185">
        <f t="shared" si="5"/>
        <v>0.04</v>
      </c>
      <c r="R14" s="3185">
        <f t="shared" si="6"/>
        <v>31610</v>
      </c>
      <c r="S14" s="3185">
        <f t="shared" si="7"/>
        <v>0.25</v>
      </c>
    </row>
    <row r="15" spans="1:28" s="3189" customFormat="1" ht="20.100000000000001" customHeight="1">
      <c r="A15" s="3310" t="s">
        <v>3446</v>
      </c>
      <c r="B15" s="3311"/>
      <c r="C15" s="3189">
        <f>SUM(C9:C14)</f>
        <v>215158.94</v>
      </c>
      <c r="F15" s="3189">
        <f>ROUND(G15/C15,2)</f>
        <v>4.2300000000000004</v>
      </c>
      <c r="G15" s="3207">
        <f>SUM(G9:G14)</f>
        <v>911039.43599999999</v>
      </c>
      <c r="H15" s="3189">
        <f t="shared" ref="H15:N15" si="9">SUM(H9:H14)</f>
        <v>1693064</v>
      </c>
      <c r="I15" s="3189">
        <f t="shared" si="9"/>
        <v>1345662.08</v>
      </c>
      <c r="J15" s="3189">
        <f>SUM(J9:J14)</f>
        <v>1282094.4099999999</v>
      </c>
      <c r="K15" s="3207">
        <f>ROUND(J15/I15*G15,2)</f>
        <v>868002.89</v>
      </c>
      <c r="L15" s="3189">
        <f t="shared" si="9"/>
        <v>15950</v>
      </c>
      <c r="M15" s="3207">
        <f>ROUND(L15/I15*G15,2)</f>
        <v>10798.46</v>
      </c>
      <c r="N15" s="3189">
        <f t="shared" si="9"/>
        <v>40368.11</v>
      </c>
      <c r="O15" s="3207">
        <f>ROUND(N15/I15*G15,2)</f>
        <v>27330</v>
      </c>
      <c r="P15" s="3189">
        <f>P9+P10+P11+P12</f>
        <v>5279.56</v>
      </c>
      <c r="Q15" s="3207">
        <f>ROUND(G15-K15-M15-O15,2)</f>
        <v>4908.09</v>
      </c>
      <c r="R15" s="3189">
        <f>R9+R10+R11+R12</f>
        <v>261096.91999999998</v>
      </c>
      <c r="S15" s="3207">
        <f>ROUND(SUM(S9:S14)/6*G15,2)</f>
        <v>230796.66</v>
      </c>
    </row>
    <row r="16" spans="1:28" s="3189" customFormat="1" ht="20.100000000000001" customHeight="1">
      <c r="C16" s="3189">
        <f>C6+C15</f>
        <v>252892.08000000002</v>
      </c>
      <c r="F16" s="3189">
        <f>ROUND(G16/C16,2)</f>
        <v>4.92</v>
      </c>
      <c r="G16" s="3207">
        <f>G6+G15</f>
        <v>1243558.186</v>
      </c>
      <c r="H16" s="3189">
        <f t="shared" ref="H16:N16" si="10">H6+H15</f>
        <v>2284536</v>
      </c>
      <c r="I16" s="3189">
        <f t="shared" si="10"/>
        <v>1793379.08</v>
      </c>
      <c r="J16" s="3189">
        <f t="shared" si="10"/>
        <v>1617020.91</v>
      </c>
      <c r="L16" s="3189">
        <f t="shared" si="10"/>
        <v>91150</v>
      </c>
      <c r="N16" s="3189">
        <f t="shared" si="10"/>
        <v>75368.11</v>
      </c>
      <c r="P16" s="3189">
        <f>P15+P6</f>
        <v>7870.06</v>
      </c>
      <c r="R16" s="3189">
        <f>R15+R6</f>
        <v>404851.92</v>
      </c>
    </row>
    <row r="17" spans="1:28" ht="12.75" customHeight="1">
      <c r="C17" s="3183">
        <f>I3/F3</f>
        <v>19133.956043956045</v>
      </c>
      <c r="G17" s="3183">
        <v>2700000</v>
      </c>
      <c r="N17" s="3183">
        <f>N9+P9</f>
        <v>2798</v>
      </c>
      <c r="P17" s="3183">
        <f>N17/I9</f>
        <v>3.6259022639211061E-2</v>
      </c>
    </row>
    <row r="18" spans="1:28">
      <c r="G18" s="3183">
        <f>G17*0.15</f>
        <v>405000</v>
      </c>
      <c r="N18" s="3183">
        <f>N10+P10</f>
        <v>5465</v>
      </c>
      <c r="P18" s="3183">
        <f>N18/I10</f>
        <v>3.5626047105913335E-2</v>
      </c>
    </row>
    <row r="19" spans="1:28" s="3215" customFormat="1" ht="20.100000000000001" hidden="1" customHeight="1">
      <c r="A19" s="3322"/>
      <c r="B19" s="3315" t="s">
        <v>3447</v>
      </c>
      <c r="C19" s="3313" t="s">
        <v>3472</v>
      </c>
      <c r="D19" s="3315"/>
      <c r="E19" s="3315" t="s">
        <v>3449</v>
      </c>
      <c r="F19" s="3315" t="s">
        <v>3450</v>
      </c>
      <c r="G19" s="3214"/>
      <c r="H19" s="3315" t="s">
        <v>3452</v>
      </c>
      <c r="I19" s="3315" t="s">
        <v>3451</v>
      </c>
      <c r="J19" s="3319" t="s">
        <v>3432</v>
      </c>
      <c r="K19" s="3320"/>
      <c r="L19" s="3320"/>
      <c r="M19" s="3320"/>
      <c r="N19" s="3321"/>
      <c r="O19" s="3214"/>
      <c r="P19" s="3319" t="s">
        <v>3433</v>
      </c>
      <c r="Q19" s="3320"/>
      <c r="R19" s="3321"/>
      <c r="S19" s="3190"/>
      <c r="T19" s="3190"/>
      <c r="U19" s="3190"/>
      <c r="V19" s="3190"/>
      <c r="W19" s="3190"/>
      <c r="X19" s="3190"/>
      <c r="Y19" s="3190"/>
      <c r="Z19" s="3190"/>
      <c r="AA19" s="3190"/>
      <c r="AB19" s="3190"/>
    </row>
    <row r="20" spans="1:28" s="3215" customFormat="1" ht="20.100000000000001" hidden="1" customHeight="1">
      <c r="A20" s="3323"/>
      <c r="B20" s="3316"/>
      <c r="C20" s="3314"/>
      <c r="D20" s="3316"/>
      <c r="E20" s="3316"/>
      <c r="F20" s="3316"/>
      <c r="G20" s="3214"/>
      <c r="H20" s="3316"/>
      <c r="I20" s="3316"/>
      <c r="J20" s="3214" t="s">
        <v>3434</v>
      </c>
      <c r="K20" s="3214"/>
      <c r="L20" s="3214" t="s">
        <v>3435</v>
      </c>
      <c r="M20" s="3214"/>
      <c r="N20" s="3214" t="s">
        <v>3436</v>
      </c>
      <c r="O20" s="3214"/>
      <c r="P20" s="3191" t="s">
        <v>3437</v>
      </c>
      <c r="Q20" s="3191"/>
      <c r="R20" s="3214" t="s">
        <v>3438</v>
      </c>
      <c r="S20" s="3190"/>
      <c r="T20" s="3190"/>
      <c r="U20" s="3190"/>
      <c r="V20" s="3190"/>
      <c r="W20" s="3190"/>
      <c r="X20" s="3190"/>
      <c r="Y20" s="3190"/>
      <c r="Z20" s="3190"/>
      <c r="AA20" s="3190"/>
      <c r="AB20" s="3190"/>
    </row>
    <row r="21" spans="1:28" s="3185" customFormat="1" ht="20.100000000000001" hidden="1" customHeight="1">
      <c r="A21" s="3184" t="s">
        <v>3439</v>
      </c>
      <c r="B21" s="3184" t="s">
        <v>3440</v>
      </c>
      <c r="C21" s="3184">
        <v>16366.67</v>
      </c>
      <c r="D21" s="3184"/>
      <c r="E21" s="3184" t="s">
        <v>3441</v>
      </c>
      <c r="F21" s="3184">
        <v>9.1</v>
      </c>
      <c r="G21" s="3184"/>
      <c r="H21" s="3184">
        <v>228303</v>
      </c>
      <c r="I21" s="3184">
        <f>J21+L21+N21+P21</f>
        <v>174119</v>
      </c>
      <c r="J21" s="3184">
        <v>153114</v>
      </c>
      <c r="K21" s="3184"/>
      <c r="L21" s="3184">
        <v>0</v>
      </c>
      <c r="M21" s="3184"/>
      <c r="N21" s="3184">
        <v>20000</v>
      </c>
      <c r="O21" s="3184"/>
      <c r="P21" s="3184">
        <v>1005</v>
      </c>
      <c r="Q21" s="3184"/>
      <c r="R21" s="3185">
        <f>H21-I21</f>
        <v>54184</v>
      </c>
      <c r="S21" s="3186"/>
      <c r="T21" s="3186"/>
      <c r="U21" s="3186"/>
      <c r="V21" s="3186"/>
      <c r="W21" s="3186"/>
      <c r="X21" s="3186"/>
      <c r="Y21" s="3186"/>
      <c r="Z21" s="3186"/>
      <c r="AA21" s="3186"/>
      <c r="AB21" s="3186"/>
    </row>
    <row r="22" spans="1:28" s="3188" customFormat="1" ht="20.100000000000001" hidden="1" customHeight="1">
      <c r="A22" s="3187" t="s">
        <v>3442</v>
      </c>
      <c r="B22" s="3187" t="s">
        <v>3443</v>
      </c>
      <c r="C22" s="3188">
        <v>14325.93</v>
      </c>
      <c r="E22" s="3187" t="s">
        <v>3441</v>
      </c>
      <c r="F22" s="3188">
        <v>8.77</v>
      </c>
      <c r="H22" s="3188">
        <v>363169</v>
      </c>
      <c r="I22" s="3187">
        <f>J22+L22+N22+P22</f>
        <v>273598</v>
      </c>
      <c r="J22" s="3188">
        <v>181812.5</v>
      </c>
      <c r="L22" s="3188">
        <v>75200</v>
      </c>
      <c r="N22" s="3188">
        <v>15000</v>
      </c>
      <c r="P22" s="3188">
        <v>1585.5</v>
      </c>
      <c r="R22" s="3188">
        <f>H22-I22</f>
        <v>89571</v>
      </c>
      <c r="S22" s="3186"/>
      <c r="T22" s="3186"/>
      <c r="U22" s="3186"/>
      <c r="V22" s="3186"/>
      <c r="W22" s="3186"/>
      <c r="X22" s="3186"/>
      <c r="Y22" s="3186"/>
      <c r="Z22" s="3186"/>
      <c r="AA22" s="3186"/>
      <c r="AB22" s="3186"/>
    </row>
    <row r="23" spans="1:28" s="3189" customFormat="1" ht="20.100000000000001" hidden="1" customHeight="1">
      <c r="A23" s="3310" t="s">
        <v>3446</v>
      </c>
      <c r="B23" s="3311"/>
      <c r="C23" s="3189">
        <f>C21+C22</f>
        <v>30692.6</v>
      </c>
      <c r="E23" s="3189" t="s">
        <v>3473</v>
      </c>
      <c r="F23" s="3189">
        <f>ROUND(I23/C23,2)</f>
        <v>14.59</v>
      </c>
      <c r="H23" s="3189">
        <f t="shared" ref="H23:R23" si="11">H21+H22</f>
        <v>591472</v>
      </c>
      <c r="I23" s="3189">
        <f t="shared" si="11"/>
        <v>447717</v>
      </c>
      <c r="J23" s="3189">
        <f t="shared" si="11"/>
        <v>334926.5</v>
      </c>
      <c r="L23" s="3189">
        <f t="shared" si="11"/>
        <v>75200</v>
      </c>
      <c r="N23" s="3189">
        <f t="shared" si="11"/>
        <v>35000</v>
      </c>
      <c r="P23" s="3189">
        <f t="shared" si="11"/>
        <v>2590.5</v>
      </c>
      <c r="R23" s="3189">
        <f t="shared" si="11"/>
        <v>143755</v>
      </c>
    </row>
    <row r="24" spans="1:28" s="3215" customFormat="1" ht="20.100000000000001" hidden="1" customHeight="1">
      <c r="A24" s="3322"/>
      <c r="B24" s="3315" t="s">
        <v>3447</v>
      </c>
      <c r="C24" s="3315" t="s">
        <v>3448</v>
      </c>
      <c r="D24" s="3214"/>
      <c r="E24" s="3315" t="s">
        <v>3449</v>
      </c>
      <c r="F24" s="3315" t="s">
        <v>3450</v>
      </c>
      <c r="G24" s="3214"/>
      <c r="H24" s="3315" t="s">
        <v>3452</v>
      </c>
      <c r="I24" s="3315" t="s">
        <v>3451</v>
      </c>
      <c r="J24" s="3319" t="s">
        <v>3432</v>
      </c>
      <c r="K24" s="3320"/>
      <c r="L24" s="3320"/>
      <c r="M24" s="3320"/>
      <c r="N24" s="3321"/>
      <c r="O24" s="3214"/>
      <c r="P24" s="3319" t="s">
        <v>3433</v>
      </c>
      <c r="Q24" s="3320"/>
      <c r="R24" s="3321"/>
      <c r="S24" s="3190"/>
      <c r="T24" s="3190"/>
      <c r="U24" s="3190"/>
      <c r="V24" s="3190"/>
      <c r="W24" s="3190"/>
      <c r="X24" s="3190"/>
      <c r="Y24" s="3190"/>
      <c r="Z24" s="3190"/>
      <c r="AA24" s="3190"/>
      <c r="AB24" s="3190"/>
    </row>
    <row r="25" spans="1:28" s="3193" customFormat="1" ht="32.25" hidden="1" customHeight="1">
      <c r="A25" s="3323"/>
      <c r="B25" s="3316"/>
      <c r="C25" s="3316"/>
      <c r="D25" s="3214"/>
      <c r="E25" s="3316"/>
      <c r="F25" s="3316"/>
      <c r="G25" s="3214"/>
      <c r="H25" s="3316"/>
      <c r="I25" s="3316"/>
      <c r="J25" s="3191" t="s">
        <v>3453</v>
      </c>
      <c r="K25" s="3191"/>
      <c r="L25" s="3191" t="s">
        <v>3454</v>
      </c>
      <c r="M25" s="3191"/>
      <c r="N25" s="3191" t="s">
        <v>3455</v>
      </c>
      <c r="O25" s="3191"/>
      <c r="P25" s="3191" t="s">
        <v>3457</v>
      </c>
      <c r="Q25" s="3191"/>
      <c r="R25" s="3191" t="s">
        <v>3459</v>
      </c>
      <c r="S25" s="3192"/>
      <c r="T25" s="3192"/>
      <c r="U25" s="3192"/>
      <c r="V25" s="3192"/>
      <c r="W25" s="3192"/>
      <c r="X25" s="3192"/>
      <c r="Y25" s="3192"/>
      <c r="Z25" s="3192"/>
      <c r="AA25" s="3192"/>
      <c r="AB25" s="3192"/>
    </row>
    <row r="26" spans="1:28" s="3185" customFormat="1" ht="20.100000000000001" hidden="1" customHeight="1">
      <c r="A26" s="3184" t="s">
        <v>3461</v>
      </c>
      <c r="B26" s="3184" t="s">
        <v>3462</v>
      </c>
      <c r="C26" s="3185">
        <v>8130.89</v>
      </c>
      <c r="E26" s="3184" t="s">
        <v>3463</v>
      </c>
      <c r="F26" s="3185">
        <v>3.63</v>
      </c>
      <c r="H26" s="3185">
        <v>96457</v>
      </c>
      <c r="I26" s="3185">
        <f>ROUND(F26*C26,2)</f>
        <v>29515.13</v>
      </c>
      <c r="J26" s="3185">
        <f>ROUND(I26/I9*J9,2)</f>
        <v>28444.94</v>
      </c>
      <c r="L26" s="3185">
        <v>0</v>
      </c>
      <c r="N26" s="3185">
        <f>ROUND(I26/I9*N9,2)</f>
        <v>885.07</v>
      </c>
      <c r="P26" s="3185">
        <f>I26-J26-N26-L26</f>
        <v>185.12000000000228</v>
      </c>
      <c r="R26" s="3185">
        <f>H26-I26</f>
        <v>66941.87</v>
      </c>
    </row>
    <row r="27" spans="1:28" s="3185" customFormat="1" ht="20.100000000000001" hidden="1" customHeight="1">
      <c r="A27" s="3184" t="s">
        <v>3464</v>
      </c>
      <c r="B27" s="3184" t="s">
        <v>3465</v>
      </c>
      <c r="C27" s="3185">
        <v>38188.080000000002</v>
      </c>
      <c r="E27" s="3184" t="s">
        <v>3463</v>
      </c>
      <c r="F27" s="3185">
        <v>3.28</v>
      </c>
      <c r="H27" s="3185">
        <v>191762</v>
      </c>
      <c r="I27" s="3185">
        <f t="shared" ref="I27:I29" si="12">ROUND(F27*C27,2)</f>
        <v>125256.9</v>
      </c>
      <c r="J27" s="3185">
        <f>ROUND(I27/I10*J10,2)</f>
        <v>120794.49</v>
      </c>
      <c r="L27" s="3185">
        <v>0</v>
      </c>
      <c r="N27" s="3185">
        <f>ROUND(I27/I10*N10,2)</f>
        <v>3757.73</v>
      </c>
      <c r="P27" s="3185">
        <f t="shared" ref="P27:P29" si="13">I27-J27-N27-L27</f>
        <v>704.67999999998892</v>
      </c>
      <c r="R27" s="3185">
        <f t="shared" ref="R27:R29" si="14">H27-I27</f>
        <v>66505.100000000006</v>
      </c>
    </row>
    <row r="28" spans="1:28" s="3185" customFormat="1" ht="20.100000000000001" hidden="1" customHeight="1">
      <c r="A28" s="3184" t="s">
        <v>3466</v>
      </c>
      <c r="B28" s="3184" t="s">
        <v>3467</v>
      </c>
      <c r="C28" s="3185">
        <v>66413.67</v>
      </c>
      <c r="E28" s="3184" t="s">
        <v>3463</v>
      </c>
      <c r="F28" s="3185">
        <v>4.37</v>
      </c>
      <c r="H28" s="3185">
        <v>360282</v>
      </c>
      <c r="I28" s="3185">
        <f t="shared" si="12"/>
        <v>290227.74</v>
      </c>
      <c r="J28" s="3185">
        <f>ROUND(I28/I11*J11,2)</f>
        <v>279878.65000000002</v>
      </c>
      <c r="L28" s="3185">
        <v>0</v>
      </c>
      <c r="N28" s="3185">
        <f>ROUND(I28/I11*N11,2)</f>
        <v>8706.84</v>
      </c>
      <c r="P28" s="3185">
        <f t="shared" si="13"/>
        <v>1642.2499999999673</v>
      </c>
      <c r="R28" s="3185">
        <f t="shared" si="14"/>
        <v>70054.260000000009</v>
      </c>
    </row>
    <row r="29" spans="1:28" s="3185" customFormat="1" ht="20.100000000000001" hidden="1" customHeight="1">
      <c r="A29" s="3184" t="s">
        <v>3468</v>
      </c>
      <c r="B29" s="3184" t="s">
        <v>3469</v>
      </c>
      <c r="C29" s="3185">
        <v>102426.3</v>
      </c>
      <c r="E29" s="3184" t="s">
        <v>3463</v>
      </c>
      <c r="F29" s="3185">
        <v>4.55</v>
      </c>
      <c r="H29" s="3185">
        <v>613033</v>
      </c>
      <c r="I29" s="3185">
        <f t="shared" si="12"/>
        <v>466039.67</v>
      </c>
      <c r="J29" s="3185">
        <f>ROUND(I29/I12*J12,2)</f>
        <v>443023.15</v>
      </c>
      <c r="L29" s="3185">
        <f>ROUND(I29/I12*L12,2)</f>
        <v>6807.44</v>
      </c>
      <c r="N29" s="3185">
        <f>ROUND(I29/I12*N12,2)</f>
        <v>13981.16</v>
      </c>
      <c r="P29" s="3185">
        <f t="shared" si="13"/>
        <v>2227.919999999961</v>
      </c>
      <c r="R29" s="3185">
        <f t="shared" si="14"/>
        <v>146993.33000000002</v>
      </c>
    </row>
    <row r="30" spans="1:28" s="3189" customFormat="1" ht="20.100000000000001" hidden="1" customHeight="1">
      <c r="A30" s="3310" t="s">
        <v>3446</v>
      </c>
      <c r="B30" s="3311"/>
      <c r="C30" s="3189">
        <f>C26+C27+C28+C29</f>
        <v>215158.94</v>
      </c>
      <c r="E30" s="3189" t="s">
        <v>3473</v>
      </c>
      <c r="F30" s="3189">
        <f>ROUND(I30/C30,2)</f>
        <v>4.2300000000000004</v>
      </c>
      <c r="H30" s="3189">
        <f t="shared" ref="H30:R30" si="15">H26+H27+H28+H29</f>
        <v>1261534</v>
      </c>
      <c r="I30" s="3189">
        <f t="shared" si="15"/>
        <v>911039.44</v>
      </c>
      <c r="J30" s="3189">
        <f t="shared" si="15"/>
        <v>872141.23</v>
      </c>
      <c r="L30" s="3189">
        <f t="shared" si="15"/>
        <v>6807.44</v>
      </c>
      <c r="N30" s="3189">
        <f t="shared" si="15"/>
        <v>27330.799999999999</v>
      </c>
      <c r="P30" s="3189">
        <f t="shared" si="15"/>
        <v>4759.9699999999193</v>
      </c>
      <c r="R30" s="3189">
        <f t="shared" si="15"/>
        <v>350494.56000000006</v>
      </c>
    </row>
    <row r="31" spans="1:28" s="3189" customFormat="1" ht="20.100000000000001" hidden="1" customHeight="1">
      <c r="C31" s="3189">
        <f>C30+C23</f>
        <v>245851.54</v>
      </c>
      <c r="H31" s="3189">
        <f t="shared" ref="H31:R31" si="16">H30+H23</f>
        <v>1853006</v>
      </c>
      <c r="I31" s="3189">
        <f t="shared" si="16"/>
        <v>1358756.44</v>
      </c>
      <c r="J31" s="3189">
        <f t="shared" si="16"/>
        <v>1207067.73</v>
      </c>
      <c r="L31" s="3189">
        <f t="shared" si="16"/>
        <v>82007.44</v>
      </c>
      <c r="N31" s="3189">
        <f t="shared" si="16"/>
        <v>62330.8</v>
      </c>
      <c r="P31" s="3189">
        <f t="shared" si="16"/>
        <v>7350.4699999999193</v>
      </c>
      <c r="R31" s="3189">
        <f t="shared" si="16"/>
        <v>494249.56000000006</v>
      </c>
    </row>
    <row r="32" spans="1:28" ht="13.5" hidden="1" customHeight="1"/>
    <row r="33" spans="14:16">
      <c r="N33" s="3183">
        <f>N11+P11</f>
        <v>10242.030000000001</v>
      </c>
      <c r="P33" s="3183">
        <f>N33/I11</f>
        <v>3.5658497046449668E-2</v>
      </c>
    </row>
    <row r="50" spans="3:8" ht="15.75">
      <c r="D50" s="3211" t="s">
        <v>3419</v>
      </c>
      <c r="E50" s="3212"/>
      <c r="F50" s="3212"/>
      <c r="G50" s="3212"/>
      <c r="H50" s="3212"/>
    </row>
    <row r="51" spans="3:8">
      <c r="E51" s="3194"/>
      <c r="H51" s="3194"/>
    </row>
    <row r="54" spans="3:8">
      <c r="C54" s="3183">
        <v>76</v>
      </c>
    </row>
  </sheetData>
  <mergeCells count="44">
    <mergeCell ref="P1:R1"/>
    <mergeCell ref="J7:N7"/>
    <mergeCell ref="P7:R7"/>
    <mergeCell ref="A6:B6"/>
    <mergeCell ref="A7:A8"/>
    <mergeCell ref="B7:B8"/>
    <mergeCell ref="C7:C8"/>
    <mergeCell ref="E7:E8"/>
    <mergeCell ref="A1:A2"/>
    <mergeCell ref="B1:B2"/>
    <mergeCell ref="C1:C2"/>
    <mergeCell ref="E1:E2"/>
    <mergeCell ref="F1:F2"/>
    <mergeCell ref="D1:D2"/>
    <mergeCell ref="J19:N19"/>
    <mergeCell ref="I1:I2"/>
    <mergeCell ref="H1:H2"/>
    <mergeCell ref="F7:F8"/>
    <mergeCell ref="H7:H8"/>
    <mergeCell ref="I7:I8"/>
    <mergeCell ref="G7:G8"/>
    <mergeCell ref="G1:G2"/>
    <mergeCell ref="J1:N1"/>
    <mergeCell ref="A15:B15"/>
    <mergeCell ref="A19:A20"/>
    <mergeCell ref="B19:B20"/>
    <mergeCell ref="C19:C20"/>
    <mergeCell ref="D19:D20"/>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4" customFormat="1">
      <c r="A2" s="3174" t="s">
        <v>3263</v>
      </c>
      <c r="B2" s="3174" t="s">
        <v>3264</v>
      </c>
      <c r="C2" s="3174" t="s">
        <v>3000</v>
      </c>
      <c r="D2" s="3174" t="s">
        <v>3265</v>
      </c>
      <c r="E2" s="3174" t="s">
        <v>3263</v>
      </c>
      <c r="F2" s="3174" t="s">
        <v>3002</v>
      </c>
      <c r="G2" s="3174">
        <v>36681.410000000003</v>
      </c>
      <c r="H2" s="3174">
        <v>128384.9</v>
      </c>
      <c r="I2" s="3174" t="s">
        <v>3161</v>
      </c>
      <c r="J2" s="3174" t="s">
        <v>3266</v>
      </c>
      <c r="K2" s="3174" t="s">
        <v>3267</v>
      </c>
      <c r="L2" s="3174">
        <v>20544</v>
      </c>
      <c r="M2" s="3174">
        <v>36124</v>
      </c>
      <c r="N2" s="3174">
        <v>656.54</v>
      </c>
      <c r="O2" s="3174">
        <v>2813.73</v>
      </c>
      <c r="P2" s="3174">
        <v>75.84</v>
      </c>
      <c r="Q2" s="3174" t="s">
        <v>3003</v>
      </c>
    </row>
    <row r="3" spans="1:17" s="3167" customFormat="1">
      <c r="A3" s="3167" t="s">
        <v>3320</v>
      </c>
      <c r="B3" s="3167" t="s">
        <v>3264</v>
      </c>
      <c r="C3" s="3167" t="s">
        <v>3000</v>
      </c>
      <c r="D3" s="3167" t="s">
        <v>3265</v>
      </c>
      <c r="E3" s="3167" t="s">
        <v>3268</v>
      </c>
      <c r="F3" s="3167" t="s">
        <v>3002</v>
      </c>
      <c r="G3" s="3167">
        <v>131767.9</v>
      </c>
      <c r="H3" s="3167">
        <v>395303.7</v>
      </c>
      <c r="I3" s="3167" t="s">
        <v>3269</v>
      </c>
      <c r="J3" s="3167" t="s">
        <v>3037</v>
      </c>
      <c r="K3" s="3167" t="s">
        <v>3270</v>
      </c>
      <c r="L3" s="3167">
        <v>90525</v>
      </c>
      <c r="M3" s="3167">
        <v>135800</v>
      </c>
      <c r="N3" s="3167">
        <v>687.07</v>
      </c>
      <c r="O3" s="3167">
        <v>3435.32</v>
      </c>
      <c r="P3" s="3167">
        <v>50.01</v>
      </c>
      <c r="Q3" s="3167" t="s">
        <v>3003</v>
      </c>
    </row>
    <row r="4" spans="1:17" s="3167" customFormat="1">
      <c r="A4" s="3167" t="s">
        <v>3321</v>
      </c>
      <c r="B4" s="3167" t="s">
        <v>3264</v>
      </c>
      <c r="C4" s="3167" t="s">
        <v>3000</v>
      </c>
      <c r="D4" s="3167" t="s">
        <v>3265</v>
      </c>
      <c r="E4" s="3167" t="s">
        <v>3271</v>
      </c>
      <c r="F4" s="3167" t="s">
        <v>3002</v>
      </c>
      <c r="G4" s="3167">
        <v>5449.61</v>
      </c>
      <c r="H4" s="3167">
        <v>19073.63</v>
      </c>
      <c r="I4" s="3167" t="s">
        <v>3161</v>
      </c>
      <c r="J4" s="3167" t="s">
        <v>3037</v>
      </c>
      <c r="K4" s="3167" t="s">
        <v>3272</v>
      </c>
      <c r="L4" s="3167">
        <v>4012</v>
      </c>
      <c r="M4" s="3167">
        <v>6016</v>
      </c>
      <c r="N4" s="3167">
        <v>735.95</v>
      </c>
      <c r="O4" s="3167">
        <v>3154.09</v>
      </c>
      <c r="P4" s="3167">
        <v>49.95</v>
      </c>
      <c r="Q4" s="3167"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7" customFormat="1">
      <c r="A7" s="3167" t="s">
        <v>3281</v>
      </c>
      <c r="B7" s="3167" t="s">
        <v>3264</v>
      </c>
      <c r="C7" s="3167" t="s">
        <v>3011</v>
      </c>
      <c r="D7" s="3167" t="s">
        <v>3265</v>
      </c>
      <c r="E7" s="3167" t="s">
        <v>3281</v>
      </c>
      <c r="F7" s="3167" t="s">
        <v>3002</v>
      </c>
      <c r="G7" s="3167">
        <v>24948.79</v>
      </c>
      <c r="H7" s="3167">
        <v>99795.16</v>
      </c>
      <c r="I7" s="3167" t="s">
        <v>3200</v>
      </c>
      <c r="J7" s="3167" t="s">
        <v>3279</v>
      </c>
      <c r="K7" s="3167" t="s">
        <v>3282</v>
      </c>
      <c r="L7" s="3167">
        <v>25747</v>
      </c>
      <c r="M7" s="3167">
        <v>34747</v>
      </c>
      <c r="N7" s="3167">
        <v>928.49</v>
      </c>
      <c r="O7" s="3167">
        <v>3481.82</v>
      </c>
      <c r="P7" s="3167">
        <v>34.96</v>
      </c>
      <c r="Q7" s="3167"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H2" sqref="H2:H10"/>
    </sheetView>
  </sheetViews>
  <sheetFormatPr defaultRowHeight="13.5"/>
  <cols>
    <col min="6" max="6" width="36.25" customWidth="1"/>
    <col min="9" max="9" width="23.375" customWidth="1"/>
  </cols>
  <sheetData>
    <row r="1" spans="1:10">
      <c r="B1" t="s">
        <v>3519</v>
      </c>
    </row>
    <row r="2" spans="1:10" ht="54">
      <c r="A2" s="3167" t="s">
        <v>3407</v>
      </c>
      <c r="B2" t="s">
        <v>3520</v>
      </c>
      <c r="F2" s="3220" t="s">
        <v>3528</v>
      </c>
      <c r="G2" s="2" t="s">
        <v>3522</v>
      </c>
      <c r="H2">
        <v>13100</v>
      </c>
      <c r="J2">
        <v>16366.67</v>
      </c>
    </row>
    <row r="3" spans="1:10">
      <c r="A3" s="3167" t="s">
        <v>3408</v>
      </c>
      <c r="B3" t="s">
        <v>3521</v>
      </c>
      <c r="F3" s="3220" t="s">
        <v>3525</v>
      </c>
      <c r="G3" s="2"/>
      <c r="H3">
        <v>10500</v>
      </c>
      <c r="J3">
        <v>14325.93</v>
      </c>
    </row>
    <row r="4" spans="1:10">
      <c r="A4" s="3167" t="s">
        <v>3406</v>
      </c>
      <c r="B4" t="s">
        <v>3516</v>
      </c>
      <c r="F4" s="3220" t="s">
        <v>3527</v>
      </c>
      <c r="G4" s="2"/>
      <c r="H4">
        <v>4600</v>
      </c>
      <c r="J4">
        <v>7040.54</v>
      </c>
    </row>
    <row r="5" spans="1:10">
      <c r="A5" t="s">
        <v>3405</v>
      </c>
      <c r="B5" t="s">
        <v>3511</v>
      </c>
      <c r="F5" s="3220" t="s">
        <v>3529</v>
      </c>
      <c r="G5" s="2"/>
      <c r="H5">
        <v>4000</v>
      </c>
      <c r="I5" s="3220"/>
      <c r="J5">
        <v>8130.89</v>
      </c>
    </row>
    <row r="6" spans="1:10">
      <c r="A6" t="s">
        <v>3409</v>
      </c>
      <c r="B6" t="s">
        <v>3513</v>
      </c>
      <c r="F6" s="3220" t="s">
        <v>3530</v>
      </c>
      <c r="G6" s="2"/>
      <c r="H6">
        <v>15700</v>
      </c>
      <c r="J6">
        <v>38188.080000000002</v>
      </c>
    </row>
    <row r="7" spans="1:10">
      <c r="A7" t="s">
        <v>3410</v>
      </c>
      <c r="B7" t="s">
        <v>3514</v>
      </c>
      <c r="F7" s="3220" t="s">
        <v>3524</v>
      </c>
      <c r="G7" s="2"/>
      <c r="H7">
        <v>28200</v>
      </c>
      <c r="I7" t="s">
        <v>3523</v>
      </c>
      <c r="J7">
        <v>66413.67</v>
      </c>
    </row>
    <row r="8" spans="1:10">
      <c r="A8" t="s">
        <v>3412</v>
      </c>
      <c r="B8" t="s">
        <v>3515</v>
      </c>
      <c r="F8" s="3220" t="s">
        <v>3531</v>
      </c>
      <c r="G8" s="2"/>
      <c r="H8">
        <v>47600</v>
      </c>
      <c r="J8">
        <v>102426.3</v>
      </c>
    </row>
    <row r="9" spans="1:10">
      <c r="A9" t="s">
        <v>3413</v>
      </c>
      <c r="B9" t="s">
        <v>3517</v>
      </c>
      <c r="F9" s="3220" t="s">
        <v>3532</v>
      </c>
      <c r="G9" s="2"/>
      <c r="H9">
        <v>22400</v>
      </c>
      <c r="J9">
        <v>44776.57</v>
      </c>
    </row>
    <row r="10" spans="1:10">
      <c r="A10" t="s">
        <v>3414</v>
      </c>
      <c r="B10" t="s">
        <v>3518</v>
      </c>
      <c r="F10" s="3220" t="s">
        <v>3526</v>
      </c>
      <c r="G10" s="2"/>
      <c r="H10">
        <v>9700</v>
      </c>
      <c r="J10">
        <v>21904.02</v>
      </c>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topLeftCell="C1" zoomScale="90" zoomScaleNormal="90" zoomScaleSheetLayoutView="90" workbookViewId="0">
      <selection activeCell="F19" sqref="F1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202</v>
      </c>
      <c r="B1" s="1980"/>
      <c r="C1" s="1980"/>
      <c r="D1" s="1980"/>
      <c r="E1" s="1980"/>
      <c r="F1" s="1980"/>
      <c r="G1" s="1980"/>
      <c r="H1" s="1980"/>
      <c r="I1" s="1980"/>
      <c r="J1" s="1980"/>
      <c r="K1" s="1980"/>
      <c r="L1" s="1980"/>
    </row>
    <row r="2" spans="1:16" ht="15">
      <c r="A2" s="3333" t="s">
        <v>203</v>
      </c>
      <c r="B2" s="3333"/>
      <c r="C2" s="3333"/>
      <c r="D2" s="1971" t="s">
        <v>204</v>
      </c>
      <c r="E2" s="105" t="s">
        <v>205</v>
      </c>
      <c r="F2" s="1980"/>
      <c r="G2" s="1195"/>
      <c r="H2" s="1196"/>
      <c r="I2" s="1197" t="s">
        <v>852</v>
      </c>
      <c r="J2" s="1980"/>
      <c r="K2" s="1980"/>
      <c r="L2" s="1980"/>
    </row>
    <row r="3" spans="1:16" ht="15.75" thickBot="1">
      <c r="A3" s="3334" t="s">
        <v>206</v>
      </c>
      <c r="B3" s="3334"/>
      <c r="C3" s="3334"/>
      <c r="D3" s="106">
        <f>'数据-基础表'!AY6</f>
        <v>72299.64</v>
      </c>
      <c r="E3" s="106">
        <f>'数据-基础表'!AZ5</f>
        <v>320965.16000000003</v>
      </c>
      <c r="F3" s="1980"/>
      <c r="G3" s="278" t="s">
        <v>853</v>
      </c>
      <c r="H3" s="273" t="s">
        <v>854</v>
      </c>
      <c r="I3" s="1972">
        <f>ROUND('数据-基础表'!B3/'数据-基础表'!A3,2)</f>
        <v>4.4400000000000004</v>
      </c>
      <c r="J3" s="1980"/>
      <c r="K3" s="1980"/>
      <c r="L3" s="1980"/>
    </row>
    <row r="4" spans="1:16" ht="15">
      <c r="A4" s="3335"/>
      <c r="B4" s="3336"/>
      <c r="C4" s="3337"/>
      <c r="D4" s="107" t="s">
        <v>204</v>
      </c>
      <c r="E4" s="108" t="s">
        <v>205</v>
      </c>
      <c r="F4" s="1980"/>
      <c r="G4" s="1198"/>
      <c r="H4" s="273" t="s">
        <v>855</v>
      </c>
      <c r="I4" s="1972">
        <f>ROUND(SUMIF('数据-基础表'!I9:AS9,"地上",'数据-基础表'!I5:AS5)/'数据-基础表'!A3,2)</f>
        <v>3.42</v>
      </c>
      <c r="J4" s="1980"/>
      <c r="K4" s="1980"/>
      <c r="L4" s="1980"/>
    </row>
    <row r="5" spans="1:16">
      <c r="A5" s="109" t="s">
        <v>207</v>
      </c>
      <c r="B5" s="3338" t="s">
        <v>230</v>
      </c>
      <c r="C5" s="3338"/>
      <c r="D5" s="110">
        <f>ROUND($D$3*E5/$E$3,2)</f>
        <v>54365.67</v>
      </c>
      <c r="E5" s="111">
        <f>SUMIF('数据-基础表'!$11:$11,"住宅",'数据-基础表'!$5:$5)</f>
        <v>241349.54</v>
      </c>
      <c r="F5" s="1980"/>
      <c r="G5" s="278" t="s">
        <v>856</v>
      </c>
      <c r="H5" s="273" t="s">
        <v>854</v>
      </c>
      <c r="I5" s="1972">
        <f>ROUND(E31/D31,2)</f>
        <v>4.4400000000000004</v>
      </c>
      <c r="J5" s="1980"/>
      <c r="K5" s="1980"/>
      <c r="L5" s="1980"/>
    </row>
    <row r="6" spans="1:16" ht="15" thickBot="1">
      <c r="A6" s="112"/>
      <c r="B6" s="3338" t="s">
        <v>208</v>
      </c>
      <c r="C6" s="3338"/>
      <c r="D6" s="110">
        <f>ROUND($D$3*E6/$E$3,2)</f>
        <v>17933.97</v>
      </c>
      <c r="E6" s="111">
        <f>E3-E5</f>
        <v>79615.620000000024</v>
      </c>
      <c r="F6" s="1980"/>
      <c r="G6" s="1198"/>
      <c r="H6" s="273" t="s">
        <v>855</v>
      </c>
      <c r="I6" s="1972">
        <f>ROUND(F31/D31,2)</f>
        <v>3.42</v>
      </c>
      <c r="J6" s="1980"/>
      <c r="K6" s="1980"/>
      <c r="L6" s="1980"/>
    </row>
    <row r="7" spans="1:16" ht="15">
      <c r="A7" s="3330"/>
      <c r="B7" s="3331"/>
      <c r="C7" s="3332"/>
      <c r="D7" s="107" t="s">
        <v>204</v>
      </c>
      <c r="E7" s="113" t="s">
        <v>231</v>
      </c>
      <c r="F7" s="1980"/>
      <c r="G7" s="1153" t="s">
        <v>1641</v>
      </c>
      <c r="H7" s="1154"/>
      <c r="I7" s="3227">
        <v>3.54</v>
      </c>
      <c r="J7" s="1980"/>
      <c r="K7" s="1980"/>
      <c r="L7" s="1980"/>
    </row>
    <row r="8" spans="1:16">
      <c r="A8" s="109" t="s">
        <v>209</v>
      </c>
      <c r="B8" s="114" t="s">
        <v>210</v>
      </c>
      <c r="C8" s="110" t="s">
        <v>211</v>
      </c>
      <c r="D8" s="110">
        <f t="shared" ref="D8:D15" si="0">ROUND($D$3*E8/$E$3,2)</f>
        <v>54365.67</v>
      </c>
      <c r="E8" s="115">
        <f>SUMIF('数据-基础表'!BB10:BK10,"地上",'数据-基础表'!BB5:BK5)</f>
        <v>241349.54</v>
      </c>
      <c r="F8" s="1980"/>
      <c r="G8" s="1982"/>
      <c r="H8" s="1982"/>
      <c r="I8" s="1980"/>
      <c r="J8" s="1980"/>
      <c r="K8" s="1980"/>
      <c r="L8" s="1980"/>
    </row>
    <row r="9" spans="1:16" ht="15">
      <c r="A9" s="116"/>
      <c r="B9" s="117"/>
      <c r="C9" s="110" t="s">
        <v>212</v>
      </c>
      <c r="D9" s="110">
        <f t="shared" si="0"/>
        <v>0</v>
      </c>
      <c r="E9" s="3236"/>
      <c r="F9" s="3237" t="s">
        <v>3541</v>
      </c>
      <c r="G9" s="1982"/>
      <c r="H9" s="1982"/>
      <c r="I9" s="1980"/>
      <c r="J9" s="1980"/>
      <c r="K9" s="1980"/>
      <c r="L9" s="1980"/>
    </row>
    <row r="10" spans="1:16">
      <c r="A10" s="116"/>
      <c r="B10" s="117"/>
      <c r="C10" s="110" t="s">
        <v>213</v>
      </c>
      <c r="D10" s="110">
        <f t="shared" si="0"/>
        <v>1729.57</v>
      </c>
      <c r="E10" s="115">
        <f>SUMPRODUCT(('数据-基础表'!BB10:BK10="地下")*('数据-基础表'!BB11:BK11="商业")*('数据-基础表'!BB5:BK5))</f>
        <v>7678.2</v>
      </c>
      <c r="F10" s="1980"/>
      <c r="G10" s="1982"/>
      <c r="H10" s="1982"/>
      <c r="I10" s="1980"/>
      <c r="J10" s="1980"/>
      <c r="K10" s="1980"/>
      <c r="L10" s="1980"/>
    </row>
    <row r="11" spans="1:16">
      <c r="A11" s="116"/>
      <c r="B11" s="117"/>
      <c r="C11" s="2327" t="s">
        <v>2325</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214</v>
      </c>
      <c r="D12" s="110">
        <f t="shared" si="0"/>
        <v>0</v>
      </c>
      <c r="E12" s="115">
        <f>SUMPRODUCT(('数据-基础表'!BB10:BK10="地下")*('数据-基础表'!BB11:BK11="仓储")*('数据-基础表'!BB5:BK5))</f>
        <v>0</v>
      </c>
      <c r="F12" s="1980"/>
      <c r="G12" s="1982"/>
      <c r="H12" s="1982"/>
      <c r="I12" s="1980"/>
      <c r="J12" s="1980"/>
      <c r="K12" s="1980"/>
      <c r="L12" s="1980"/>
    </row>
    <row r="13" spans="1:16">
      <c r="A13" s="116"/>
      <c r="B13" s="117"/>
      <c r="C13" s="2327" t="s">
        <v>2332</v>
      </c>
      <c r="D13" s="110">
        <f t="shared" si="0"/>
        <v>0</v>
      </c>
      <c r="E13" s="115">
        <f>SUMPRODUCT(('数据-基础表'!BB10:BK10="地下")*('数据-基础表'!BB11:BK11="车库")*('数据-基础表'!BB5:BK5))</f>
        <v>0</v>
      </c>
      <c r="F13" s="1980"/>
      <c r="G13" s="1982"/>
      <c r="H13" s="1982"/>
      <c r="I13" s="1980"/>
      <c r="J13" s="1980"/>
      <c r="K13" s="1980"/>
      <c r="L13" s="1980"/>
    </row>
    <row r="14" spans="1:16">
      <c r="A14" s="116"/>
      <c r="B14" s="117"/>
      <c r="C14" s="110" t="s">
        <v>232</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233</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215</v>
      </c>
      <c r="D16" s="114">
        <f>SUM(D8:D15)</f>
        <v>56095.24</v>
      </c>
      <c r="E16" s="118">
        <f>SUM(E8:E15)</f>
        <v>249027.74000000002</v>
      </c>
      <c r="F16" s="1980"/>
      <c r="G16" s="1982"/>
      <c r="H16" s="965" t="s">
        <v>219</v>
      </c>
      <c r="I16" s="966"/>
      <c r="J16" s="1980"/>
      <c r="K16" s="3324" t="s">
        <v>2565</v>
      </c>
      <c r="L16" s="3325"/>
      <c r="M16" s="3325"/>
      <c r="N16" s="3325"/>
      <c r="O16" s="3325"/>
      <c r="P16" s="3326"/>
    </row>
    <row r="17" spans="1:19" ht="15">
      <c r="A17" s="119" t="s">
        <v>216</v>
      </c>
      <c r="B17" s="120" t="s">
        <v>217</v>
      </c>
      <c r="C17" s="2294" t="s">
        <v>2311</v>
      </c>
      <c r="D17" s="107" t="s">
        <v>204</v>
      </c>
      <c r="E17" s="122" t="s">
        <v>205</v>
      </c>
      <c r="F17" s="123"/>
      <c r="G17" s="1363"/>
      <c r="H17" s="967" t="s">
        <v>218</v>
      </c>
      <c r="I17" s="968" t="s">
        <v>2310</v>
      </c>
      <c r="J17" s="1980"/>
      <c r="K17" s="3327" t="s">
        <v>2566</v>
      </c>
      <c r="L17" s="3328"/>
      <c r="M17" s="3329"/>
      <c r="N17" s="3327" t="s">
        <v>2567</v>
      </c>
      <c r="O17" s="3328"/>
      <c r="P17" s="3329"/>
      <c r="R17" s="2295" t="s">
        <v>2309</v>
      </c>
      <c r="S17" s="142"/>
    </row>
    <row r="18" spans="1:19" ht="15">
      <c r="A18" s="116"/>
      <c r="B18" s="126"/>
      <c r="C18" s="127"/>
      <c r="D18" s="2662"/>
      <c r="E18" s="128" t="s">
        <v>220</v>
      </c>
      <c r="F18" s="129" t="s">
        <v>221</v>
      </c>
      <c r="G18" s="1364" t="s">
        <v>222</v>
      </c>
      <c r="H18" s="969" t="s">
        <v>223</v>
      </c>
      <c r="I18" s="970" t="s">
        <v>224</v>
      </c>
      <c r="J18" s="1980"/>
      <c r="K18" s="2624" t="s">
        <v>2568</v>
      </c>
      <c r="L18" s="2625" t="s">
        <v>2569</v>
      </c>
      <c r="M18" s="2626" t="s">
        <v>2570</v>
      </c>
      <c r="N18" s="2624" t="s">
        <v>2568</v>
      </c>
      <c r="O18" s="2625" t="s">
        <v>2569</v>
      </c>
      <c r="P18" s="2626" t="s">
        <v>2570</v>
      </c>
      <c r="R18" s="2296" t="s">
        <v>2307</v>
      </c>
      <c r="S18" s="2296" t="s">
        <v>2308</v>
      </c>
    </row>
    <row r="19" spans="1:19">
      <c r="A19" s="131"/>
      <c r="B19" s="114" t="s">
        <v>225</v>
      </c>
      <c r="C19" s="3046" t="str">
        <f>'数据-基础表'!I10</f>
        <v>住宅</v>
      </c>
      <c r="D19" s="110">
        <f t="shared" ref="D19:D26" si="1">ROUND($D$3*E19/$E$3,2)</f>
        <v>54365.67</v>
      </c>
      <c r="E19" s="132">
        <f t="shared" ref="E19:E26" si="2">SUM(F19:G19)</f>
        <v>241349.54</v>
      </c>
      <c r="F19" s="133">
        <f>'数据-基础表'!I13</f>
        <v>241349.54</v>
      </c>
      <c r="G19" s="1365"/>
      <c r="H19" s="971">
        <f>ROUND($D$3*I19/$E$3,2)</f>
        <v>15752.79</v>
      </c>
      <c r="I19" s="115">
        <f>IF($I$17="自定义",P19,M19)</f>
        <v>69932.55</v>
      </c>
      <c r="J19" s="1980"/>
      <c r="K19" s="2627">
        <f t="shared" ref="K19:K26" si="3">ROUND(E$28*E19/E$27,2)</f>
        <v>63019.29</v>
      </c>
      <c r="L19" s="273">
        <f t="shared" ref="L19:L26" si="4">ROUND(IF(COUNTIF(C19,"*住宅*")&gt;0,E$29*E19/E$32,0),2)</f>
        <v>6913.26</v>
      </c>
      <c r="M19" s="2628">
        <f>K19+L19</f>
        <v>69932.55</v>
      </c>
      <c r="N19" s="2629"/>
      <c r="O19" s="2630"/>
      <c r="P19" s="2631">
        <f>N19+O19</f>
        <v>0</v>
      </c>
      <c r="R19" s="273">
        <f t="shared" ref="R19:S26" si="5">D19+H19</f>
        <v>70118.459999999992</v>
      </c>
      <c r="S19" s="2297">
        <f t="shared" si="5"/>
        <v>311282.09000000003</v>
      </c>
    </row>
    <row r="20" spans="1:19">
      <c r="A20" s="136"/>
      <c r="B20" s="114" t="s">
        <v>226</v>
      </c>
      <c r="C20" s="3046" t="str">
        <f>'数据-基础表'!K10</f>
        <v>商业</v>
      </c>
      <c r="D20" s="110">
        <f t="shared" si="1"/>
        <v>1729.57</v>
      </c>
      <c r="E20" s="132">
        <f t="shared" si="2"/>
        <v>7678.2</v>
      </c>
      <c r="F20" s="133"/>
      <c r="G20" s="1365">
        <f>'数据-基础表'!K13</f>
        <v>7678.2</v>
      </c>
      <c r="H20" s="971">
        <f t="shared" ref="H20:H26" si="6">ROUND($D$3*I20/$E$3,2)</f>
        <v>451.61</v>
      </c>
      <c r="I20" s="115">
        <f t="shared" ref="I20:I26" si="7">IF($I$17="自定义",P20,M20)</f>
        <v>2004.87</v>
      </c>
      <c r="J20" s="1980"/>
      <c r="K20" s="2627">
        <f t="shared" si="3"/>
        <v>2004.87</v>
      </c>
      <c r="L20" s="273">
        <f t="shared" si="4"/>
        <v>0</v>
      </c>
      <c r="M20" s="2628">
        <f t="shared" ref="M20:M26" si="8">K20+L20</f>
        <v>2004.87</v>
      </c>
      <c r="N20" s="2629"/>
      <c r="O20" s="2630"/>
      <c r="P20" s="2631">
        <f t="shared" ref="P20:P26" si="9">N20+O20</f>
        <v>0</v>
      </c>
      <c r="R20" s="273">
        <f t="shared" si="5"/>
        <v>2181.1799999999998</v>
      </c>
      <c r="S20" s="2297">
        <f t="shared" si="5"/>
        <v>9683.07</v>
      </c>
    </row>
    <row r="21" spans="1:19" hidden="1">
      <c r="A21" s="136"/>
      <c r="B21" s="114" t="s">
        <v>226</v>
      </c>
      <c r="C21" s="3046"/>
      <c r="D21" s="110">
        <f t="shared" si="1"/>
        <v>0</v>
      </c>
      <c r="E21" s="132">
        <f t="shared" si="2"/>
        <v>0</v>
      </c>
      <c r="F21" s="133"/>
      <c r="G21" s="1365"/>
      <c r="H21" s="971">
        <f t="shared" si="6"/>
        <v>0</v>
      </c>
      <c r="I21" s="115">
        <f t="shared" si="7"/>
        <v>0</v>
      </c>
      <c r="J21" s="1980"/>
      <c r="K21" s="2627">
        <f t="shared" si="3"/>
        <v>0</v>
      </c>
      <c r="L21" s="273">
        <f t="shared" si="4"/>
        <v>0</v>
      </c>
      <c r="M21" s="2628">
        <f t="shared" si="8"/>
        <v>0</v>
      </c>
      <c r="N21" s="2629"/>
      <c r="O21" s="2630"/>
      <c r="P21" s="2631">
        <f t="shared" si="9"/>
        <v>0</v>
      </c>
      <c r="R21" s="273">
        <f t="shared" si="5"/>
        <v>0</v>
      </c>
      <c r="S21" s="2297">
        <f t="shared" si="5"/>
        <v>0</v>
      </c>
    </row>
    <row r="22" spans="1:19" hidden="1">
      <c r="A22" s="136"/>
      <c r="B22" s="114" t="s">
        <v>226</v>
      </c>
      <c r="C22" s="1362"/>
      <c r="D22" s="110">
        <f t="shared" si="1"/>
        <v>0</v>
      </c>
      <c r="E22" s="132">
        <f t="shared" si="2"/>
        <v>0</v>
      </c>
      <c r="F22" s="138"/>
      <c r="G22" s="1366"/>
      <c r="H22" s="971">
        <f t="shared" si="6"/>
        <v>0</v>
      </c>
      <c r="I22" s="115">
        <f t="shared" si="7"/>
        <v>0</v>
      </c>
      <c r="J22" s="1980"/>
      <c r="K22" s="2627">
        <f t="shared" si="3"/>
        <v>0</v>
      </c>
      <c r="L22" s="273">
        <f t="shared" si="4"/>
        <v>0</v>
      </c>
      <c r="M22" s="2628">
        <f t="shared" si="8"/>
        <v>0</v>
      </c>
      <c r="N22" s="2629"/>
      <c r="O22" s="2630"/>
      <c r="P22" s="2631">
        <f t="shared" si="9"/>
        <v>0</v>
      </c>
      <c r="R22" s="273">
        <f t="shared" si="5"/>
        <v>0</v>
      </c>
      <c r="S22" s="2297">
        <f t="shared" si="5"/>
        <v>0</v>
      </c>
    </row>
    <row r="23" spans="1:19" hidden="1">
      <c r="A23" s="136"/>
      <c r="B23" s="114" t="s">
        <v>226</v>
      </c>
      <c r="C23" s="137"/>
      <c r="D23" s="110">
        <f>ROUND($D$3*E23/$E$3,2)</f>
        <v>0</v>
      </c>
      <c r="E23" s="132">
        <f>SUM(F23:G23)</f>
        <v>0</v>
      </c>
      <c r="F23" s="138"/>
      <c r="G23" s="1366"/>
      <c r="H23" s="971">
        <f>ROUND($D$3*I23/$E$3,2)</f>
        <v>0</v>
      </c>
      <c r="I23" s="115">
        <f t="shared" si="7"/>
        <v>0</v>
      </c>
      <c r="J23" s="1980"/>
      <c r="K23" s="2627">
        <f t="shared" si="3"/>
        <v>0</v>
      </c>
      <c r="L23" s="273">
        <f t="shared" si="4"/>
        <v>0</v>
      </c>
      <c r="M23" s="2628">
        <f t="shared" si="8"/>
        <v>0</v>
      </c>
      <c r="N23" s="2629"/>
      <c r="O23" s="2630"/>
      <c r="P23" s="2631">
        <f t="shared" si="9"/>
        <v>0</v>
      </c>
      <c r="R23" s="273">
        <f t="shared" si="5"/>
        <v>0</v>
      </c>
      <c r="S23" s="2297">
        <f t="shared" si="5"/>
        <v>0</v>
      </c>
    </row>
    <row r="24" spans="1:19" hidden="1">
      <c r="A24" s="136"/>
      <c r="B24" s="114" t="s">
        <v>226</v>
      </c>
      <c r="C24" s="137"/>
      <c r="D24" s="110">
        <f>ROUND($D$3*E24/$E$3,2)</f>
        <v>0</v>
      </c>
      <c r="E24" s="132">
        <f>SUM(F24:G24)</f>
        <v>0</v>
      </c>
      <c r="F24" s="138"/>
      <c r="G24" s="1366"/>
      <c r="H24" s="971">
        <f>ROUND($D$3*I24/$E$3,2)</f>
        <v>0</v>
      </c>
      <c r="I24" s="115">
        <f t="shared" si="7"/>
        <v>0</v>
      </c>
      <c r="J24" s="1980"/>
      <c r="K24" s="2627">
        <f t="shared" si="3"/>
        <v>0</v>
      </c>
      <c r="L24" s="273">
        <f t="shared" si="4"/>
        <v>0</v>
      </c>
      <c r="M24" s="2628">
        <f t="shared" si="8"/>
        <v>0</v>
      </c>
      <c r="N24" s="2629"/>
      <c r="O24" s="2630"/>
      <c r="P24" s="2631">
        <f t="shared" si="9"/>
        <v>0</v>
      </c>
      <c r="R24" s="273">
        <f t="shared" si="5"/>
        <v>0</v>
      </c>
      <c r="S24" s="2297">
        <f t="shared" si="5"/>
        <v>0</v>
      </c>
    </row>
    <row r="25" spans="1:19" hidden="1">
      <c r="A25" s="136"/>
      <c r="B25" s="114" t="s">
        <v>226</v>
      </c>
      <c r="C25" s="137"/>
      <c r="D25" s="110">
        <f t="shared" si="1"/>
        <v>0</v>
      </c>
      <c r="E25" s="132">
        <f t="shared" si="2"/>
        <v>0</v>
      </c>
      <c r="F25" s="138"/>
      <c r="G25" s="1366"/>
      <c r="H25" s="109">
        <f t="shared" si="6"/>
        <v>0</v>
      </c>
      <c r="I25" s="115">
        <f t="shared" si="7"/>
        <v>0</v>
      </c>
      <c r="J25" s="1980"/>
      <c r="K25" s="2627">
        <f t="shared" si="3"/>
        <v>0</v>
      </c>
      <c r="L25" s="273">
        <f t="shared" si="4"/>
        <v>0</v>
      </c>
      <c r="M25" s="2628">
        <f t="shared" si="8"/>
        <v>0</v>
      </c>
      <c r="N25" s="2629"/>
      <c r="O25" s="2630"/>
      <c r="P25" s="2631">
        <f t="shared" si="9"/>
        <v>0</v>
      </c>
      <c r="R25" s="273">
        <f t="shared" si="5"/>
        <v>0</v>
      </c>
      <c r="S25" s="2297">
        <f t="shared" si="5"/>
        <v>0</v>
      </c>
    </row>
    <row r="26" spans="1:19" hidden="1">
      <c r="A26" s="136"/>
      <c r="B26" s="114" t="s">
        <v>226</v>
      </c>
      <c r="C26" s="140"/>
      <c r="D26" s="110">
        <f t="shared" si="1"/>
        <v>0</v>
      </c>
      <c r="E26" s="132">
        <f t="shared" si="2"/>
        <v>0</v>
      </c>
      <c r="F26" s="138"/>
      <c r="G26" s="1366"/>
      <c r="H26" s="109">
        <f t="shared" si="6"/>
        <v>0</v>
      </c>
      <c r="I26" s="115">
        <f t="shared" si="7"/>
        <v>0</v>
      </c>
      <c r="J26" s="1980"/>
      <c r="K26" s="2632">
        <f t="shared" si="3"/>
        <v>0</v>
      </c>
      <c r="L26" s="278">
        <f t="shared" si="4"/>
        <v>0</v>
      </c>
      <c r="M26" s="144">
        <f t="shared" si="8"/>
        <v>0</v>
      </c>
      <c r="N26" s="2633"/>
      <c r="O26" s="2634"/>
      <c r="P26" s="2635">
        <f t="shared" si="9"/>
        <v>0</v>
      </c>
      <c r="R26" s="273">
        <f t="shared" si="5"/>
        <v>0</v>
      </c>
      <c r="S26" s="2297">
        <f t="shared" si="5"/>
        <v>0</v>
      </c>
    </row>
    <row r="27" spans="1:19" ht="15.75" thickBot="1">
      <c r="A27" s="136"/>
      <c r="B27" s="110"/>
      <c r="C27" s="125" t="s">
        <v>215</v>
      </c>
      <c r="D27" s="132">
        <f>SUM(D19:D26)</f>
        <v>56095.24</v>
      </c>
      <c r="E27" s="141">
        <f>IF(SUM(E19:E26)='数据-基础表'!BA5,SUM(E19:E26),IF(F27="地上面积有误","面积有误","地下面积有误"))</f>
        <v>249027.74000000002</v>
      </c>
      <c r="F27" s="132">
        <f>IF(SUM(F19:F26)=E8,SUM(F19:F26),"地上面积有误")</f>
        <v>241349.54</v>
      </c>
      <c r="G27" s="111">
        <f>SUM(G19:G26)</f>
        <v>7678.2</v>
      </c>
      <c r="H27" s="972">
        <f>SUM(H19:H26)</f>
        <v>16204.400000000001</v>
      </c>
      <c r="I27" s="973">
        <f>SUM(I19:I26)</f>
        <v>71937.42</v>
      </c>
      <c r="J27" s="1980"/>
      <c r="K27" s="2636">
        <f>SUM(K19:K26)</f>
        <v>65024.160000000003</v>
      </c>
      <c r="L27" s="2637">
        <f>SUM(L19:L26)</f>
        <v>6913.26</v>
      </c>
      <c r="M27" s="2638">
        <f>SUM(M19:M26)</f>
        <v>71937.42</v>
      </c>
      <c r="N27" s="2636">
        <f t="shared" ref="N27:O27" si="10">SUM(N19:N26)</f>
        <v>0</v>
      </c>
      <c r="O27" s="2637">
        <f t="shared" si="10"/>
        <v>0</v>
      </c>
      <c r="P27" s="2639">
        <f>SUM(P19:P26)</f>
        <v>0</v>
      </c>
      <c r="R27" s="2301">
        <f>IF(SUM(R19:R26)=$D$3,SUM(R19:R26),SUM(R19:R26)&amp;"误差"&amp;ROUND(SUM(R19:R26)-$D$3,2))</f>
        <v>72299.639999999985</v>
      </c>
      <c r="S27" s="273">
        <f>IF(SUM(S19:S26)=$E$3,SUM(S19:S26),SUM(S19:S26)&amp;"误差"&amp;ROUND(SUM(S19:S26)-E3,2))</f>
        <v>320965.16000000003</v>
      </c>
    </row>
    <row r="28" spans="1:19">
      <c r="A28" s="136"/>
      <c r="B28" s="114" t="s">
        <v>227</v>
      </c>
      <c r="C28" s="134" t="s">
        <v>228</v>
      </c>
      <c r="D28" s="110">
        <f>ROUND($D$3*E28/$E$3,2)</f>
        <v>14647.15</v>
      </c>
      <c r="E28" s="132">
        <f>SUM(F28:G28)</f>
        <v>65024.160000000003</v>
      </c>
      <c r="F28" s="142">
        <f>'数据-基础表'!BQ5+'数据-基础表'!BS5</f>
        <v>0</v>
      </c>
      <c r="G28" s="143">
        <f>'数据-基础表'!BR5+'数据-基础表'!BT5</f>
        <v>65024.160000000003</v>
      </c>
      <c r="H28" s="1980"/>
      <c r="I28" s="1980"/>
      <c r="J28" s="1980"/>
      <c r="K28" s="1980"/>
      <c r="L28" s="1980"/>
    </row>
    <row r="29" spans="1:19">
      <c r="A29" s="136"/>
      <c r="B29" s="114" t="s">
        <v>227</v>
      </c>
      <c r="C29" s="2309" t="s">
        <v>2318</v>
      </c>
      <c r="D29" s="110">
        <f>ROUND($D$3*E29/$E$3,2)</f>
        <v>1557.26</v>
      </c>
      <c r="E29" s="132">
        <f>SUM(F29:G29)</f>
        <v>6913.259999999992</v>
      </c>
      <c r="F29" s="142">
        <f>'数据-基础表'!BM5+'数据-基础表'!BO5</f>
        <v>5668.01</v>
      </c>
      <c r="G29" s="144">
        <f>'数据-基础表'!BN5+'数据-基础表'!BP5</f>
        <v>1245.2499999999918</v>
      </c>
      <c r="H29" s="1980"/>
      <c r="I29" s="1980"/>
      <c r="J29" s="1980"/>
      <c r="K29" s="1980"/>
      <c r="L29" s="1980"/>
    </row>
    <row r="30" spans="1:19">
      <c r="A30" s="136"/>
      <c r="B30" s="110"/>
      <c r="C30" s="145" t="s">
        <v>215</v>
      </c>
      <c r="D30" s="132">
        <f>SUM(D28:D29)</f>
        <v>16204.41</v>
      </c>
      <c r="E30" s="132">
        <f>SUM(E28:E29)</f>
        <v>71937.42</v>
      </c>
      <c r="F30" s="132">
        <f>SUM(F28:F29)</f>
        <v>5668.01</v>
      </c>
      <c r="G30" s="111">
        <f>SUM(G28:G29)</f>
        <v>66269.409999999989</v>
      </c>
      <c r="H30" s="1980"/>
      <c r="I30" s="1980"/>
      <c r="J30" s="1980"/>
      <c r="K30" s="1980"/>
      <c r="L30" s="1980"/>
    </row>
    <row r="31" spans="1:19" ht="32.25" customHeight="1" thickBot="1">
      <c r="A31" s="1367"/>
      <c r="B31" s="1368" t="s">
        <v>229</v>
      </c>
      <c r="C31" s="2326" t="s">
        <v>2320</v>
      </c>
      <c r="D31" s="1369">
        <f>D27+D30</f>
        <v>72299.649999999994</v>
      </c>
      <c r="E31" s="1369">
        <f>E27+E30</f>
        <v>320965.16000000003</v>
      </c>
      <c r="F31" s="1370">
        <f>F27+F30</f>
        <v>247017.55000000002</v>
      </c>
      <c r="G31" s="1371">
        <f>G27+G30</f>
        <v>73947.609999999986</v>
      </c>
      <c r="H31" s="1980"/>
      <c r="I31" s="1980"/>
      <c r="J31" s="1980"/>
      <c r="K31" s="1980"/>
      <c r="L31" s="1980"/>
    </row>
    <row r="32" spans="1:19">
      <c r="A32" s="1980"/>
      <c r="B32" s="2359" t="s">
        <v>2319</v>
      </c>
      <c r="C32" s="2667"/>
      <c r="D32" s="1198"/>
      <c r="E32" s="1198">
        <f>SUMIF(C19:C26,"*住宅*",E19:E26)</f>
        <v>241349.54</v>
      </c>
      <c r="F32" s="1198"/>
      <c r="G32" s="1198"/>
    </row>
    <row r="33" spans="4:8">
      <c r="D33" s="1984"/>
    </row>
    <row r="37" spans="4:8">
      <c r="H37" s="1981">
        <f>E30/E3</f>
        <v>0.2241284381145916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6"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7" t="s">
        <v>235</v>
      </c>
      <c r="B2" s="2334">
        <f>项目基本情况!D3</f>
        <v>43109</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8" t="s">
        <v>859</v>
      </c>
      <c r="B4" s="150"/>
      <c r="C4" s="151"/>
      <c r="D4" s="1205"/>
      <c r="E4" s="1206" t="s">
        <v>860</v>
      </c>
      <c r="F4" s="151"/>
      <c r="G4" s="151"/>
      <c r="H4" s="151"/>
      <c r="I4" s="151"/>
      <c r="J4" s="152"/>
      <c r="K4" s="1207"/>
      <c r="L4" s="1208"/>
      <c r="M4" s="151"/>
      <c r="N4" s="1206" t="s">
        <v>861</v>
      </c>
      <c r="O4" s="151"/>
      <c r="P4" s="151"/>
      <c r="Q4" s="151"/>
      <c r="R4" s="151"/>
      <c r="S4" s="152"/>
      <c r="T4" s="974" t="str">
        <f>'数据-汇总表'!I17</f>
        <v>按面积比例</v>
      </c>
      <c r="U4" s="150" t="s">
        <v>862</v>
      </c>
      <c r="V4" s="151"/>
      <c r="W4" s="151"/>
      <c r="X4" s="151"/>
      <c r="Y4" s="152"/>
      <c r="Z4" s="121" t="s">
        <v>863</v>
      </c>
      <c r="AA4" s="121"/>
      <c r="AB4" s="121"/>
      <c r="AC4" s="121"/>
      <c r="AD4" s="121"/>
      <c r="AE4" s="119" t="s">
        <v>864</v>
      </c>
      <c r="AF4" s="121"/>
      <c r="AG4" s="153"/>
      <c r="AH4" s="150"/>
      <c r="AI4" s="151"/>
      <c r="AJ4" s="151"/>
      <c r="AK4" s="151"/>
      <c r="AL4" s="151"/>
      <c r="AM4" s="152"/>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2322</v>
      </c>
      <c r="B5" s="154" t="s">
        <v>236</v>
      </c>
      <c r="C5" s="155" t="s">
        <v>237</v>
      </c>
      <c r="D5" s="156" t="s">
        <v>238</v>
      </c>
      <c r="E5" s="157" t="s">
        <v>239</v>
      </c>
      <c r="F5" s="158" t="s">
        <v>240</v>
      </c>
      <c r="G5" s="157" t="s">
        <v>241</v>
      </c>
      <c r="H5" s="157" t="s">
        <v>857</v>
      </c>
      <c r="I5" s="157" t="s">
        <v>858</v>
      </c>
      <c r="J5" s="159" t="s">
        <v>242</v>
      </c>
      <c r="K5" s="160" t="s">
        <v>243</v>
      </c>
      <c r="L5" s="161" t="s">
        <v>244</v>
      </c>
      <c r="M5" s="162" t="s">
        <v>245</v>
      </c>
      <c r="N5" s="1216" t="s">
        <v>2829</v>
      </c>
      <c r="O5" s="161" t="s">
        <v>246</v>
      </c>
      <c r="P5" s="163" t="s">
        <v>247</v>
      </c>
      <c r="Q5" s="164" t="s">
        <v>248</v>
      </c>
      <c r="R5" s="165" t="s">
        <v>249</v>
      </c>
      <c r="S5" s="2640" t="s">
        <v>2571</v>
      </c>
      <c r="T5" s="166" t="s">
        <v>250</v>
      </c>
      <c r="U5" s="167" t="s">
        <v>251</v>
      </c>
      <c r="V5" s="157" t="s">
        <v>252</v>
      </c>
      <c r="W5" s="157" t="s">
        <v>253</v>
      </c>
      <c r="X5" s="1815"/>
      <c r="Y5" s="168" t="s">
        <v>254</v>
      </c>
      <c r="Z5" s="169" t="s">
        <v>255</v>
      </c>
      <c r="AA5" s="157" t="s">
        <v>252</v>
      </c>
      <c r="AB5" s="157" t="s">
        <v>253</v>
      </c>
      <c r="AC5" s="1816"/>
      <c r="AD5" s="170" t="s">
        <v>254</v>
      </c>
      <c r="AE5" s="1" t="s">
        <v>865</v>
      </c>
      <c r="AF5" s="157" t="s">
        <v>256</v>
      </c>
      <c r="AG5" s="168" t="s">
        <v>257</v>
      </c>
      <c r="AH5" s="1816" t="s">
        <v>2321</v>
      </c>
      <c r="AI5" s="169" t="s">
        <v>2290</v>
      </c>
      <c r="AJ5" s="169" t="s">
        <v>258</v>
      </c>
      <c r="AK5" s="157" t="s">
        <v>259</v>
      </c>
      <c r="AL5" s="157" t="s">
        <v>260</v>
      </c>
      <c r="AM5" s="170" t="s">
        <v>261</v>
      </c>
      <c r="AN5" s="2410" t="s">
        <v>2372</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住宅</v>
      </c>
      <c r="B6" s="2333" t="str">
        <f>IF(A6=0,"","经营性")</f>
        <v>经营性</v>
      </c>
      <c r="C6" s="171" t="s">
        <v>918</v>
      </c>
      <c r="D6" s="2304">
        <f>SUMIF(项目基本情况!D$15:I$15,C6,项目基本情况!D$18:I$18)</f>
        <v>70</v>
      </c>
      <c r="E6" s="2305">
        <f>IF(B6="","",SUMIF(项目基本情况!D$15:I$15,C6,项目基本情况!D$17:I$17))</f>
        <v>66956</v>
      </c>
      <c r="F6" s="172">
        <f>SUMIF(项目基本情况!D$15:I$15,C6,项目基本情况!D$19:I$19)</f>
        <v>65.33</v>
      </c>
      <c r="G6" s="173">
        <f>IF(ISERROR(ROUND(POWER(1+H6,D6-F6)*(POWER(1+H6,F6)-1)/(POWER(1+H6,D6)-1),3)),0,ROUND(POWER(1+H6,D6-F6)*(POWER(1+H6,F6)-1)/(POWER(1+H6,D6)-1),3))</f>
        <v>0.98899999999999999</v>
      </c>
      <c r="H6" s="3047">
        <v>4.4999999999999998E-2</v>
      </c>
      <c r="I6" s="3047">
        <v>0.05</v>
      </c>
      <c r="J6" s="174">
        <v>8.5000000000000006E-2</v>
      </c>
      <c r="K6" s="177">
        <f>SUMIF('数据-汇总表'!C$19:C$33,'数据-取费表'!A6,'数据-汇总表'!E$19:E$33)</f>
        <v>241349.54</v>
      </c>
      <c r="L6" s="3048">
        <v>2800</v>
      </c>
      <c r="M6" s="175">
        <f t="shared" ref="M6:M14" si="0">ROUND(K6*L6/10000,0)</f>
        <v>67578</v>
      </c>
      <c r="N6" s="3049">
        <v>0</v>
      </c>
      <c r="O6" s="175">
        <f>IF($N$5="成新度","——",ROUND(M6*N6,0))</f>
        <v>0</v>
      </c>
      <c r="P6" s="176">
        <f>IF($N$5="成新度","——",M6-O6)</f>
        <v>67578</v>
      </c>
      <c r="Q6" s="3050">
        <v>0.15</v>
      </c>
      <c r="R6" s="177">
        <f>SUMIF('数据-汇总表'!C$19:C$33,A6,'数据-汇总表'!R$19:R$33)</f>
        <v>70118.459999999992</v>
      </c>
      <c r="S6" s="130">
        <f>IF('数据-汇总表'!$I$17="按面积比例",SUMIF('数据-汇总表'!C$19:C$33,A6,'数据-汇总表'!K$19:K$33),SUMIF('数据-汇总表'!C$19:C$33,A6,'数据-汇总表'!N$19:N$33))</f>
        <v>63019.29</v>
      </c>
      <c r="T6" s="2230">
        <f>IF($T$4="按面积比例",IF(ISERROR(ROUND($M$14*S6/S$16,0)),"0",ROUND($M$14*S6/S$16,0)),"需自行计算录入")</f>
        <v>11343</v>
      </c>
      <c r="U6" s="178"/>
      <c r="V6" s="179"/>
      <c r="W6" s="179"/>
      <c r="X6" s="2317"/>
      <c r="Y6" s="180"/>
      <c r="Z6" s="181"/>
      <c r="AA6" s="174"/>
      <c r="AB6" s="174"/>
      <c r="AC6" s="2320"/>
      <c r="AD6" s="182"/>
      <c r="AE6" s="969">
        <f ca="1">IF(AN6="",0,SUMIF(INDIRECT("'"&amp;AN6&amp;"'"&amp;"!E:E"),$AE$5,INDIRECT("'"&amp;AN6&amp;"'"&amp;"!F:F")))</f>
        <v>0</v>
      </c>
      <c r="AF6" s="139"/>
      <c r="AG6" s="1210">
        <f>IF(AF6="",0,AE6-AF6)</f>
        <v>0</v>
      </c>
      <c r="AH6" s="139"/>
      <c r="AI6" s="185"/>
      <c r="AJ6" s="186"/>
      <c r="AK6" s="187"/>
      <c r="AL6" s="188"/>
      <c r="AM6" s="3061"/>
      <c r="AN6" s="2411"/>
      <c r="AO6" s="1996"/>
      <c r="AP6" s="1201">
        <f>ROUND(1-1/(1+H6)^F6,3)</f>
        <v>0.94399999999999995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商业</v>
      </c>
      <c r="B7" s="2333" t="str">
        <f t="shared" ref="B7:B13" si="1">IF(A7=0,"","经营性")</f>
        <v>经营性</v>
      </c>
      <c r="C7" s="171" t="s">
        <v>2976</v>
      </c>
      <c r="D7" s="2304">
        <f>SUMIF(项目基本情况!D$15:I$15,C7,项目基本情况!D$18:I$18)</f>
        <v>40</v>
      </c>
      <c r="E7" s="2305">
        <f>IF(B7="","",SUMIF(项目基本情况!D$15:I$15,C7,项目基本情况!D$17:I$17))</f>
        <v>55999</v>
      </c>
      <c r="F7" s="172">
        <f>SUMIF(项目基本情况!D$15:I$15,C7,项目基本情况!D$19:I$19)</f>
        <v>35.31</v>
      </c>
      <c r="G7" s="173">
        <f t="shared" ref="G7:G11" si="2">IF(ISERROR(ROUND(POWER(1+H7,D7-F7)*(POWER(1+H7,F7)-1)/(POWER(1+H7,D7)-1),3)),0,ROUND(POWER(1+H7,D7-F7)*(POWER(1+H7,F7)-1)/(POWER(1+H7,D7)-1),3))</f>
        <v>0.95699999999999996</v>
      </c>
      <c r="H7" s="3047">
        <v>0.05</v>
      </c>
      <c r="I7" s="3047">
        <v>5.5E-2</v>
      </c>
      <c r="J7" s="174">
        <v>8.5000000000000006E-2</v>
      </c>
      <c r="K7" s="177">
        <f>SUMIF('数据-汇总表'!C$19:C$33,'数据-取费表'!A7,'数据-汇总表'!E$19:E$33)</f>
        <v>7678.2</v>
      </c>
      <c r="L7" s="3048">
        <v>2000</v>
      </c>
      <c r="M7" s="175">
        <f t="shared" si="0"/>
        <v>1536</v>
      </c>
      <c r="N7" s="3049">
        <v>0</v>
      </c>
      <c r="O7" s="175">
        <f t="shared" ref="O7:O14" si="3">IF($N$5="成新度","——",ROUND(M7*N7,0))</f>
        <v>0</v>
      </c>
      <c r="P7" s="176">
        <f t="shared" ref="P7:P14" si="4">IF($N$5="成新度","——",M7-O7)</f>
        <v>1536</v>
      </c>
      <c r="Q7" s="3050">
        <v>0.2</v>
      </c>
      <c r="R7" s="177">
        <f>SUMIF('数据-汇总表'!C$19:C$33,A7,'数据-汇总表'!R$19:R$33)</f>
        <v>2181.1799999999998</v>
      </c>
      <c r="S7" s="130">
        <f>IF('数据-汇总表'!$I$17="按面积比例",SUMIF('数据-汇总表'!C$19:C$33,A7,'数据-汇总表'!K$19:K$33),SUMIF('数据-汇总表'!C$19:C$33,A7,'数据-汇总表'!N$19:N$33))</f>
        <v>2004.87</v>
      </c>
      <c r="T7" s="2230">
        <f t="shared" ref="T7:T13" si="5">IF($T$4="按面积比例",IF(ISERROR(ROUND($M$14*S7/S$16,0)),"0",ROUND($M$14*S7/S$16,0)),"需自行计算录入")</f>
        <v>361</v>
      </c>
      <c r="U7" s="178">
        <v>3</v>
      </c>
      <c r="V7" s="179">
        <v>0.03</v>
      </c>
      <c r="W7" s="179">
        <v>0.1</v>
      </c>
      <c r="X7" s="2317"/>
      <c r="Y7" s="180">
        <v>1</v>
      </c>
      <c r="Z7" s="181"/>
      <c r="AA7" s="174"/>
      <c r="AB7" s="174"/>
      <c r="AC7" s="2320"/>
      <c r="AD7" s="182"/>
      <c r="AE7" s="969">
        <f t="shared" ref="AE7:AE13" ca="1" si="6">IF(AN7="",0,SUMIF(INDIRECT("'"&amp;AN7&amp;"'"&amp;"!E:E"),$AE$5,INDIRECT("'"&amp;AN7&amp;"'"&amp;"!F:F")))</f>
        <v>32.31</v>
      </c>
      <c r="AF7" s="139"/>
      <c r="AG7" s="1210">
        <f t="shared" ref="AG7:AG13" si="7">IF(AF7="",0,AE7-AF7)</f>
        <v>0</v>
      </c>
      <c r="AH7" s="139"/>
      <c r="AI7" s="185">
        <v>365</v>
      </c>
      <c r="AJ7" s="186"/>
      <c r="AK7" s="187">
        <v>1.4999999999999999E-2</v>
      </c>
      <c r="AL7" s="188">
        <v>1.5E-3</v>
      </c>
      <c r="AM7" s="2409">
        <v>0.01</v>
      </c>
      <c r="AN7" s="2411" t="s">
        <v>3395</v>
      </c>
      <c r="AO7" s="1996"/>
      <c r="AP7" s="1201">
        <f t="shared" ref="AP7:AP13" si="8">ROUND(1-1/(1+H7)^F7,3)</f>
        <v>0.82099999999999995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hidden="1">
      <c r="A8" s="2298">
        <f>'数据-汇总表'!C21</f>
        <v>0</v>
      </c>
      <c r="B8" s="2333" t="str">
        <f t="shared" si="1"/>
        <v/>
      </c>
      <c r="C8" s="171"/>
      <c r="D8" s="2304">
        <f>SUMIF(项目基本情况!D$15:I$15,C8,项目基本情况!D$18:I$18)</f>
        <v>0</v>
      </c>
      <c r="E8" s="2305" t="str">
        <f>IF(B8="","",SUMIF(项目基本情况!D$15:I$15,C8,项目基本情况!D$17:I$17))</f>
        <v/>
      </c>
      <c r="F8" s="172">
        <f>SUMIF(项目基本情况!D$15:I$15,C8,项目基本情况!D$19:I$19)</f>
        <v>0</v>
      </c>
      <c r="G8" s="173">
        <f t="shared" si="2"/>
        <v>0</v>
      </c>
      <c r="H8" s="3047"/>
      <c r="I8" s="3047"/>
      <c r="J8" s="174"/>
      <c r="K8" s="177">
        <f>SUMIF('数据-汇总表'!C$19:C$33,'数据-取费表'!A8,'数据-汇总表'!E$19:E$33)</f>
        <v>0</v>
      </c>
      <c r="L8" s="3048"/>
      <c r="M8" s="175">
        <f>ROUND(K8*L8/10000,0)</f>
        <v>0</v>
      </c>
      <c r="N8" s="3049"/>
      <c r="O8" s="175">
        <f t="shared" si="3"/>
        <v>0</v>
      </c>
      <c r="P8" s="176">
        <f t="shared" si="4"/>
        <v>0</v>
      </c>
      <c r="Q8" s="3050"/>
      <c r="R8" s="177">
        <f>SUMIF('数据-汇总表'!C$19:C$33,A8,'数据-汇总表'!R$19:R$33)</f>
        <v>0</v>
      </c>
      <c r="S8" s="130">
        <f>IF('数据-汇总表'!$I$17="按面积比例",SUMIF('数据-汇总表'!C$19:C$33,A8,'数据-汇总表'!K$19:K$33),SUMIF('数据-汇总表'!C$19:C$33,A8,'数据-汇总表'!N$19:N$33))</f>
        <v>0</v>
      </c>
      <c r="T8" s="2230">
        <f t="shared" si="5"/>
        <v>0</v>
      </c>
      <c r="U8" s="178"/>
      <c r="V8" s="179"/>
      <c r="W8" s="179"/>
      <c r="X8" s="2317"/>
      <c r="Y8" s="180"/>
      <c r="Z8" s="181"/>
      <c r="AA8" s="174"/>
      <c r="AB8" s="174"/>
      <c r="AC8" s="2320"/>
      <c r="AD8" s="182"/>
      <c r="AE8" s="969">
        <f t="shared" ca="1" si="6"/>
        <v>0</v>
      </c>
      <c r="AF8" s="139"/>
      <c r="AG8" s="1210">
        <f t="shared" si="7"/>
        <v>0</v>
      </c>
      <c r="AH8" s="139"/>
      <c r="AI8" s="185"/>
      <c r="AJ8" s="186"/>
      <c r="AK8" s="187"/>
      <c r="AL8" s="188"/>
      <c r="AM8" s="2409"/>
      <c r="AN8" s="2411"/>
      <c r="AO8" s="1996"/>
      <c r="AP8" s="1201">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hidden="1">
      <c r="A9" s="2298">
        <f>'数据-汇总表'!C22</f>
        <v>0</v>
      </c>
      <c r="B9" s="2333" t="str">
        <f t="shared" si="1"/>
        <v/>
      </c>
      <c r="C9" s="171"/>
      <c r="D9" s="2304">
        <f>SUMIF(项目基本情况!D$15:I$15,C9,项目基本情况!D$18:I$18)</f>
        <v>0</v>
      </c>
      <c r="E9" s="230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0">
        <f t="shared" si="5"/>
        <v>0</v>
      </c>
      <c r="U9" s="178"/>
      <c r="V9" s="179"/>
      <c r="W9" s="179"/>
      <c r="X9" s="2317"/>
      <c r="Y9" s="180"/>
      <c r="Z9" s="181"/>
      <c r="AA9" s="174"/>
      <c r="AB9" s="174"/>
      <c r="AC9" s="2320"/>
      <c r="AD9" s="182"/>
      <c r="AE9" s="969">
        <f t="shared" ca="1" si="6"/>
        <v>0</v>
      </c>
      <c r="AF9" s="139"/>
      <c r="AG9" s="1210">
        <f t="shared" si="7"/>
        <v>0</v>
      </c>
      <c r="AH9" s="139"/>
      <c r="AI9" s="185"/>
      <c r="AJ9" s="186"/>
      <c r="AK9" s="187"/>
      <c r="AL9" s="188"/>
      <c r="AM9" s="2409"/>
      <c r="AN9" s="2411"/>
      <c r="AO9" s="1996"/>
      <c r="AP9" s="1201">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hidden="1">
      <c r="A10" s="2298">
        <f>'数据-汇总表'!C23</f>
        <v>0</v>
      </c>
      <c r="B10" s="2333" t="str">
        <f t="shared" si="1"/>
        <v/>
      </c>
      <c r="C10" s="171"/>
      <c r="D10" s="2304">
        <f>SUMIF(项目基本情况!D$15:I$15,C10,项目基本情况!D$18:I$18)</f>
        <v>0</v>
      </c>
      <c r="E10" s="230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0">
        <f t="shared" si="5"/>
        <v>0</v>
      </c>
      <c r="U10" s="178"/>
      <c r="V10" s="179"/>
      <c r="W10" s="179"/>
      <c r="X10" s="2317"/>
      <c r="Y10" s="180"/>
      <c r="Z10" s="181"/>
      <c r="AA10" s="174"/>
      <c r="AB10" s="174"/>
      <c r="AC10" s="2320"/>
      <c r="AD10" s="182"/>
      <c r="AE10" s="969">
        <f t="shared" ca="1" si="6"/>
        <v>0</v>
      </c>
      <c r="AF10" s="139"/>
      <c r="AG10" s="1210">
        <f t="shared" si="7"/>
        <v>0</v>
      </c>
      <c r="AH10" s="139"/>
      <c r="AI10" s="185"/>
      <c r="AJ10" s="186"/>
      <c r="AK10" s="187"/>
      <c r="AL10" s="188"/>
      <c r="AM10" s="2409"/>
      <c r="AN10" s="2411"/>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hidden="1">
      <c r="A11" s="2298">
        <f>'数据-汇总表'!C24</f>
        <v>0</v>
      </c>
      <c r="B11" s="2333" t="str">
        <f t="shared" si="1"/>
        <v/>
      </c>
      <c r="C11" s="171"/>
      <c r="D11" s="2304">
        <f>SUMIF(项目基本情况!D$15:I$15,C11,项目基本情况!D$18:I$18)</f>
        <v>0</v>
      </c>
      <c r="E11" s="230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0">
        <f t="shared" si="5"/>
        <v>0</v>
      </c>
      <c r="U11" s="183"/>
      <c r="V11" s="174"/>
      <c r="W11" s="174"/>
      <c r="X11" s="2320"/>
      <c r="Y11" s="180"/>
      <c r="Z11" s="193"/>
      <c r="AA11" s="174"/>
      <c r="AB11" s="174"/>
      <c r="AC11" s="2320"/>
      <c r="AD11" s="182"/>
      <c r="AE11" s="969">
        <f t="shared" ca="1" si="6"/>
        <v>0</v>
      </c>
      <c r="AF11" s="139"/>
      <c r="AG11" s="1210">
        <f t="shared" si="7"/>
        <v>0</v>
      </c>
      <c r="AH11" s="139"/>
      <c r="AI11" s="185"/>
      <c r="AJ11" s="186"/>
      <c r="AK11" s="194"/>
      <c r="AL11" s="195"/>
      <c r="AM11" s="1814"/>
      <c r="AN11" s="2411"/>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hidden="1">
      <c r="A12" s="2298">
        <f>'数据-汇总表'!C25</f>
        <v>0</v>
      </c>
      <c r="B12" s="2333" t="str">
        <f t="shared" si="1"/>
        <v/>
      </c>
      <c r="C12" s="171"/>
      <c r="D12" s="2304">
        <f>SUMIF(项目基本情况!D$15:I$15,C12,项目基本情况!D$18:I$18)</f>
        <v>0</v>
      </c>
      <c r="E12" s="230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0">
        <f t="shared" si="5"/>
        <v>0</v>
      </c>
      <c r="U12" s="183"/>
      <c r="V12" s="174"/>
      <c r="W12" s="174"/>
      <c r="X12" s="2320"/>
      <c r="Y12" s="180"/>
      <c r="Z12" s="193"/>
      <c r="AA12" s="174"/>
      <c r="AB12" s="174"/>
      <c r="AC12" s="2320"/>
      <c r="AD12" s="182"/>
      <c r="AE12" s="969">
        <f t="shared" ca="1" si="6"/>
        <v>0</v>
      </c>
      <c r="AF12" s="139"/>
      <c r="AG12" s="1210">
        <f t="shared" si="7"/>
        <v>0</v>
      </c>
      <c r="AH12" s="139"/>
      <c r="AI12" s="185"/>
      <c r="AJ12" s="186"/>
      <c r="AK12" s="194"/>
      <c r="AL12" s="195"/>
      <c r="AM12" s="1814"/>
      <c r="AN12" s="2411"/>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hidden="1">
      <c r="A13" s="2298">
        <f>'数据-汇总表'!C26</f>
        <v>0</v>
      </c>
      <c r="B13" s="2333" t="str">
        <f t="shared" si="1"/>
        <v/>
      </c>
      <c r="C13" s="171"/>
      <c r="D13" s="2304">
        <f>SUMIF(项目基本情况!D$15:I$15,C13,项目基本情况!D$18:I$18)</f>
        <v>0</v>
      </c>
      <c r="E13" s="230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0">
        <f t="shared" si="5"/>
        <v>0</v>
      </c>
      <c r="U13" s="178"/>
      <c r="V13" s="179"/>
      <c r="W13" s="179"/>
      <c r="X13" s="2317"/>
      <c r="Y13" s="180"/>
      <c r="Z13" s="181"/>
      <c r="AA13" s="174"/>
      <c r="AB13" s="174"/>
      <c r="AC13" s="2320"/>
      <c r="AD13" s="182"/>
      <c r="AE13" s="969">
        <f t="shared" ca="1" si="6"/>
        <v>0</v>
      </c>
      <c r="AF13" s="139"/>
      <c r="AG13" s="1210">
        <f t="shared" si="7"/>
        <v>0</v>
      </c>
      <c r="AH13" s="139"/>
      <c r="AI13" s="185"/>
      <c r="AJ13" s="186"/>
      <c r="AK13" s="187"/>
      <c r="AL13" s="188"/>
      <c r="AM13" s="2409"/>
      <c r="AN13" s="2411"/>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2312</v>
      </c>
      <c r="B14" s="2302" t="s">
        <v>1675</v>
      </c>
      <c r="C14" s="2303" t="s">
        <v>2312</v>
      </c>
      <c r="D14" s="2304"/>
      <c r="E14" s="2305"/>
      <c r="F14" s="172"/>
      <c r="G14" s="173"/>
      <c r="H14" s="2306"/>
      <c r="I14" s="2306"/>
      <c r="J14" s="2306"/>
      <c r="K14" s="177">
        <f>SUMIF('数据-汇总表'!C$19:C$33,'数据-取费表'!A14,'数据-汇总表'!E$19:E$33)</f>
        <v>65024.160000000003</v>
      </c>
      <c r="L14" s="191">
        <v>1800</v>
      </c>
      <c r="M14" s="175">
        <f t="shared" si="0"/>
        <v>11704</v>
      </c>
      <c r="N14" s="192">
        <v>0</v>
      </c>
      <c r="O14" s="175">
        <f t="shared" si="3"/>
        <v>0</v>
      </c>
      <c r="P14" s="176">
        <f t="shared" si="4"/>
        <v>11704</v>
      </c>
      <c r="Q14" s="2314"/>
      <c r="R14" s="177"/>
      <c r="S14" s="130"/>
      <c r="T14" s="2313"/>
      <c r="U14" s="971"/>
      <c r="V14" s="2316"/>
      <c r="W14" s="2316"/>
      <c r="X14" s="2317"/>
      <c r="Y14" s="2318"/>
      <c r="Z14" s="134"/>
      <c r="AA14" s="2319"/>
      <c r="AB14" s="2319"/>
      <c r="AC14" s="2320"/>
      <c r="AD14" s="2317"/>
      <c r="AE14" s="969"/>
      <c r="AF14" s="2292"/>
      <c r="AG14" s="1210"/>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2314</v>
      </c>
      <c r="B15" s="2302" t="s">
        <v>1675</v>
      </c>
      <c r="C15" s="2303" t="s">
        <v>2313</v>
      </c>
      <c r="D15" s="2304"/>
      <c r="E15" s="2305"/>
      <c r="F15" s="172"/>
      <c r="G15" s="173"/>
      <c r="H15" s="2306"/>
      <c r="I15" s="2306"/>
      <c r="J15" s="2306"/>
      <c r="K15" s="177">
        <f>SUMIF('数据-汇总表'!C$19:C$33,'数据-取费表'!A15,'数据-汇总表'!E$19:E$33)</f>
        <v>6913.259999999992</v>
      </c>
      <c r="L15" s="2312"/>
      <c r="M15" s="175"/>
      <c r="N15" s="2315"/>
      <c r="O15" s="175"/>
      <c r="P15" s="176"/>
      <c r="Q15" s="2314"/>
      <c r="R15" s="177"/>
      <c r="S15" s="130"/>
      <c r="T15" s="2313"/>
      <c r="U15" s="971"/>
      <c r="V15" s="2316"/>
      <c r="W15" s="2316"/>
      <c r="X15" s="2317"/>
      <c r="Y15" s="2318"/>
      <c r="Z15" s="134"/>
      <c r="AA15" s="2319"/>
      <c r="AB15" s="2319"/>
      <c r="AC15" s="2320"/>
      <c r="AD15" s="2317"/>
      <c r="AE15" s="969"/>
      <c r="AF15" s="2292"/>
      <c r="AG15" s="1210"/>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262</v>
      </c>
      <c r="B16" s="197"/>
      <c r="C16" s="198"/>
      <c r="D16" s="199"/>
      <c r="E16" s="197"/>
      <c r="F16" s="197"/>
      <c r="G16" s="200">
        <f>ROUND(SUMPRODUCT(G6:G13,K6:K13)/SUMPRODUCT((G6:G13&gt;0)*(K6:K13)),3)</f>
        <v>0.98799999999999999</v>
      </c>
      <c r="H16" s="201">
        <f>ROUND(SUMPRODUCT(H6:H13,K6:K13)/SUMPRODUCT((H6:H13&gt;0)*(K6:K13)),3)</f>
        <v>4.4999999999999998E-2</v>
      </c>
      <c r="I16" s="202"/>
      <c r="J16" s="202"/>
      <c r="K16" s="203">
        <f>SUM(K6:K15)</f>
        <v>320965.16000000003</v>
      </c>
      <c r="L16" s="204">
        <f>ROUND(M16*10000/SUM(K6:K14),0)</f>
        <v>2573</v>
      </c>
      <c r="M16" s="204">
        <f>SUM(M6:M14)</f>
        <v>80818</v>
      </c>
      <c r="N16" s="205">
        <f>ROUND(SUMPRODUCT(M6:M14,N6:N14)/M16,3)</f>
        <v>0</v>
      </c>
      <c r="O16" s="204">
        <f>SUM(O6:O14)</f>
        <v>0</v>
      </c>
      <c r="P16" s="204">
        <f>SUM(P6:P14)</f>
        <v>80818</v>
      </c>
      <c r="Q16" s="206">
        <f>ROUND(SUMPRODUCT(Q6:Q13,K6:K13)/SUMPRODUCT((Q6:Q13&gt;0)*(K6:K13)),2)</f>
        <v>0.15</v>
      </c>
      <c r="R16" s="2307">
        <f>SUM(R6:R13)</f>
        <v>72299.639999999985</v>
      </c>
      <c r="S16" s="207">
        <f>SUM(S6:S13)</f>
        <v>65024.160000000003</v>
      </c>
      <c r="T16" s="208">
        <f>IF(SUMIF(T6:T13,"&lt;9E307")=M14,SUMIF(T6:T13,"&lt;9E307"),"有误，请检查")</f>
        <v>11704</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0.94</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8" t="s">
        <v>263</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60" t="s">
        <v>2334</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3</v>
      </c>
      <c r="C20" s="2360" t="s">
        <v>2333</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7"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2336</v>
      </c>
      <c r="B27" s="225">
        <v>120</v>
      </c>
      <c r="C27" s="2363" t="s">
        <v>2340</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6" t="s">
        <v>2337</v>
      </c>
      <c r="B28" s="227">
        <v>160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9" t="s">
        <v>2335</v>
      </c>
      <c r="B29" s="230"/>
      <c r="C29" s="1549" t="s">
        <v>2338</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3"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5" t="s">
        <v>275</v>
      </c>
      <c r="B32" s="1374">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278</v>
      </c>
      <c r="B33" s="1375">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0.03</v>
      </c>
      <c r="C34" s="2361" t="s">
        <v>2895</v>
      </c>
      <c r="D34" s="1989" t="s">
        <v>866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3221">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2897</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1.4999999999999999E-2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8" t="s">
        <v>2454</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8" t="s">
        <v>2455</v>
      </c>
      <c r="B40" s="2500">
        <f ca="1">存贷款利率!E2</f>
        <v>4.7500000000000001E-2</v>
      </c>
      <c r="C40" s="2361" t="s">
        <v>2339</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8">
        <v>0.05</v>
      </c>
      <c r="C42" s="312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c r="C47" s="3096"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0.04</v>
      </c>
      <c r="C48" s="3097"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97"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920</v>
      </c>
      <c r="C53" s="3098" t="s">
        <v>2905</v>
      </c>
      <c r="D53" s="3099"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1" t="s">
        <v>2907</v>
      </c>
      <c r="B54" s="184"/>
      <c r="C54" s="1990">
        <v>30</v>
      </c>
      <c r="D54" s="310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1" t="s">
        <v>2908</v>
      </c>
      <c r="B55" s="184"/>
      <c r="C55" s="1990">
        <v>24</v>
      </c>
      <c r="D55" s="310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1" t="s">
        <v>2909</v>
      </c>
      <c r="B56" s="184"/>
      <c r="C56" s="1990">
        <v>18</v>
      </c>
      <c r="D56" s="310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1" t="s">
        <v>2910</v>
      </c>
      <c r="B57" s="184">
        <v>14</v>
      </c>
      <c r="C57" s="1990">
        <v>12</v>
      </c>
      <c r="D57" s="310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1" t="s">
        <v>2911</v>
      </c>
      <c r="B58" s="184"/>
      <c r="C58" s="1990">
        <v>3</v>
      </c>
      <c r="D58" s="310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1" t="s">
        <v>2912</v>
      </c>
      <c r="B59" s="184"/>
      <c r="C59" s="1990">
        <v>1.5</v>
      </c>
      <c r="D59" s="310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1" t="s">
        <v>2913</v>
      </c>
      <c r="B60" s="184"/>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1" t="s">
        <v>2914</v>
      </c>
      <c r="B61" s="184"/>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1" t="s">
        <v>2915</v>
      </c>
      <c r="B62" s="184"/>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2" t="s">
        <v>2916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6"/>
      <c r="L64" s="56"/>
    </row>
    <row r="65" spans="1:12" s="1994" customFormat="1">
      <c r="A65" s="251"/>
      <c r="D65" s="1995"/>
      <c r="K65" s="56"/>
      <c r="L65" s="56"/>
    </row>
    <row r="66" spans="1:12" s="1994" customFormat="1">
      <c r="A66" s="251"/>
      <c r="D66" s="1995"/>
      <c r="K66" s="56"/>
      <c r="L66" s="56"/>
    </row>
    <row r="67" spans="1:12" s="1994" customFormat="1">
      <c r="A67" s="251"/>
      <c r="D67" s="1995"/>
      <c r="K67" s="56"/>
      <c r="L67" s="56"/>
    </row>
    <row r="68" spans="1:12" s="1994" customFormat="1">
      <c r="A68" s="251"/>
      <c r="D68" s="1995"/>
      <c r="K68" s="56"/>
      <c r="L68" s="56"/>
    </row>
    <row r="69" spans="1:12" s="1994" customFormat="1">
      <c r="A69" s="251"/>
      <c r="D69" s="1995"/>
      <c r="K69" s="56"/>
      <c r="L69" s="56"/>
    </row>
    <row r="70" spans="1:12" s="1994" customFormat="1">
      <c r="A70" s="251"/>
      <c r="D70" s="1995"/>
      <c r="K70" s="56"/>
      <c r="L70" s="56"/>
    </row>
    <row r="71" spans="1:12" s="1994" customFormat="1">
      <c r="A71" s="251"/>
      <c r="D71" s="1995"/>
      <c r="K71" s="56"/>
      <c r="L71" s="56"/>
    </row>
    <row r="72" spans="1:12" s="1994" customFormat="1">
      <c r="A72" s="251"/>
      <c r="D72" s="1995"/>
      <c r="K72" s="56"/>
      <c r="L72" s="56"/>
    </row>
    <row r="73" spans="1:12" s="1994" customFormat="1">
      <c r="A73" s="251"/>
      <c r="D73" s="1995"/>
      <c r="K73" s="56"/>
      <c r="L73" s="56"/>
    </row>
    <row r="74" spans="1:12" s="1994" customFormat="1">
      <c r="A74" s="251"/>
      <c r="D74" s="1995"/>
      <c r="K74" s="56"/>
      <c r="L74" s="56"/>
    </row>
    <row r="75" spans="1:12" s="1994" customFormat="1">
      <c r="A75" s="251"/>
      <c r="D75" s="1995"/>
      <c r="K75" s="56"/>
      <c r="L75" s="56"/>
    </row>
    <row r="76" spans="1:12" s="1994" customFormat="1">
      <c r="A76" s="251"/>
      <c r="D76" s="1995"/>
      <c r="K76" s="56"/>
      <c r="L76" s="56"/>
    </row>
    <row r="77" spans="1:12" s="1994" customFormat="1">
      <c r="A77" s="251"/>
      <c r="D77" s="1995"/>
      <c r="K77" s="56"/>
      <c r="L77" s="56"/>
    </row>
    <row r="78" spans="1:12" s="1994" customFormat="1">
      <c r="A78" s="251"/>
      <c r="D78" s="1995"/>
      <c r="K78" s="56"/>
      <c r="L78" s="56"/>
    </row>
    <row r="79" spans="1:12" s="1994" customFormat="1">
      <c r="A79" s="251"/>
      <c r="D79" s="1995"/>
      <c r="K79" s="56"/>
      <c r="L79" s="56"/>
    </row>
    <row r="80" spans="1:12" s="1994" customFormat="1">
      <c r="A80" s="251"/>
      <c r="D80" s="1995"/>
      <c r="K80" s="56"/>
      <c r="L80" s="56"/>
    </row>
    <row r="81" spans="1:12" s="1994" customFormat="1">
      <c r="A81" s="251"/>
      <c r="D81" s="1995"/>
      <c r="K81" s="56"/>
      <c r="L81" s="56"/>
    </row>
    <row r="82" spans="1:12" s="1994" customFormat="1">
      <c r="A82" s="251"/>
      <c r="D82" s="1995"/>
      <c r="K82" s="56"/>
      <c r="L82" s="56"/>
    </row>
    <row r="83" spans="1:12" s="1994" customFormat="1">
      <c r="A83" s="251"/>
      <c r="D83" s="1995"/>
      <c r="K83" s="56"/>
      <c r="L83" s="56"/>
    </row>
    <row r="84" spans="1:12" s="1994" customFormat="1">
      <c r="A84" s="251"/>
      <c r="D84" s="1995"/>
      <c r="K84" s="56"/>
      <c r="L84" s="56"/>
    </row>
    <row r="85" spans="1:12" s="1994" customFormat="1">
      <c r="A85" s="251"/>
      <c r="D85" s="1995"/>
      <c r="K85" s="56"/>
      <c r="L85" s="56"/>
    </row>
    <row r="86" spans="1:12" s="1994" customFormat="1">
      <c r="A86" s="251"/>
      <c r="D86" s="1995"/>
      <c r="K86" s="56"/>
      <c r="L86" s="56"/>
    </row>
    <row r="87" spans="1:12" s="1994" customFormat="1">
      <c r="A87" s="251"/>
      <c r="D87" s="1995"/>
      <c r="K87" s="56"/>
      <c r="L87" s="56"/>
    </row>
    <row r="88" spans="1:12" s="1994" customFormat="1">
      <c r="A88" s="251"/>
      <c r="D88" s="1995"/>
      <c r="K88" s="56"/>
      <c r="L88" s="56"/>
    </row>
    <row r="89" spans="1:12" s="1994" customFormat="1">
      <c r="A89" s="251"/>
      <c r="D89" s="1995"/>
      <c r="K89" s="56"/>
      <c r="L89" s="56"/>
    </row>
    <row r="90" spans="1:12" s="1994" customFormat="1">
      <c r="A90" s="251"/>
      <c r="D90" s="1995"/>
      <c r="K90" s="56"/>
      <c r="L90" s="56"/>
    </row>
    <row r="91" spans="1:12" s="1994" customFormat="1">
      <c r="A91" s="251"/>
      <c r="D91" s="1995"/>
      <c r="K91" s="56"/>
      <c r="L91" s="56"/>
    </row>
    <row r="92" spans="1:12" s="1994" customFormat="1">
      <c r="A92" s="251"/>
      <c r="D92" s="1995"/>
      <c r="K92" s="56"/>
      <c r="L92" s="56"/>
    </row>
    <row r="93" spans="1:12" s="1994" customFormat="1">
      <c r="A93" s="251"/>
      <c r="D93" s="1995"/>
      <c r="K93" s="56"/>
      <c r="L93" s="56"/>
    </row>
    <row r="94" spans="1:12" s="1994" customFormat="1">
      <c r="A94" s="251"/>
      <c r="D94" s="1995"/>
      <c r="K94" s="56"/>
      <c r="L94" s="56"/>
    </row>
    <row r="95" spans="1:12" s="1994" customFormat="1">
      <c r="A95" s="251"/>
      <c r="D95" s="1995"/>
      <c r="K95" s="56"/>
      <c r="L95" s="56"/>
    </row>
    <row r="96" spans="1:12" s="1994" customFormat="1">
      <c r="A96" s="251"/>
      <c r="D96" s="1995"/>
      <c r="K96" s="56"/>
      <c r="L96" s="56"/>
    </row>
    <row r="97" spans="1:12" s="1994" customFormat="1">
      <c r="A97" s="251"/>
      <c r="D97" s="1995"/>
      <c r="K97" s="56"/>
      <c r="L97" s="56"/>
    </row>
    <row r="98" spans="1:12" s="1994" customFormat="1">
      <c r="A98" s="251"/>
      <c r="D98" s="1995"/>
      <c r="K98" s="56"/>
      <c r="L98" s="56"/>
    </row>
    <row r="99" spans="1:12" s="1994" customFormat="1">
      <c r="A99" s="251"/>
      <c r="D99" s="1995"/>
      <c r="K99" s="56"/>
      <c r="L99" s="56"/>
    </row>
    <row r="100" spans="1:12" s="1994" customFormat="1">
      <c r="A100" s="251"/>
      <c r="D100" s="1995"/>
      <c r="K100" s="56"/>
      <c r="L100" s="56"/>
    </row>
    <row r="101" spans="1:12" s="1994" customFormat="1">
      <c r="A101" s="251"/>
      <c r="D101" s="1995"/>
      <c r="K101" s="56"/>
      <c r="L101" s="56"/>
    </row>
    <row r="102" spans="1:12" s="1994" customFormat="1">
      <c r="A102" s="251"/>
      <c r="D102" s="1995"/>
      <c r="K102" s="56"/>
      <c r="L102" s="56"/>
    </row>
    <row r="103" spans="1:12" s="1994" customFormat="1">
      <c r="A103" s="251"/>
      <c r="D103" s="1995"/>
      <c r="K103" s="56"/>
      <c r="L103" s="56"/>
    </row>
    <row r="104" spans="1:12" s="1994" customFormat="1">
      <c r="A104" s="251"/>
      <c r="D104" s="1995"/>
      <c r="K104" s="56"/>
      <c r="L104" s="56"/>
    </row>
    <row r="105" spans="1:12" s="1994" customFormat="1">
      <c r="A105" s="251"/>
      <c r="D105" s="1995"/>
      <c r="K105" s="56"/>
      <c r="L105" s="56"/>
    </row>
    <row r="106" spans="1:12" s="1994" customFormat="1">
      <c r="A106" s="251"/>
      <c r="D106" s="1995"/>
      <c r="K106" s="56"/>
      <c r="L106" s="56"/>
    </row>
    <row r="107" spans="1:12" s="1994" customFormat="1">
      <c r="A107" s="251"/>
      <c r="D107" s="1995"/>
      <c r="K107" s="56"/>
      <c r="L107" s="56"/>
    </row>
    <row r="108" spans="1:12" s="1994" customFormat="1">
      <c r="A108" s="251"/>
      <c r="D108" s="1995"/>
      <c r="K108" s="56"/>
      <c r="L108" s="56"/>
    </row>
    <row r="109" spans="1:12" s="1994" customFormat="1">
      <c r="A109" s="251"/>
      <c r="D109" s="1995"/>
      <c r="K109" s="56"/>
      <c r="L109" s="56"/>
    </row>
    <row r="110" spans="1:12" s="1994" customFormat="1">
      <c r="A110" s="251"/>
      <c r="D110" s="1995"/>
      <c r="K110" s="56"/>
      <c r="L110" s="56"/>
    </row>
    <row r="111" spans="1:12" s="1994" customFormat="1">
      <c r="A111" s="251"/>
      <c r="D111" s="1995"/>
      <c r="K111" s="56"/>
      <c r="L111" s="56"/>
    </row>
    <row r="112" spans="1:12" s="1994" customFormat="1">
      <c r="A112" s="251"/>
      <c r="D112" s="1995"/>
      <c r="K112" s="56"/>
      <c r="L112" s="56"/>
    </row>
    <row r="113" spans="1:12" s="1994" customFormat="1">
      <c r="A113" s="251"/>
      <c r="D113" s="1995"/>
      <c r="K113" s="56"/>
      <c r="L113" s="56"/>
    </row>
    <row r="114" spans="1:12" s="1994" customFormat="1">
      <c r="A114" s="251"/>
      <c r="D114" s="1995"/>
      <c r="K114" s="56"/>
      <c r="L114" s="56"/>
    </row>
    <row r="115" spans="1:12" s="1994" customFormat="1">
      <c r="A115" s="251"/>
      <c r="D115" s="1995"/>
      <c r="K115" s="56"/>
      <c r="L115" s="56"/>
    </row>
    <row r="116" spans="1:12" s="1994" customFormat="1">
      <c r="A116" s="251"/>
      <c r="D116" s="1995"/>
      <c r="K116" s="56"/>
      <c r="L116" s="56"/>
    </row>
    <row r="117" spans="1:12" s="1994" customFormat="1">
      <c r="A117" s="251"/>
      <c r="D117" s="1995"/>
      <c r="K117" s="56"/>
      <c r="L117" s="56"/>
    </row>
    <row r="118" spans="1:12" s="1994" customFormat="1">
      <c r="A118" s="251"/>
      <c r="D118" s="1995"/>
      <c r="K118" s="56"/>
      <c r="L118" s="56"/>
    </row>
    <row r="119" spans="1:12" s="1994" customFormat="1">
      <c r="A119" s="251"/>
      <c r="D119" s="1995"/>
      <c r="K119" s="56"/>
      <c r="L119" s="56"/>
    </row>
    <row r="120" spans="1:12" s="1994" customFormat="1">
      <c r="A120" s="251"/>
      <c r="D120" s="1995"/>
      <c r="K120" s="56"/>
      <c r="L120" s="56"/>
    </row>
    <row r="121" spans="1:12" s="1994" customFormat="1">
      <c r="A121" s="251"/>
      <c r="D121" s="1995"/>
      <c r="K121" s="56"/>
      <c r="L121" s="56"/>
    </row>
    <row r="122" spans="1:12" s="1994" customFormat="1">
      <c r="A122" s="251"/>
      <c r="D122" s="1995"/>
      <c r="K122" s="56"/>
      <c r="L122" s="56"/>
    </row>
    <row r="123" spans="1:12" s="1994" customFormat="1">
      <c r="A123" s="251"/>
      <c r="D123" s="1995"/>
      <c r="K123" s="56"/>
      <c r="L123" s="56"/>
    </row>
    <row r="124" spans="1:12" s="1994" customFormat="1">
      <c r="A124" s="251"/>
      <c r="D124" s="1995"/>
      <c r="K124" s="56"/>
      <c r="L124" s="56"/>
    </row>
    <row r="125" spans="1:12" s="1994" customFormat="1">
      <c r="A125" s="251"/>
      <c r="D125" s="1995"/>
      <c r="K125" s="56"/>
      <c r="L125" s="56"/>
    </row>
    <row r="126" spans="1:12" s="1994" customFormat="1">
      <c r="A126" s="251"/>
      <c r="D126" s="1995"/>
      <c r="K126" s="56"/>
      <c r="L126" s="56"/>
    </row>
    <row r="127" spans="1:12" s="1994" customFormat="1">
      <c r="A127" s="251"/>
      <c r="D127" s="1995"/>
      <c r="K127" s="56"/>
      <c r="L127" s="56"/>
    </row>
    <row r="128" spans="1:12" s="1994" customFormat="1">
      <c r="A128" s="251"/>
      <c r="D128" s="1995"/>
      <c r="K128" s="56"/>
      <c r="L128" s="56"/>
    </row>
    <row r="129" spans="1:12" s="1994" customFormat="1">
      <c r="A129" s="251"/>
      <c r="D129" s="1995"/>
      <c r="K129" s="56"/>
      <c r="L129" s="56"/>
    </row>
    <row r="130" spans="1:12" s="1994" customFormat="1">
      <c r="A130" s="251"/>
      <c r="D130" s="1995"/>
      <c r="K130" s="56"/>
      <c r="L130" s="56"/>
    </row>
    <row r="131" spans="1:12" s="1994" customFormat="1">
      <c r="A131" s="251"/>
      <c r="D131" s="1995"/>
      <c r="K131" s="56"/>
      <c r="L131" s="56"/>
    </row>
    <row r="132" spans="1:12" s="1994" customFormat="1">
      <c r="A132" s="251"/>
      <c r="D132" s="1995"/>
      <c r="K132" s="56"/>
      <c r="L132" s="56"/>
    </row>
    <row r="133" spans="1:12" s="1994" customFormat="1">
      <c r="A133" s="251"/>
      <c r="D133" s="1995"/>
      <c r="K133" s="56"/>
      <c r="L133" s="56"/>
    </row>
    <row r="134" spans="1:12" s="1994" customFormat="1">
      <c r="A134" s="251"/>
      <c r="D134" s="1995"/>
      <c r="K134" s="56"/>
      <c r="L134" s="56"/>
    </row>
    <row r="135" spans="1:12" s="1994" customFormat="1">
      <c r="A135" s="251"/>
      <c r="D135" s="1995"/>
      <c r="K135" s="56"/>
      <c r="L135" s="56"/>
    </row>
    <row r="136" spans="1:12" s="1994" customFormat="1">
      <c r="A136" s="251"/>
      <c r="D136" s="1995"/>
      <c r="K136" s="56"/>
      <c r="L136" s="56"/>
    </row>
    <row r="137" spans="1:12" s="1994" customFormat="1">
      <c r="A137" s="251"/>
      <c r="D137" s="1995"/>
      <c r="K137" s="56"/>
      <c r="L137" s="56"/>
    </row>
    <row r="138" spans="1:12" s="1994" customFormat="1">
      <c r="A138" s="251"/>
      <c r="D138" s="1995"/>
      <c r="K138" s="56"/>
      <c r="L138" s="56"/>
    </row>
    <row r="139" spans="1:12" s="1994" customFormat="1">
      <c r="A139" s="251"/>
      <c r="D139" s="1995"/>
      <c r="K139" s="56"/>
      <c r="L139" s="56"/>
    </row>
    <row r="140" spans="1:12" s="1994" customFormat="1">
      <c r="A140" s="251"/>
      <c r="D140" s="1995"/>
      <c r="K140" s="56"/>
      <c r="L140" s="56"/>
    </row>
    <row r="141" spans="1:12" s="1994" customFormat="1">
      <c r="A141" s="251"/>
      <c r="D141" s="1995"/>
      <c r="K141" s="56"/>
      <c r="L141" s="56"/>
    </row>
    <row r="142" spans="1:12" s="1994" customFormat="1">
      <c r="A142" s="251"/>
      <c r="D142" s="1995"/>
      <c r="K142" s="56"/>
      <c r="L142" s="56"/>
    </row>
    <row r="143" spans="1:12" s="1994" customFormat="1">
      <c r="A143" s="251"/>
      <c r="D143" s="1995"/>
      <c r="K143" s="56"/>
      <c r="L143" s="56"/>
    </row>
    <row r="144" spans="1:12" s="1994" customFormat="1">
      <c r="A144" s="251"/>
      <c r="D144" s="1995"/>
      <c r="K144" s="56"/>
      <c r="L144" s="56"/>
    </row>
    <row r="145" spans="1:12" s="1994" customFormat="1">
      <c r="A145" s="251"/>
      <c r="D145" s="1995"/>
      <c r="K145" s="56"/>
      <c r="L145" s="56"/>
    </row>
    <row r="146" spans="1:12" s="1994" customFormat="1">
      <c r="A146" s="251"/>
      <c r="D146" s="1995"/>
      <c r="K146" s="56"/>
      <c r="L146" s="56"/>
    </row>
    <row r="147" spans="1:12" s="1994" customFormat="1">
      <c r="A147" s="251"/>
      <c r="D147" s="1995"/>
      <c r="K147" s="56"/>
      <c r="L147" s="56"/>
    </row>
    <row r="148" spans="1:12" s="1994" customFormat="1">
      <c r="A148" s="251"/>
      <c r="D148" s="1995"/>
      <c r="K148" s="56"/>
      <c r="L148" s="56"/>
    </row>
    <row r="149" spans="1:12" s="1994" customFormat="1">
      <c r="A149" s="251"/>
      <c r="D149" s="1995"/>
      <c r="K149" s="56"/>
      <c r="L149" s="56"/>
    </row>
    <row r="150" spans="1:12" s="1994" customFormat="1">
      <c r="A150" s="251"/>
      <c r="D150" s="1995"/>
      <c r="K150" s="56"/>
      <c r="L150" s="56"/>
    </row>
    <row r="151" spans="1:12" s="1994" customFormat="1">
      <c r="A151" s="251"/>
      <c r="D151" s="1995"/>
      <c r="K151" s="56"/>
      <c r="L151" s="56"/>
    </row>
    <row r="152" spans="1:12" s="1994" customFormat="1">
      <c r="A152" s="251"/>
      <c r="D152" s="1995"/>
      <c r="K152" s="56"/>
      <c r="L152" s="56"/>
    </row>
    <row r="153" spans="1:12" s="1994" customFormat="1">
      <c r="A153" s="251"/>
      <c r="D153" s="1995"/>
      <c r="K153" s="56"/>
      <c r="L153" s="56"/>
    </row>
    <row r="154" spans="1:12" s="1994" customFormat="1">
      <c r="A154" s="251"/>
      <c r="D154" s="1995"/>
      <c r="K154" s="56"/>
      <c r="L154" s="56"/>
    </row>
    <row r="155" spans="1:12" s="1994" customFormat="1">
      <c r="A155" s="251"/>
      <c r="D155" s="1995"/>
      <c r="K155" s="56"/>
      <c r="L155" s="56"/>
    </row>
    <row r="156" spans="1:12" s="1994" customFormat="1">
      <c r="A156" s="251"/>
      <c r="D156" s="1995"/>
      <c r="K156" s="56"/>
      <c r="L156" s="56"/>
    </row>
    <row r="157" spans="1:12" s="1994" customFormat="1">
      <c r="A157" s="251"/>
      <c r="D157" s="1995"/>
      <c r="K157" s="56"/>
      <c r="L157" s="56"/>
    </row>
    <row r="158" spans="1:12" s="1994" customFormat="1">
      <c r="A158" s="251"/>
      <c r="D158" s="1995"/>
      <c r="K158" s="56"/>
      <c r="L158" s="56"/>
    </row>
    <row r="159" spans="1:12" s="1994" customFormat="1">
      <c r="A159" s="251"/>
      <c r="D159" s="1995"/>
      <c r="K159" s="56"/>
      <c r="L159" s="56"/>
    </row>
    <row r="160" spans="1:12" s="1994" customFormat="1">
      <c r="A160" s="251"/>
      <c r="D160" s="1995"/>
      <c r="K160" s="56"/>
      <c r="L160" s="56"/>
    </row>
    <row r="161" spans="1:12" s="1994" customFormat="1">
      <c r="A161" s="251"/>
      <c r="D161" s="1995"/>
      <c r="K161" s="56"/>
      <c r="L161" s="56"/>
    </row>
    <row r="162" spans="1:12" s="1994" customFormat="1">
      <c r="A162" s="251"/>
      <c r="D162" s="1995"/>
      <c r="K162" s="56"/>
      <c r="L162" s="56"/>
    </row>
    <row r="163" spans="1:12" s="1994" customFormat="1">
      <c r="A163" s="251"/>
      <c r="D163" s="1995"/>
      <c r="K163" s="56"/>
      <c r="L163" s="56"/>
    </row>
    <row r="164" spans="1:12" s="1994" customFormat="1">
      <c r="A164" s="251"/>
      <c r="D164" s="1995"/>
      <c r="K164" s="56"/>
      <c r="L164" s="56"/>
    </row>
    <row r="165" spans="1:12" s="1994" customFormat="1">
      <c r="A165" s="251"/>
      <c r="D165" s="1995"/>
      <c r="K165" s="56"/>
      <c r="L165" s="56"/>
    </row>
    <row r="166" spans="1:12" s="1994" customFormat="1">
      <c r="A166" s="251"/>
      <c r="D166" s="1995"/>
      <c r="K166" s="56"/>
      <c r="L166" s="56"/>
    </row>
    <row r="167" spans="1:12" s="1994" customFormat="1">
      <c r="A167" s="251"/>
      <c r="D167" s="1995"/>
      <c r="K167" s="56"/>
      <c r="L167" s="56"/>
    </row>
    <row r="168" spans="1:12" s="1994" customFormat="1">
      <c r="A168" s="251"/>
      <c r="D168" s="1995"/>
      <c r="K168" s="56"/>
      <c r="L168" s="56"/>
    </row>
    <row r="169" spans="1:12" s="1994" customFormat="1">
      <c r="A169" s="251"/>
      <c r="D169" s="1995"/>
      <c r="K169" s="56"/>
      <c r="L169" s="56"/>
    </row>
    <row r="170" spans="1:12" s="1994" customFormat="1">
      <c r="A170" s="251"/>
      <c r="D170" s="1995"/>
      <c r="K170" s="56"/>
      <c r="L170" s="56"/>
    </row>
    <row r="171" spans="1:12" s="1994" customFormat="1">
      <c r="A171" s="251"/>
      <c r="D171" s="1995"/>
      <c r="K171" s="56"/>
      <c r="L171" s="56"/>
    </row>
    <row r="172" spans="1:12" s="1994" customFormat="1">
      <c r="A172" s="251"/>
      <c r="D172" s="1995"/>
      <c r="K172" s="56"/>
      <c r="L172" s="56"/>
    </row>
    <row r="173" spans="1:12" s="1994" customFormat="1">
      <c r="A173" s="251"/>
      <c r="D173" s="1995"/>
      <c r="K173" s="56"/>
      <c r="L173" s="56"/>
    </row>
    <row r="174" spans="1:12" s="1994" customFormat="1">
      <c r="A174" s="251"/>
      <c r="D174" s="1995"/>
      <c r="K174" s="56"/>
      <c r="L174" s="56"/>
    </row>
    <row r="175" spans="1:12" s="1994" customFormat="1">
      <c r="A175" s="251"/>
      <c r="D175" s="1995"/>
      <c r="K175" s="56"/>
      <c r="L175" s="56"/>
    </row>
    <row r="176" spans="1:12" s="1994" customFormat="1">
      <c r="A176" s="251"/>
      <c r="D176" s="1995"/>
      <c r="K176" s="56"/>
      <c r="L176" s="56"/>
    </row>
    <row r="177" spans="1:12" s="1994" customFormat="1">
      <c r="A177" s="251"/>
      <c r="D177" s="1995"/>
      <c r="K177" s="56"/>
      <c r="L177" s="56"/>
    </row>
    <row r="178" spans="1:12" s="1994" customFormat="1">
      <c r="A178" s="251"/>
      <c r="D178" s="1995"/>
      <c r="K178" s="56"/>
      <c r="L178" s="56"/>
    </row>
    <row r="179" spans="1:12" s="1994" customFormat="1">
      <c r="A179" s="251"/>
      <c r="D179" s="1995"/>
      <c r="K179" s="56"/>
      <c r="L179" s="56"/>
    </row>
    <row r="180" spans="1:12" s="1994" customFormat="1">
      <c r="A180" s="251"/>
      <c r="D180" s="1995"/>
      <c r="K180" s="56"/>
      <c r="L180" s="56"/>
    </row>
    <row r="181" spans="1:12" s="1994" customFormat="1">
      <c r="A181" s="251"/>
      <c r="D181" s="1995"/>
      <c r="K181" s="56"/>
      <c r="L181" s="56"/>
    </row>
    <row r="182" spans="1:12" s="1994" customFormat="1">
      <c r="A182" s="251"/>
      <c r="D182" s="1995"/>
      <c r="K182" s="56"/>
      <c r="L182" s="56"/>
    </row>
    <row r="183" spans="1:12" s="1994" customFormat="1">
      <c r="A183" s="251"/>
      <c r="D183" s="1995"/>
      <c r="K183" s="56"/>
      <c r="L183" s="56"/>
    </row>
    <row r="184" spans="1:12" s="1994" customFormat="1">
      <c r="A184" s="251"/>
      <c r="D184" s="1995"/>
      <c r="K184" s="56"/>
      <c r="L184" s="56"/>
    </row>
    <row r="185" spans="1:12" s="1994" customFormat="1">
      <c r="A185" s="251"/>
      <c r="D185" s="1995"/>
      <c r="K185" s="56"/>
      <c r="L185" s="56"/>
    </row>
    <row r="186" spans="1:12" s="1994" customFormat="1">
      <c r="A186" s="251"/>
      <c r="D186" s="1995"/>
      <c r="K186" s="56"/>
      <c r="L186" s="56"/>
    </row>
    <row r="187" spans="1:12" s="1994" customFormat="1">
      <c r="A187" s="251"/>
      <c r="D187" s="1995"/>
      <c r="K187" s="56"/>
      <c r="L187" s="56"/>
    </row>
    <row r="188" spans="1:12" s="1994" customFormat="1">
      <c r="A188" s="251"/>
      <c r="D188" s="1995"/>
      <c r="K188" s="56"/>
      <c r="L188" s="56"/>
    </row>
    <row r="189" spans="1:12" s="1994" customFormat="1">
      <c r="A189" s="251"/>
      <c r="D189" s="1995"/>
      <c r="K189" s="56"/>
      <c r="L189" s="56"/>
    </row>
    <row r="190" spans="1:12" s="1994" customFormat="1">
      <c r="A190" s="251"/>
      <c r="D190" s="1995"/>
      <c r="K190" s="56"/>
      <c r="L190" s="56"/>
    </row>
    <row r="191" spans="1:12" s="1994" customFormat="1">
      <c r="A191" s="251"/>
      <c r="D191" s="1995"/>
      <c r="K191" s="56"/>
      <c r="L191" s="56"/>
    </row>
    <row r="192" spans="1:12" s="1994" customFormat="1">
      <c r="A192" s="251"/>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1897</v>
      </c>
      <c r="B36" s="1651" t="s">
        <v>1898</v>
      </c>
    </row>
    <row r="37" spans="1:9" ht="28.5" customHeight="1">
      <c r="A37" s="1651"/>
      <c r="B37" s="3238" t="str">
        <f>项目基本情况!B1</f>
        <v>8号地块出让国有建设用地使用权抵押价格预评估</v>
      </c>
      <c r="C37" s="3238"/>
      <c r="D37" s="3238"/>
      <c r="E37" s="3238"/>
      <c r="F37" s="3238"/>
      <c r="G37" s="3238"/>
      <c r="H37" s="3238"/>
      <c r="I37" s="3238"/>
    </row>
    <row r="38" spans="1:9">
      <c r="A38" s="1653"/>
      <c r="B38" s="1653"/>
    </row>
    <row r="39" spans="1:9">
      <c r="A39" s="1651" t="s">
        <v>1897</v>
      </c>
      <c r="B39" s="1651" t="s">
        <v>2044</v>
      </c>
    </row>
    <row r="40" spans="1:9">
      <c r="A40" s="1651"/>
      <c r="B40" s="1651">
        <f>项目基本情况!B5</f>
        <v>0</v>
      </c>
    </row>
    <row r="41" spans="1:9">
      <c r="A41" s="1651"/>
      <c r="B41" s="1651"/>
    </row>
    <row r="42" spans="1:9">
      <c r="A42" s="1651" t="s">
        <v>1897</v>
      </c>
      <c r="B42" s="1651" t="s">
        <v>2045</v>
      </c>
    </row>
    <row r="43" spans="1:9">
      <c r="A43" s="1651"/>
      <c r="B43" s="1651" t="s">
        <v>1899</v>
      </c>
    </row>
    <row r="44" spans="1:9">
      <c r="A44" s="1651"/>
      <c r="B44" s="1651"/>
    </row>
    <row r="45" spans="1:9">
      <c r="A45" s="1651" t="s">
        <v>1897</v>
      </c>
      <c r="B45" s="1651" t="s">
        <v>2043</v>
      </c>
    </row>
    <row r="46" spans="1:9" s="1651" customFormat="1" ht="12.75">
      <c r="B46" s="1651" t="str">
        <f>项目基本情况!K4</f>
        <v>土地估价师、土地估价师</v>
      </c>
    </row>
    <row r="47" spans="1:9">
      <c r="A47" s="1651"/>
      <c r="B47" s="1651"/>
    </row>
    <row r="48" spans="1:9">
      <c r="A48" s="1651" t="s">
        <v>1897</v>
      </c>
      <c r="B48" s="1651" t="s">
        <v>2046</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8" sqref="B18"/>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9" t="s">
        <v>1659</v>
      </c>
      <c r="B1" s="3340"/>
      <c r="C1" s="3340"/>
      <c r="D1" s="3340"/>
      <c r="E1" s="3340"/>
      <c r="F1" s="3340"/>
      <c r="G1" s="3340"/>
      <c r="H1" s="1998"/>
      <c r="I1" s="1999"/>
      <c r="J1" s="2000"/>
      <c r="K1" s="1998"/>
      <c r="L1" s="1999"/>
      <c r="M1" s="2000"/>
      <c r="N1" s="1998"/>
      <c r="O1" s="1999"/>
      <c r="P1" s="2000"/>
      <c r="Q1" s="2001"/>
      <c r="R1" s="2002"/>
    </row>
    <row r="2" spans="1:18" ht="14.25" thickBot="1">
      <c r="A2" s="1218"/>
      <c r="B2" s="1219"/>
      <c r="C2" s="1220" t="s">
        <v>1660</v>
      </c>
      <c r="D2" s="1221"/>
      <c r="E2" s="1222"/>
      <c r="F2" s="1223"/>
      <c r="G2" s="1220" t="s">
        <v>1661</v>
      </c>
      <c r="H2" s="2004"/>
      <c r="I2" s="2004"/>
      <c r="J2" s="2004"/>
      <c r="K2" s="2004"/>
      <c r="L2" s="2004"/>
      <c r="M2" s="2004"/>
      <c r="N2" s="2004"/>
      <c r="O2" s="2004"/>
      <c r="P2" s="2004"/>
      <c r="Q2" s="2004"/>
      <c r="R2" s="2004"/>
    </row>
    <row r="3" spans="1:18" ht="54">
      <c r="A3" s="1224" t="s">
        <v>1662</v>
      </c>
      <c r="B3" s="1225" t="s">
        <v>1649</v>
      </c>
      <c r="C3" s="3103" t="s">
        <v>2923</v>
      </c>
      <c r="D3" s="2005"/>
      <c r="E3" s="1226" t="s">
        <v>1662</v>
      </c>
      <c r="F3" s="1227" t="s">
        <v>1650</v>
      </c>
      <c r="G3" s="3107" t="s">
        <v>2922</v>
      </c>
      <c r="H3" s="2004"/>
      <c r="I3" s="2004"/>
      <c r="J3" s="2004"/>
      <c r="K3" s="2004"/>
      <c r="L3" s="2004"/>
      <c r="M3" s="2004"/>
      <c r="N3" s="2004"/>
      <c r="O3" s="2004"/>
      <c r="P3" s="2004"/>
      <c r="Q3" s="2004"/>
      <c r="R3" s="2004"/>
    </row>
    <row r="4" spans="1:18" ht="41.25">
      <c r="A4" s="1226"/>
      <c r="B4" s="1228" t="s">
        <v>1663</v>
      </c>
      <c r="C4" s="3104" t="s">
        <v>2924</v>
      </c>
      <c r="D4" s="2005"/>
      <c r="E4" s="1229"/>
      <c r="F4" s="1230" t="s">
        <v>1664</v>
      </c>
      <c r="G4" s="3105" t="s">
        <v>2919</v>
      </c>
      <c r="H4" s="2004"/>
      <c r="I4" s="2004"/>
      <c r="J4" s="2004"/>
      <c r="K4" s="2004"/>
      <c r="L4" s="2004"/>
      <c r="M4" s="2004"/>
      <c r="N4" s="2004"/>
      <c r="O4" s="2004"/>
      <c r="P4" s="2004"/>
      <c r="Q4" s="2004"/>
      <c r="R4" s="2004"/>
    </row>
    <row r="5" spans="1:18" ht="41.25">
      <c r="A5" s="1226"/>
      <c r="B5" s="1228" t="s">
        <v>1665</v>
      </c>
      <c r="C5" s="3104" t="s">
        <v>2925</v>
      </c>
      <c r="D5" s="2005"/>
      <c r="E5" s="1229"/>
      <c r="F5" s="1228" t="s">
        <v>2545</v>
      </c>
      <c r="G5" s="3105" t="s">
        <v>2920</v>
      </c>
      <c r="H5" s="2004"/>
      <c r="I5" s="2004"/>
      <c r="J5" s="2004"/>
      <c r="K5" s="2004"/>
      <c r="L5" s="2004"/>
      <c r="M5" s="2004"/>
      <c r="N5" s="2004"/>
      <c r="O5" s="2004"/>
      <c r="P5" s="2004"/>
      <c r="Q5" s="2004"/>
      <c r="R5" s="2004"/>
    </row>
    <row r="6" spans="1:18" ht="67.5">
      <c r="A6" s="1226"/>
      <c r="B6" s="1228" t="s">
        <v>1651</v>
      </c>
      <c r="C6" s="3168" t="s">
        <v>3324</v>
      </c>
      <c r="D6" s="2005"/>
      <c r="E6" s="1229"/>
      <c r="F6" s="1228" t="s">
        <v>2546</v>
      </c>
      <c r="G6" s="3105" t="s">
        <v>2917</v>
      </c>
      <c r="H6" s="2004"/>
      <c r="I6" s="2004"/>
      <c r="J6" s="2004"/>
      <c r="K6" s="2004"/>
      <c r="L6" s="2004"/>
      <c r="M6" s="2004"/>
      <c r="N6" s="2004"/>
      <c r="O6" s="2004"/>
      <c r="P6" s="2004"/>
      <c r="Q6" s="2004"/>
      <c r="R6" s="2004"/>
    </row>
    <row r="7" spans="1:18" ht="41.25" thickBot="1">
      <c r="A7" s="1226"/>
      <c r="B7" s="1228" t="s">
        <v>2545</v>
      </c>
      <c r="C7" s="3105" t="s">
        <v>2920</v>
      </c>
      <c r="D7" s="2006"/>
      <c r="E7" s="1231"/>
      <c r="F7" s="1232" t="s">
        <v>1666</v>
      </c>
      <c r="G7" s="3108" t="s">
        <v>2921</v>
      </c>
      <c r="H7" s="2004"/>
      <c r="I7" s="2004"/>
      <c r="J7" s="2004"/>
      <c r="K7" s="2004"/>
      <c r="L7" s="2004"/>
      <c r="M7" s="2004"/>
      <c r="N7" s="2004"/>
      <c r="O7" s="2004"/>
      <c r="P7" s="2004"/>
      <c r="Q7" s="2004"/>
      <c r="R7" s="2004"/>
    </row>
    <row r="8" spans="1:18" ht="27">
      <c r="A8" s="1226"/>
      <c r="B8" s="1228" t="s">
        <v>2546</v>
      </c>
      <c r="C8" s="3105" t="s">
        <v>2917</v>
      </c>
      <c r="D8" s="2006"/>
      <c r="E8" s="2006"/>
      <c r="F8" s="1550"/>
      <c r="G8" s="1550"/>
      <c r="H8" s="2004"/>
      <c r="I8" s="2004"/>
      <c r="J8" s="2004"/>
      <c r="K8" s="2004"/>
      <c r="L8" s="2004"/>
      <c r="M8" s="2004"/>
      <c r="N8" s="2004"/>
      <c r="O8" s="2004"/>
      <c r="P8" s="2004"/>
      <c r="Q8" s="2004"/>
      <c r="R8" s="2004"/>
    </row>
    <row r="9" spans="1:18" ht="40.5">
      <c r="A9" s="1226"/>
      <c r="B9" s="1228" t="s">
        <v>1652</v>
      </c>
      <c r="C9" s="3104" t="s">
        <v>2918</v>
      </c>
      <c r="D9" s="2005"/>
      <c r="E9" s="2006"/>
      <c r="F9" s="1550"/>
      <c r="G9" s="1550"/>
      <c r="H9" s="2004"/>
      <c r="I9" s="2004"/>
      <c r="J9" s="2004"/>
      <c r="K9" s="2004"/>
      <c r="L9" s="2004"/>
      <c r="M9" s="2004"/>
      <c r="N9" s="2004"/>
      <c r="O9" s="2004"/>
      <c r="P9" s="2004"/>
      <c r="Q9" s="2004"/>
      <c r="R9" s="2004"/>
    </row>
    <row r="10" spans="1:18" s="2012" customFormat="1" ht="15" thickBot="1">
      <c r="A10" s="1233"/>
      <c r="B10" s="1234" t="s">
        <v>1667</v>
      </c>
      <c r="C10" s="3106"/>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7"/>
      <c r="E12" s="2005"/>
      <c r="F12" s="2006"/>
      <c r="G12" s="2008"/>
      <c r="H12" s="2013"/>
      <c r="I12" s="2014"/>
      <c r="J12" s="2013"/>
      <c r="K12" s="2013"/>
      <c r="L12" s="2015"/>
      <c r="M12" s="2013"/>
      <c r="N12" s="2016"/>
      <c r="O12" s="2017"/>
      <c r="P12" s="2018"/>
      <c r="Q12" s="2016"/>
      <c r="R12" s="2002"/>
    </row>
    <row r="13" spans="1:18" ht="19.5" thickBot="1">
      <c r="A13" s="2596" t="s">
        <v>1668</v>
      </c>
      <c r="B13" s="2597"/>
      <c r="C13" s="2597"/>
      <c r="D13" s="1221"/>
      <c r="E13" s="2597"/>
      <c r="F13" s="2597"/>
      <c r="G13" s="2597"/>
    </row>
    <row r="14" spans="1:18" ht="14.25" thickBot="1">
      <c r="A14" s="1235"/>
      <c r="B14" s="1236"/>
      <c r="C14" s="1237" t="s">
        <v>1660</v>
      </c>
      <c r="D14" s="2005"/>
      <c r="E14" s="1238"/>
      <c r="F14" s="1238"/>
      <c r="G14" s="1220" t="s">
        <v>1661</v>
      </c>
    </row>
    <row r="15" spans="1:18" ht="54">
      <c r="A15" s="2607" t="s">
        <v>1653</v>
      </c>
      <c r="B15" s="1239" t="s">
        <v>1649</v>
      </c>
      <c r="C15" s="1240" t="str">
        <f>C3</f>
        <v>估价对象周边居住用地比例、居住小区规模和社区发展完善程度，综合评价居住社区成熟度一般</v>
      </c>
      <c r="D15" s="2005"/>
      <c r="E15" s="2604" t="s">
        <v>1654</v>
      </c>
      <c r="F15" s="1239" t="s">
        <v>1669</v>
      </c>
      <c r="G15" s="1241" t="str">
        <f>G3</f>
        <v>估价对象位于XX开发区，园区建设成熟度XX，产业集聚程度XX</v>
      </c>
    </row>
    <row r="16" spans="1:18" ht="40.5">
      <c r="A16" s="2608"/>
      <c r="B16" s="1242" t="s">
        <v>1663</v>
      </c>
      <c r="C16" s="1243" t="str">
        <f>C4</f>
        <v>估价对象位于XX商圈，周边商业氛围成熟，人流量大，商业繁华度好</v>
      </c>
      <c r="D16" s="2005"/>
      <c r="E16" s="2605"/>
      <c r="F16" s="1244" t="s">
        <v>1664</v>
      </c>
      <c r="G16" s="1002" t="str">
        <f>G4</f>
        <v>估价对象周边道路状况、公共交通通达情况、停车便捷程度，综合评价交通便捷度较好</v>
      </c>
    </row>
    <row r="17" spans="1:7" ht="40.5">
      <c r="A17" s="2608"/>
      <c r="B17" s="1242" t="s">
        <v>1665</v>
      </c>
      <c r="C17" s="1243" t="str">
        <f>C5</f>
        <v>估价对象位于XX商圈，周边办公楼项目较多，入驻率高，办公集聚程度较好</v>
      </c>
      <c r="D17" s="2006"/>
      <c r="E17" s="2605"/>
      <c r="F17" s="1244" t="s">
        <v>1670</v>
      </c>
      <c r="G17" s="2815"/>
    </row>
    <row r="18" spans="1:7" ht="67.5">
      <c r="A18" s="2608"/>
      <c r="B18" s="1244" t="s">
        <v>1651</v>
      </c>
      <c r="C18" s="1002" t="str">
        <f>C6</f>
        <v>估价对象周边道路状况、公共交通通达情况、停车便捷程度，综合评价交通便捷度较好148.208、212、215、348、503、912</v>
      </c>
      <c r="D18" s="2006"/>
      <c r="E18" s="2605"/>
      <c r="F18" s="1244" t="s">
        <v>1666</v>
      </c>
      <c r="G18" s="1002" t="str">
        <f>G7</f>
        <v>该园区内是否有污染型企业，绿化情况，卫生条件，整体环境状况判断</v>
      </c>
    </row>
    <row r="19" spans="1:7" ht="27">
      <c r="A19" s="2608"/>
      <c r="B19" s="1244" t="s">
        <v>1655</v>
      </c>
      <c r="C19" s="2815"/>
      <c r="D19" s="2005"/>
      <c r="E19" s="2605"/>
      <c r="F19" s="1228" t="s">
        <v>2545</v>
      </c>
      <c r="G19" s="1002" t="str">
        <f>G5</f>
        <v>估价对象所在区域公共配套设施齐备情况</v>
      </c>
    </row>
    <row r="20" spans="1:7" ht="40.5">
      <c r="A20" s="2608"/>
      <c r="B20" s="1244" t="s">
        <v>1656</v>
      </c>
      <c r="C20" s="1243" t="str">
        <f>C9</f>
        <v>区域自然环境：；人文环境；综合评价环境状况一般</v>
      </c>
      <c r="D20" s="2006"/>
      <c r="E20" s="2605"/>
      <c r="F20" s="1228" t="s">
        <v>2546</v>
      </c>
      <c r="G20" s="1002" t="str">
        <f>G6</f>
        <v>估价对象所在区域基础设施水平</v>
      </c>
    </row>
    <row r="21" spans="1:7" ht="27">
      <c r="A21" s="2608"/>
      <c r="B21" s="1228" t="s">
        <v>2545</v>
      </c>
      <c r="C21" s="1002" t="str">
        <f>C7</f>
        <v>估价对象所在区域公共配套设施齐备情况</v>
      </c>
      <c r="D21" s="2005"/>
      <c r="E21" s="2605"/>
      <c r="F21" s="1244" t="s">
        <v>1657</v>
      </c>
      <c r="G21" s="3109"/>
    </row>
    <row r="22" spans="1:7" ht="27">
      <c r="A22" s="2608"/>
      <c r="B22" s="1228" t="s">
        <v>2546</v>
      </c>
      <c r="C22" s="1002" t="str">
        <f>C8</f>
        <v>估价对象所在区域基础设施水平</v>
      </c>
      <c r="D22" s="2005"/>
      <c r="E22" s="2605"/>
      <c r="F22" s="1244" t="s">
        <v>1667</v>
      </c>
      <c r="G22" s="2815"/>
    </row>
    <row r="23" spans="1:7" ht="15" thickBot="1">
      <c r="A23" s="2608"/>
      <c r="B23" s="1244" t="s">
        <v>1657</v>
      </c>
      <c r="C23" s="3109"/>
      <c r="E23" s="2606"/>
      <c r="F23" s="1245" t="s">
        <v>1671</v>
      </c>
      <c r="G23" s="3110"/>
    </row>
    <row r="24" spans="1:7" ht="14.25" thickBot="1">
      <c r="A24" s="2609"/>
      <c r="B24" s="1245" t="s">
        <v>1658</v>
      </c>
      <c r="C24" s="1246">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I15"/>
    </sheetView>
  </sheetViews>
  <sheetFormatPr defaultColWidth="14.625" defaultRowHeight="13.5"/>
  <cols>
    <col min="1" max="1" width="24.375" customWidth="1"/>
  </cols>
  <sheetData>
    <row r="1" spans="1:9" ht="16.5">
      <c r="A1" s="3067" t="s">
        <v>2845</v>
      </c>
      <c r="B1" s="3067">
        <f>SUM(B14:B23)</f>
        <v>477547.10000000003</v>
      </c>
      <c r="C1" s="3068"/>
      <c r="D1" s="3068"/>
      <c r="E1" s="3068"/>
      <c r="F1" s="3068"/>
    </row>
    <row r="2" spans="1:9" ht="16.5">
      <c r="A2" s="3067" t="s">
        <v>2846</v>
      </c>
      <c r="B2" s="3067">
        <f>SUM(C14:C23)</f>
        <v>110487.72</v>
      </c>
      <c r="C2" s="3068"/>
      <c r="D2" s="3068"/>
      <c r="E2" s="3068"/>
      <c r="F2" s="3068"/>
    </row>
    <row r="3" spans="1:9" ht="16.5">
      <c r="A3" s="3067" t="s">
        <v>2847</v>
      </c>
      <c r="B3" s="3069">
        <f>项目基本情况!D3</f>
        <v>43109</v>
      </c>
      <c r="C3" s="3068"/>
      <c r="D3" s="3068"/>
      <c r="E3" s="3068"/>
      <c r="F3" s="3068"/>
    </row>
    <row r="4" spans="1:9" ht="33">
      <c r="A4" s="3067" t="s">
        <v>2848</v>
      </c>
      <c r="B4" s="3067" t="s">
        <v>2849</v>
      </c>
      <c r="C4" s="3067" t="s">
        <v>2850</v>
      </c>
      <c r="D4" s="3067" t="s">
        <v>2851</v>
      </c>
      <c r="E4" s="3068"/>
      <c r="F4" s="3068"/>
    </row>
    <row r="5" spans="1:9" ht="16.5">
      <c r="A5" s="3067" t="s">
        <v>2852</v>
      </c>
      <c r="B5" s="3067">
        <f ca="1">SUM(D14:D23)</f>
        <v>140509</v>
      </c>
      <c r="C5" s="3067">
        <f ca="1">ROUND(B5*10000/$B$1,0)</f>
        <v>2942</v>
      </c>
      <c r="D5" s="3067">
        <f ca="1">ROUND(B5*10000/$B$2,0)</f>
        <v>12717</v>
      </c>
      <c r="E5" s="3068"/>
      <c r="F5" s="3068"/>
    </row>
    <row r="6" spans="1:9" ht="16.5">
      <c r="A6" s="3067" t="s">
        <v>2853</v>
      </c>
      <c r="B6" s="3067">
        <f ca="1">SUM(G14:G23)</f>
        <v>140509</v>
      </c>
      <c r="C6" s="3067">
        <f t="shared" ref="C6:C8" ca="1" si="0">ROUND(B6*10000/$B$1,0)</f>
        <v>2942</v>
      </c>
      <c r="D6" s="3067">
        <f t="shared" ref="D6:D8" ca="1" si="1">ROUND(B6*10000/$B$2,0)</f>
        <v>12717</v>
      </c>
      <c r="E6" s="3068"/>
      <c r="F6" s="3068"/>
    </row>
    <row r="7" spans="1:9" ht="16.5">
      <c r="A7" s="3067" t="s">
        <v>2854</v>
      </c>
      <c r="B7" s="3067">
        <f>SUM(H14:H23)</f>
        <v>0</v>
      </c>
      <c r="C7" s="3067">
        <f t="shared" si="0"/>
        <v>0</v>
      </c>
      <c r="D7" s="3067">
        <f t="shared" si="1"/>
        <v>0</v>
      </c>
      <c r="E7" s="3068"/>
      <c r="F7" s="3068"/>
    </row>
    <row r="8" spans="1:9" ht="16.5">
      <c r="A8" s="3067" t="s">
        <v>2855</v>
      </c>
      <c r="B8" s="3067">
        <f ca="1">SUM(I14:I23)</f>
        <v>77486</v>
      </c>
      <c r="C8" s="3067">
        <f t="shared" ca="1" si="0"/>
        <v>1623</v>
      </c>
      <c r="D8" s="3067">
        <f t="shared" ca="1" si="1"/>
        <v>7013</v>
      </c>
      <c r="E8" s="3068"/>
      <c r="F8" s="3068"/>
    </row>
    <row r="9" spans="1:9" ht="16.5">
      <c r="A9" s="3067" t="s">
        <v>2856</v>
      </c>
      <c r="B9" s="3070"/>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3" t="s">
        <v>2873</v>
      </c>
      <c r="B13" s="3071" t="s">
        <v>2845</v>
      </c>
      <c r="C13" s="3071" t="s">
        <v>2846</v>
      </c>
      <c r="D13" s="3071" t="s">
        <v>2858</v>
      </c>
      <c r="E13" s="3067" t="s">
        <v>2872</v>
      </c>
      <c r="F13" s="3067" t="s">
        <v>2851</v>
      </c>
      <c r="G13" s="3071" t="s">
        <v>2859</v>
      </c>
      <c r="H13" s="3071" t="s">
        <v>2860</v>
      </c>
      <c r="I13" s="3071" t="s">
        <v>2861</v>
      </c>
    </row>
    <row r="14" spans="1:9" ht="16.5">
      <c r="A14" s="3074" t="s">
        <v>2871</v>
      </c>
      <c r="B14" s="3071">
        <f>结果表!L38</f>
        <v>320965.16000000003</v>
      </c>
      <c r="C14" s="3071">
        <f>结果表!K38</f>
        <v>72299.64</v>
      </c>
      <c r="D14" s="3071">
        <f ca="1">结果表!C42</f>
        <v>92899</v>
      </c>
      <c r="E14" s="3071">
        <f ca="1">ROUND(D14*10000/B14,0)</f>
        <v>2894</v>
      </c>
      <c r="F14" s="3071">
        <f ca="1">ROUND(D14*10000/C14,0)</f>
        <v>12849</v>
      </c>
      <c r="G14" s="3071">
        <f ca="1">结果表!C44</f>
        <v>92899</v>
      </c>
      <c r="H14" s="3071" t="str">
        <f>结果表!C45</f>
        <v>——</v>
      </c>
      <c r="I14" s="3071">
        <f ca="1">结果表!C46</f>
        <v>50866</v>
      </c>
    </row>
    <row r="15" spans="1:9" ht="16.5">
      <c r="A15" s="3074" t="s">
        <v>2862</v>
      </c>
      <c r="B15" s="3219">
        <v>156581.94</v>
      </c>
      <c r="C15" s="3219">
        <v>38188.080000000002</v>
      </c>
      <c r="D15" s="3219">
        <f>[2]系统读取表!$D$14</f>
        <v>47610</v>
      </c>
      <c r="E15" s="3071">
        <f t="shared" ref="E15:E23" si="2">ROUND(D15*10000/B15,0)</f>
        <v>3041</v>
      </c>
      <c r="F15" s="3071">
        <f t="shared" ref="F15:F23" si="3">ROUND(D15*10000/C15,0)</f>
        <v>12467</v>
      </c>
      <c r="G15" s="3219">
        <f>[2]系统读取表!$G$14</f>
        <v>47610</v>
      </c>
      <c r="H15" s="3072"/>
      <c r="I15" s="3075">
        <f ca="1">[3]系统读取表!$I$14</f>
        <v>26620</v>
      </c>
    </row>
    <row r="16" spans="1:9" ht="16.5">
      <c r="A16" s="3074" t="s">
        <v>2863</v>
      </c>
      <c r="B16" s="3075"/>
      <c r="C16" s="3075"/>
      <c r="D16" s="3075"/>
      <c r="E16" s="3071" t="e">
        <f t="shared" si="2"/>
        <v>#DIV/0!</v>
      </c>
      <c r="F16" s="3071" t="e">
        <f t="shared" si="3"/>
        <v>#DIV/0!</v>
      </c>
      <c r="G16" s="3072"/>
      <c r="H16" s="3072"/>
      <c r="I16" s="3075"/>
    </row>
    <row r="17" spans="1:9" ht="16.5">
      <c r="A17" s="3074" t="s">
        <v>2864</v>
      </c>
      <c r="B17" s="3075"/>
      <c r="C17" s="3075"/>
      <c r="D17" s="3075"/>
      <c r="E17" s="3071" t="e">
        <f t="shared" si="2"/>
        <v>#DIV/0!</v>
      </c>
      <c r="F17" s="3071" t="e">
        <f t="shared" si="3"/>
        <v>#DIV/0!</v>
      </c>
      <c r="G17" s="3072"/>
      <c r="H17" s="3072"/>
      <c r="I17" s="3075"/>
    </row>
    <row r="18" spans="1:9" ht="16.5">
      <c r="A18" s="3074" t="s">
        <v>2865</v>
      </c>
      <c r="B18" s="3075"/>
      <c r="C18" s="3075"/>
      <c r="D18" s="3075"/>
      <c r="E18" s="3071" t="e">
        <f t="shared" si="2"/>
        <v>#DIV/0!</v>
      </c>
      <c r="F18" s="3071" t="e">
        <f t="shared" si="3"/>
        <v>#DIV/0!</v>
      </c>
      <c r="G18" s="3075"/>
      <c r="H18" s="3075"/>
      <c r="I18" s="3075"/>
    </row>
    <row r="19" spans="1:9" ht="16.5">
      <c r="A19" s="3074" t="s">
        <v>2866</v>
      </c>
      <c r="B19" s="3075"/>
      <c r="C19" s="3075"/>
      <c r="D19" s="3075"/>
      <c r="E19" s="3071" t="e">
        <f t="shared" si="2"/>
        <v>#DIV/0!</v>
      </c>
      <c r="F19" s="3071" t="e">
        <f t="shared" si="3"/>
        <v>#DIV/0!</v>
      </c>
      <c r="G19" s="3075"/>
      <c r="H19" s="3075"/>
      <c r="I19" s="3075"/>
    </row>
    <row r="20" spans="1:9" ht="16.5">
      <c r="A20" s="3074" t="s">
        <v>2867</v>
      </c>
      <c r="B20" s="3075"/>
      <c r="C20" s="3075"/>
      <c r="D20" s="3075"/>
      <c r="E20" s="3071" t="e">
        <f t="shared" si="2"/>
        <v>#DIV/0!</v>
      </c>
      <c r="F20" s="3071" t="e">
        <f t="shared" si="3"/>
        <v>#DIV/0!</v>
      </c>
      <c r="G20" s="3075"/>
      <c r="H20" s="3075"/>
      <c r="I20" s="3075"/>
    </row>
    <row r="21" spans="1:9" ht="16.5">
      <c r="A21" s="3074" t="s">
        <v>2868</v>
      </c>
      <c r="B21" s="3075"/>
      <c r="C21" s="3075"/>
      <c r="D21" s="3075"/>
      <c r="E21" s="3071" t="e">
        <f t="shared" si="2"/>
        <v>#DIV/0!</v>
      </c>
      <c r="F21" s="3071" t="e">
        <f t="shared" si="3"/>
        <v>#DIV/0!</v>
      </c>
      <c r="G21" s="3075"/>
      <c r="H21" s="3075"/>
      <c r="I21" s="3075"/>
    </row>
    <row r="22" spans="1:9" ht="16.5">
      <c r="A22" s="3074" t="s">
        <v>2869</v>
      </c>
      <c r="B22" s="3075"/>
      <c r="C22" s="3075"/>
      <c r="D22" s="3075"/>
      <c r="E22" s="3071" t="e">
        <f t="shared" si="2"/>
        <v>#DIV/0!</v>
      </c>
      <c r="F22" s="3071" t="e">
        <f t="shared" si="3"/>
        <v>#DIV/0!</v>
      </c>
      <c r="G22" s="3075"/>
      <c r="H22" s="3075"/>
      <c r="I22" s="3075"/>
    </row>
    <row r="23" spans="1:9" ht="16.5">
      <c r="A23" s="3074" t="s">
        <v>2870</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0" zoomScale="80" zoomScaleNormal="100" zoomScaleSheetLayoutView="80" zoomScalePageLayoutView="80" workbookViewId="0">
      <selection activeCell="K35" sqref="K35:K3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2053</v>
      </c>
      <c r="B1" s="1774"/>
      <c r="C1" s="1802" t="s">
        <v>2054</v>
      </c>
      <c r="D1" s="1803" t="s">
        <v>3540</v>
      </c>
      <c r="E1" s="1802" t="s">
        <v>2055</v>
      </c>
      <c r="F1" s="1804" t="s">
        <v>3539</v>
      </c>
      <c r="G1" s="309"/>
      <c r="H1" s="309"/>
      <c r="I1" s="309"/>
      <c r="J1" s="2025"/>
      <c r="K1" s="2025"/>
      <c r="L1" s="2025"/>
      <c r="M1" s="2025"/>
      <c r="N1" s="2025"/>
      <c r="O1" s="2025"/>
      <c r="P1" s="2025"/>
      <c r="Q1" s="2025"/>
      <c r="R1" s="2025"/>
      <c r="S1" s="2025"/>
      <c r="T1" s="2025"/>
      <c r="U1" s="2025"/>
      <c r="V1" s="2025"/>
    </row>
    <row r="2" spans="1:22" ht="21.75" customHeight="1" thickBot="1">
      <c r="A2" s="3377" t="str">
        <f>项目基本情况!K2</f>
        <v>8号地块出让国有建设用地使用权</v>
      </c>
      <c r="B2" s="3378"/>
      <c r="C2" s="3379"/>
      <c r="D2" s="3379"/>
      <c r="E2" s="3379"/>
      <c r="F2" s="3379"/>
      <c r="G2" s="3378"/>
      <c r="H2" s="3378"/>
      <c r="I2" s="3380"/>
      <c r="J2" s="2026"/>
      <c r="K2" s="2025"/>
      <c r="L2" s="2025"/>
      <c r="M2" s="2025"/>
      <c r="N2" s="2025"/>
      <c r="O2" s="2025"/>
      <c r="P2" s="2025"/>
      <c r="Q2" s="2025"/>
      <c r="R2" s="2025"/>
      <c r="S2" s="2025"/>
      <c r="T2" s="2025"/>
      <c r="U2" s="2025"/>
      <c r="V2" s="2025"/>
    </row>
    <row r="3" spans="1:22" ht="14.25">
      <c r="A3" s="3370" t="s">
        <v>298</v>
      </c>
      <c r="B3" s="3371"/>
      <c r="C3" s="3371"/>
      <c r="D3" s="3371"/>
      <c r="E3" s="3371"/>
      <c r="F3" s="3371"/>
      <c r="G3" s="3371"/>
      <c r="H3" s="3371"/>
      <c r="I3" s="3371"/>
      <c r="J3" s="2026"/>
      <c r="K3" s="2025"/>
      <c r="L3" s="2025"/>
      <c r="M3" s="2025"/>
      <c r="N3" s="2025"/>
      <c r="O3" s="2025"/>
      <c r="P3" s="2025"/>
      <c r="Q3" s="2025"/>
      <c r="R3" s="2025"/>
      <c r="S3" s="2025"/>
      <c r="T3" s="2025"/>
      <c r="U3" s="2025"/>
      <c r="V3" s="2025"/>
    </row>
    <row r="4" spans="1:22" ht="14.25">
      <c r="A4" s="256" t="s">
        <v>299</v>
      </c>
      <c r="B4" s="257" t="s">
        <v>300</v>
      </c>
      <c r="C4" s="258" t="s">
        <v>2982</v>
      </c>
      <c r="D4" s="258" t="s">
        <v>2981</v>
      </c>
      <c r="E4" s="3342" t="s">
        <v>301</v>
      </c>
      <c r="F4" s="3343"/>
      <c r="G4" s="3343"/>
      <c r="H4" s="3343"/>
      <c r="I4" s="3372"/>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41" t="s">
        <v>302</v>
      </c>
      <c r="B5" s="3367">
        <v>25</v>
      </c>
      <c r="C5" s="3365"/>
      <c r="D5" s="3369"/>
      <c r="E5" s="259" t="s">
        <v>303</v>
      </c>
      <c r="F5" s="260"/>
      <c r="G5" s="260"/>
      <c r="H5" s="260"/>
      <c r="I5" s="261"/>
      <c r="J5" s="2026"/>
      <c r="K5" s="2025"/>
      <c r="L5" s="2025"/>
      <c r="M5" s="2025"/>
      <c r="N5" s="2025"/>
      <c r="O5" s="2025"/>
      <c r="P5" s="2025"/>
      <c r="Q5" s="2025"/>
      <c r="R5" s="2025"/>
      <c r="S5" s="2025"/>
      <c r="T5" s="2025"/>
      <c r="U5" s="2025"/>
      <c r="V5" s="2025"/>
    </row>
    <row r="6" spans="1:22" ht="14.25">
      <c r="A6" s="3341"/>
      <c r="B6" s="3367"/>
      <c r="C6" s="3368"/>
      <c r="D6" s="3369"/>
      <c r="E6" s="259" t="s">
        <v>304</v>
      </c>
      <c r="F6" s="260"/>
      <c r="G6" s="260"/>
      <c r="H6" s="260"/>
      <c r="I6" s="261"/>
      <c r="J6" s="2026"/>
      <c r="K6" s="2025"/>
      <c r="L6" s="2025"/>
      <c r="M6" s="2025"/>
      <c r="N6" s="2025"/>
      <c r="O6" s="2025"/>
      <c r="P6" s="2025"/>
      <c r="Q6" s="2025"/>
      <c r="R6" s="2025"/>
      <c r="S6" s="2025"/>
      <c r="T6" s="2025"/>
      <c r="U6" s="2025"/>
      <c r="V6" s="2025"/>
    </row>
    <row r="7" spans="1:22" ht="14.25">
      <c r="A7" s="3341"/>
      <c r="B7" s="3367"/>
      <c r="C7" s="3366"/>
      <c r="D7" s="3369"/>
      <c r="E7" s="259" t="s">
        <v>305</v>
      </c>
      <c r="F7" s="260"/>
      <c r="G7" s="260"/>
      <c r="H7" s="260"/>
      <c r="I7" s="261"/>
      <c r="J7" s="2026"/>
      <c r="K7" s="2025"/>
      <c r="L7" s="2025"/>
      <c r="M7" s="2025"/>
      <c r="N7" s="2025"/>
      <c r="O7" s="2025"/>
      <c r="P7" s="2025"/>
      <c r="Q7" s="2025"/>
      <c r="R7" s="2025"/>
      <c r="S7" s="2025"/>
      <c r="T7" s="2025"/>
      <c r="U7" s="2025"/>
      <c r="V7" s="2025"/>
    </row>
    <row r="8" spans="1:22" ht="14.25">
      <c r="A8" s="3341" t="s">
        <v>306</v>
      </c>
      <c r="B8" s="3367">
        <v>15</v>
      </c>
      <c r="C8" s="3365"/>
      <c r="D8" s="3369"/>
      <c r="E8" s="259" t="s">
        <v>307</v>
      </c>
      <c r="F8" s="260"/>
      <c r="G8" s="260"/>
      <c r="H8" s="260"/>
      <c r="I8" s="261"/>
      <c r="J8" s="2026"/>
      <c r="K8" s="2025"/>
      <c r="L8" s="2025"/>
      <c r="M8" s="2025"/>
      <c r="N8" s="2025"/>
      <c r="O8" s="2025"/>
      <c r="P8" s="2025"/>
      <c r="Q8" s="2025"/>
      <c r="R8" s="2025"/>
      <c r="S8" s="2025"/>
      <c r="T8" s="2025"/>
      <c r="U8" s="2025"/>
      <c r="V8" s="2025"/>
    </row>
    <row r="9" spans="1:22" ht="14.25">
      <c r="A9" s="3341"/>
      <c r="B9" s="3367"/>
      <c r="C9" s="3366"/>
      <c r="D9" s="3369"/>
      <c r="E9" s="259" t="s">
        <v>308</v>
      </c>
      <c r="F9" s="260"/>
      <c r="G9" s="260"/>
      <c r="H9" s="260"/>
      <c r="I9" s="261"/>
      <c r="J9" s="2026"/>
      <c r="K9" s="2025"/>
      <c r="L9" s="2025"/>
      <c r="M9" s="2025"/>
      <c r="N9" s="2025"/>
      <c r="O9" s="2025"/>
      <c r="P9" s="2025"/>
      <c r="Q9" s="2025"/>
      <c r="R9" s="2025"/>
      <c r="S9" s="2025"/>
      <c r="T9" s="2025"/>
      <c r="U9" s="2025"/>
      <c r="V9" s="2025"/>
    </row>
    <row r="10" spans="1:22" ht="14.25">
      <c r="A10" s="3341" t="s">
        <v>309</v>
      </c>
      <c r="B10" s="3367">
        <v>15</v>
      </c>
      <c r="C10" s="3365"/>
      <c r="D10" s="3369"/>
      <c r="E10" s="259" t="s">
        <v>310</v>
      </c>
      <c r="F10" s="260"/>
      <c r="G10" s="260"/>
      <c r="H10" s="260"/>
      <c r="I10" s="261"/>
      <c r="J10" s="2026"/>
      <c r="K10" s="2025"/>
      <c r="L10" s="2025"/>
      <c r="M10" s="2025"/>
      <c r="N10" s="2025"/>
      <c r="O10" s="2025"/>
      <c r="P10" s="2025"/>
      <c r="Q10" s="2025"/>
      <c r="R10" s="2025"/>
      <c r="S10" s="2025"/>
      <c r="T10" s="2025"/>
      <c r="U10" s="2025"/>
      <c r="V10" s="2025"/>
    </row>
    <row r="11" spans="1:22" ht="14.25">
      <c r="A11" s="3341"/>
      <c r="B11" s="3367"/>
      <c r="C11" s="3366"/>
      <c r="D11" s="3369"/>
      <c r="E11" s="259" t="s">
        <v>311</v>
      </c>
      <c r="F11" s="260"/>
      <c r="G11" s="260"/>
      <c r="H11" s="260"/>
      <c r="I11" s="261"/>
      <c r="J11" s="2026"/>
      <c r="K11" s="2025"/>
      <c r="L11" s="2025"/>
      <c r="M11" s="2025"/>
      <c r="N11" s="2025"/>
      <c r="O11" s="2025"/>
      <c r="P11" s="2025"/>
      <c r="Q11" s="2025"/>
      <c r="R11" s="2025"/>
      <c r="S11" s="2025"/>
      <c r="T11" s="2025"/>
      <c r="U11" s="2025"/>
      <c r="V11" s="2025"/>
    </row>
    <row r="12" spans="1:22" ht="14.25">
      <c r="A12" s="3341" t="s">
        <v>312</v>
      </c>
      <c r="B12" s="3367">
        <v>15</v>
      </c>
      <c r="C12" s="3365"/>
      <c r="D12" s="3369"/>
      <c r="E12" s="259" t="s">
        <v>313</v>
      </c>
      <c r="F12" s="260"/>
      <c r="G12" s="260"/>
      <c r="H12" s="260"/>
      <c r="I12" s="261"/>
      <c r="J12" s="2026"/>
      <c r="K12" s="2025"/>
      <c r="L12" s="2025"/>
      <c r="M12" s="2025"/>
      <c r="N12" s="2025"/>
      <c r="O12" s="2025"/>
      <c r="P12" s="2025"/>
      <c r="Q12" s="2025"/>
      <c r="R12" s="2025"/>
      <c r="S12" s="2025"/>
      <c r="T12" s="2025"/>
      <c r="U12" s="2025"/>
      <c r="V12" s="2025"/>
    </row>
    <row r="13" spans="1:22" ht="14.25">
      <c r="A13" s="3341"/>
      <c r="B13" s="3367"/>
      <c r="C13" s="3366"/>
      <c r="D13" s="3369"/>
      <c r="E13" s="259" t="s">
        <v>314</v>
      </c>
      <c r="F13" s="260"/>
      <c r="G13" s="260"/>
      <c r="H13" s="260"/>
      <c r="I13" s="261"/>
      <c r="J13" s="2026"/>
      <c r="K13" s="2025"/>
      <c r="L13" s="2025"/>
      <c r="M13" s="2025"/>
      <c r="N13" s="2025"/>
      <c r="O13" s="2025"/>
      <c r="P13" s="2025"/>
      <c r="Q13" s="2025"/>
      <c r="R13" s="2025"/>
      <c r="S13" s="2025"/>
      <c r="T13" s="2025"/>
      <c r="U13" s="2025"/>
      <c r="V13" s="2025"/>
    </row>
    <row r="14" spans="1:22" ht="14.25">
      <c r="A14" s="3341" t="s">
        <v>315</v>
      </c>
      <c r="B14" s="3367">
        <v>30</v>
      </c>
      <c r="C14" s="3365">
        <v>5</v>
      </c>
      <c r="D14" s="3369">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41"/>
      <c r="B15" s="3367"/>
      <c r="C15" s="3368"/>
      <c r="D15" s="3369"/>
      <c r="E15" s="259" t="s">
        <v>317</v>
      </c>
      <c r="F15" s="260"/>
      <c r="G15" s="260"/>
      <c r="H15" s="260"/>
      <c r="I15" s="261"/>
      <c r="J15" s="2026"/>
      <c r="K15" s="2025"/>
      <c r="L15" s="2025"/>
      <c r="M15" s="2025"/>
      <c r="N15" s="2025"/>
      <c r="O15" s="2025"/>
      <c r="P15" s="2025"/>
      <c r="Q15" s="2025"/>
      <c r="R15" s="2025"/>
      <c r="S15" s="2025"/>
      <c r="T15" s="2025"/>
      <c r="U15" s="2025"/>
      <c r="V15" s="2025"/>
    </row>
    <row r="16" spans="1:22" ht="14.25">
      <c r="A16" s="3341"/>
      <c r="B16" s="3367"/>
      <c r="C16" s="3366"/>
      <c r="D16" s="3369"/>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2"/>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4"/>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93298</v>
      </c>
      <c r="D19" s="269">
        <f ca="1">SUMIF(INDIRECT("'"&amp;D4&amp;"'"&amp;"!A:A"),结果表!B19,INDIRECT("'"&amp;D4&amp;"'"&amp;"!B:B"))</f>
        <v>93222</v>
      </c>
      <c r="E19" s="266" t="s">
        <v>323</v>
      </c>
      <c r="F19" s="267" t="s">
        <v>322</v>
      </c>
      <c r="G19" s="270">
        <f ca="1">ROUND(C19*$C$18+D19*$D$18,0)</f>
        <v>93260</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2907</v>
      </c>
      <c r="D20" s="275">
        <f ca="1">SUMIF(INDIRECT("'"&amp;D4&amp;"'"&amp;"!A:A"),结果表!B20,INDIRECT("'"&amp;D4&amp;"'"&amp;"!B:B"))</f>
        <v>2904</v>
      </c>
      <c r="E20" s="272"/>
      <c r="F20" s="273" t="s">
        <v>325</v>
      </c>
      <c r="G20" s="276">
        <f ca="1">ROUND(C20*$C$18+D20*$D$18,0)</f>
        <v>2906</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12904</v>
      </c>
      <c r="D21" s="149">
        <f ca="1">SUMIF(INDIRECT("'"&amp;D4&amp;"'"&amp;"!A:A"),结果表!B21,INDIRECT("'"&amp;D4&amp;"'"&amp;"!B:B"))</f>
        <v>12894</v>
      </c>
      <c r="E21" s="272"/>
      <c r="F21" s="278" t="s">
        <v>327</v>
      </c>
      <c r="G21" s="280">
        <f ca="1">ROUND(C21*$C$18+D21*$D$18,0)</f>
        <v>12899</v>
      </c>
      <c r="H21" s="1248" t="s">
        <v>326</v>
      </c>
      <c r="I21" s="309"/>
      <c r="J21" s="2025"/>
      <c r="K21" s="2025"/>
      <c r="L21" s="2025"/>
      <c r="M21" s="2025"/>
      <c r="N21" s="2025"/>
      <c r="O21" s="2025"/>
      <c r="P21" s="2025"/>
      <c r="Q21" s="2025"/>
      <c r="R21" s="2025"/>
      <c r="S21" s="2025"/>
      <c r="T21" s="2025"/>
      <c r="U21" s="2025"/>
      <c r="V21" s="2025"/>
    </row>
    <row r="22" spans="1:26" ht="15.75" thickBot="1">
      <c r="A22" s="124" t="s">
        <v>328</v>
      </c>
      <c r="B22" s="1249"/>
      <c r="C22" s="1250"/>
      <c r="D22" s="281">
        <f ca="1">IF(C19&lt;D19,D19/C19-1,C19/D19-1)</f>
        <v>8.1525820085381895E-4</v>
      </c>
      <c r="E22" s="282"/>
      <c r="F22" s="283"/>
      <c r="G22" s="284">
        <f ca="1">ROUND(G19/('数据-汇总表'!D3/666.67),0)</f>
        <v>860</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47" t="s">
        <v>330</v>
      </c>
      <c r="B24" s="267" t="s">
        <v>322</v>
      </c>
      <c r="C24" s="286">
        <f>IF(B30=0,0,D30)</f>
        <v>361</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48"/>
      <c r="B25" s="1318" t="s">
        <v>3422</v>
      </c>
      <c r="C25" s="288">
        <f>IF(B30=0,0,C30)</f>
        <v>50</v>
      </c>
      <c r="D25" s="289"/>
      <c r="E25" s="309"/>
      <c r="F25" s="309"/>
      <c r="G25" s="309"/>
      <c r="H25" s="309"/>
      <c r="I25" s="309"/>
      <c r="J25" s="2025"/>
      <c r="K25" s="1252" t="str">
        <f ca="1">项目基本情况!B16&amp;"国有建设用地使用权价格："&amp;O38&amp;"万元"</f>
        <v>出让国有建设用地使用权价格：92899万元</v>
      </c>
      <c r="L25" s="1253"/>
      <c r="M25" s="1253"/>
      <c r="N25" s="1253"/>
      <c r="O25" s="1254"/>
      <c r="P25" s="2025"/>
      <c r="Q25" s="2025"/>
      <c r="R25" s="2025"/>
      <c r="S25" s="2025"/>
      <c r="T25" s="2025"/>
      <c r="U25" s="2025"/>
      <c r="V25" s="2025"/>
    </row>
    <row r="26" spans="1:26" s="1251" customFormat="1" ht="18">
      <c r="A26" s="291" t="s">
        <v>331</v>
      </c>
      <c r="B26" s="292" t="s">
        <v>332</v>
      </c>
      <c r="C26" s="292" t="s">
        <v>333</v>
      </c>
      <c r="D26" s="293" t="s">
        <v>334</v>
      </c>
      <c r="E26" s="309"/>
      <c r="F26" s="309"/>
      <c r="G26" s="309"/>
      <c r="H26" s="309"/>
      <c r="I26" s="309"/>
      <c r="J26" s="2025"/>
      <c r="K26" s="1255" t="str">
        <f ca="1">"大写金额：人民币"&amp;NUMBERSTRING(INT(O38*10000),2)&amp;"元整"</f>
        <v>大写金额：人民币玖亿贰仟捌佰玖拾玖万元整</v>
      </c>
      <c r="L26" s="1249"/>
      <c r="M26" s="1249"/>
      <c r="N26" s="1249"/>
      <c r="O26" s="1248"/>
      <c r="P26" s="2025"/>
      <c r="Q26" s="2025"/>
      <c r="R26" s="2025"/>
      <c r="S26" s="2025"/>
      <c r="T26" s="2025"/>
      <c r="U26" s="2025"/>
      <c r="V26" s="2025"/>
      <c r="W26" s="290"/>
      <c r="X26" s="290"/>
      <c r="Y26" s="290"/>
      <c r="Z26" s="290"/>
    </row>
    <row r="27" spans="1:26" ht="18">
      <c r="A27" s="3213"/>
      <c r="B27" s="292"/>
      <c r="C27" s="292"/>
      <c r="D27" s="293"/>
      <c r="E27" s="309"/>
      <c r="F27" s="309"/>
      <c r="G27" s="309"/>
      <c r="H27" s="309"/>
      <c r="I27" s="309"/>
      <c r="J27" s="2025"/>
      <c r="K27" s="1255" t="str">
        <f ca="1">"单位面积地价："&amp;M38&amp;"元/平方米"</f>
        <v>单位面积地价：12849元/平方米</v>
      </c>
      <c r="L27" s="1249"/>
      <c r="M27" s="1249"/>
      <c r="N27" s="1249"/>
      <c r="O27" s="1248"/>
      <c r="P27" s="2025"/>
      <c r="Q27" s="2025"/>
      <c r="R27" s="2025"/>
      <c r="S27" s="2025"/>
      <c r="T27" s="2025"/>
      <c r="U27" s="2025"/>
      <c r="V27" s="2025"/>
    </row>
    <row r="28" spans="1:26" ht="18.75" customHeight="1">
      <c r="A28" s="291"/>
      <c r="B28" s="292"/>
      <c r="C28" s="292"/>
      <c r="D28" s="293"/>
      <c r="E28" s="309"/>
      <c r="F28" s="309"/>
      <c r="G28" s="309"/>
      <c r="H28" s="309"/>
      <c r="I28" s="309"/>
      <c r="J28" s="2025"/>
      <c r="K28" s="1255" t="str">
        <f ca="1">"楼面地价："&amp;N38&amp;"元/平方米"</f>
        <v>楼面地价：2894元/平方米</v>
      </c>
      <c r="L28" s="1249"/>
      <c r="M28" s="1249"/>
      <c r="N28" s="1249"/>
      <c r="O28" s="1248"/>
      <c r="P28" s="2025"/>
      <c r="V28" s="2025"/>
    </row>
    <row r="29" spans="1:26" ht="18">
      <c r="A29" s="291"/>
      <c r="B29" s="292"/>
      <c r="C29" s="292"/>
      <c r="D29" s="293"/>
      <c r="E29" s="309"/>
      <c r="F29" s="309"/>
      <c r="G29" s="309"/>
      <c r="H29" s="309"/>
      <c r="I29" s="309"/>
      <c r="J29" s="2025"/>
      <c r="K29" s="1255" t="str">
        <f ca="1">IF(OR(项目基本情况!E8="抵押价格",项目基本情况!E8="已注销及未注销"),"抵押价格："&amp;O39&amp;"万元","——")</f>
        <v>抵押价格：92899万元</v>
      </c>
      <c r="L29" s="1249"/>
      <c r="M29" s="1249"/>
      <c r="N29" s="1249"/>
      <c r="O29" s="1248"/>
      <c r="P29" s="2025"/>
      <c r="V29" s="2025"/>
    </row>
    <row r="30" spans="1:26" ht="18.75" thickBot="1">
      <c r="A30" s="3161" t="s">
        <v>335</v>
      </c>
      <c r="B30" s="292">
        <f>'数据-汇总表'!D3</f>
        <v>72299.64</v>
      </c>
      <c r="C30" s="292">
        <v>50</v>
      </c>
      <c r="D30" s="293">
        <f>ROUND(B30*C30/10000,0)</f>
        <v>361</v>
      </c>
      <c r="E30" s="3162" t="s">
        <v>2974</v>
      </c>
      <c r="F30" s="309"/>
      <c r="G30" s="309"/>
      <c r="H30" s="309"/>
      <c r="I30" s="309"/>
      <c r="J30" s="2025"/>
      <c r="K30" s="1255" t="str">
        <f ca="1">IF(K29="——","——","大写金额：人民币"&amp;NUMBERSTRING(INT(O39*10000),2)&amp;"元整")</f>
        <v>大写金额：人民币玖亿贰仟捌佰玖拾玖万元整</v>
      </c>
      <c r="L30" s="1249"/>
      <c r="M30" s="1249"/>
      <c r="N30" s="1249"/>
      <c r="O30" s="1248"/>
      <c r="P30" s="2025"/>
      <c r="V30" s="2025"/>
    </row>
    <row r="31" spans="1:26" ht="24" customHeight="1" thickBot="1">
      <c r="A31" s="309"/>
      <c r="B31" s="309"/>
      <c r="C31" s="309"/>
      <c r="D31" s="309"/>
      <c r="E31" s="309"/>
      <c r="F31" s="309"/>
      <c r="G31" s="309"/>
      <c r="H31" s="309"/>
      <c r="I31" s="309"/>
      <c r="J31" s="2025"/>
      <c r="K31" s="2488" t="str">
        <f>IF(项目基本情况!E8="抵押价格","——","抵押担保权已注销时的抵押价格："&amp;O40&amp;"万元")</f>
        <v>——</v>
      </c>
      <c r="L31" s="2484"/>
      <c r="M31" s="2484"/>
      <c r="N31" s="2484"/>
      <c r="O31" s="2485"/>
      <c r="P31" s="2025"/>
      <c r="V31" s="2025"/>
    </row>
    <row r="32" spans="1:26" ht="18.75" thickBot="1">
      <c r="A32" s="266" t="s">
        <v>336</v>
      </c>
      <c r="B32" s="1378" t="s">
        <v>1684</v>
      </c>
      <c r="C32" s="1379">
        <f ca="1">G19-C24</f>
        <v>92899</v>
      </c>
      <c r="D32" s="1380" t="s">
        <v>1685</v>
      </c>
      <c r="E32" s="309"/>
      <c r="F32" s="309"/>
      <c r="G32" s="309"/>
      <c r="H32" s="309"/>
      <c r="I32" s="309"/>
      <c r="J32" s="2025"/>
      <c r="K32" s="2483" t="str">
        <f>IF(K31="——","——","大写金额：人民币"&amp;NUMBERSTRING(INT(O40*10000),2)&amp;"元整")</f>
        <v>——</v>
      </c>
      <c r="L32" s="2486"/>
      <c r="M32" s="2486"/>
      <c r="N32" s="2486"/>
      <c r="O32" s="2487"/>
      <c r="P32" s="2025"/>
      <c r="V32" s="2025"/>
    </row>
    <row r="33" spans="1:26" ht="18.75" thickBot="1">
      <c r="A33" s="296" t="s">
        <v>339</v>
      </c>
      <c r="B33" s="1381" t="s">
        <v>1686</v>
      </c>
      <c r="C33" s="262">
        <f ca="1">ROUND(C32*10000/'数据-汇总表'!E3,0)</f>
        <v>2894</v>
      </c>
      <c r="D33" s="1382" t="s">
        <v>1687</v>
      </c>
      <c r="E33" s="3347" t="s">
        <v>337</v>
      </c>
      <c r="F33" s="294" t="s">
        <v>338</v>
      </c>
      <c r="G33" s="295"/>
      <c r="H33" s="977"/>
      <c r="I33" s="1256"/>
      <c r="J33" s="2025"/>
      <c r="K33" s="1255" t="str">
        <f ca="1">IF(项目基本情况!E9="——","——","抵押净值："&amp;C46&amp;"万元")</f>
        <v>抵押净值：50866万元</v>
      </c>
      <c r="L33" s="1249"/>
      <c r="M33" s="1249"/>
      <c r="N33" s="1249"/>
      <c r="O33" s="1248"/>
      <c r="P33" s="2025"/>
      <c r="V33" s="2025"/>
    </row>
    <row r="34" spans="1:26" s="1251" customFormat="1" ht="18.75" thickBot="1">
      <c r="A34" s="298"/>
      <c r="B34" s="1383" t="s">
        <v>1688</v>
      </c>
      <c r="C34" s="262">
        <f ca="1">ROUND(C32*10000/'数据-汇总表'!D3,0)</f>
        <v>12849</v>
      </c>
      <c r="D34" s="1384" t="s">
        <v>1687</v>
      </c>
      <c r="E34" s="3388"/>
      <c r="F34" s="125" t="s">
        <v>340</v>
      </c>
      <c r="G34" s="297"/>
      <c r="H34" s="104"/>
      <c r="I34" s="309"/>
      <c r="J34" s="2025"/>
      <c r="K34" s="1258" t="str">
        <f ca="1">IF(K33="——","——","大写金额：人民币"&amp;NUMBERSTRING(INT(O41*10000),2)&amp;"元整")</f>
        <v>大写金额：人民币伍亿零捌佰陆拾陆万元整</v>
      </c>
      <c r="L34" s="1259"/>
      <c r="M34" s="1259"/>
      <c r="N34" s="1259"/>
      <c r="O34" s="1260"/>
      <c r="P34" s="2025"/>
      <c r="Q34" s="290"/>
      <c r="R34" s="290"/>
      <c r="S34" s="290"/>
      <c r="T34" s="290"/>
      <c r="U34" s="290"/>
      <c r="V34" s="2025"/>
      <c r="W34" s="290"/>
      <c r="X34" s="290"/>
      <c r="Y34" s="290"/>
      <c r="Z34" s="290"/>
    </row>
    <row r="35" spans="1:26" ht="15.75" thickBot="1">
      <c r="A35" s="282"/>
      <c r="B35" s="1385"/>
      <c r="C35" s="1386">
        <f ca="1">ROUND(C32/('数据-汇总表'!D3/666.67),0)</f>
        <v>857</v>
      </c>
      <c r="D35" s="1387" t="s">
        <v>1689</v>
      </c>
      <c r="E35" s="3389"/>
      <c r="F35" s="299" t="s">
        <v>341</v>
      </c>
      <c r="G35" s="979"/>
      <c r="H35" s="978" t="s">
        <v>342</v>
      </c>
      <c r="I35" s="309"/>
      <c r="J35" s="2025"/>
      <c r="K35" s="3362" t="s">
        <v>349</v>
      </c>
      <c r="L35" s="3362" t="s">
        <v>350</v>
      </c>
      <c r="M35" s="1261" t="s">
        <v>351</v>
      </c>
      <c r="N35" s="3362" t="s">
        <v>352</v>
      </c>
      <c r="O35" s="3362" t="s">
        <v>353</v>
      </c>
      <c r="P35" s="2025"/>
      <c r="V35" s="2025"/>
    </row>
    <row r="36" spans="1:26" ht="16.5" customHeight="1">
      <c r="A36" s="301" t="s">
        <v>343</v>
      </c>
      <c r="B36" s="302" t="s">
        <v>332</v>
      </c>
      <c r="C36" s="303" t="s">
        <v>344</v>
      </c>
      <c r="D36" s="303" t="s">
        <v>345</v>
      </c>
      <c r="E36" s="304" t="s">
        <v>346</v>
      </c>
      <c r="F36" s="309"/>
      <c r="G36" s="309"/>
      <c r="H36" s="309"/>
      <c r="I36" s="309"/>
      <c r="J36" s="2027"/>
      <c r="K36" s="3363"/>
      <c r="L36" s="3363"/>
      <c r="M36" s="1263" t="s">
        <v>354</v>
      </c>
      <c r="N36" s="3363"/>
      <c r="O36" s="3363"/>
      <c r="P36" s="2025"/>
      <c r="V36" s="2025"/>
    </row>
    <row r="37" spans="1:26" ht="16.5" customHeight="1" thickBot="1">
      <c r="A37" s="1257" t="s">
        <v>347</v>
      </c>
      <c r="B37" s="305"/>
      <c r="C37" s="292"/>
      <c r="D37" s="292"/>
      <c r="E37" s="293"/>
      <c r="F37" s="309"/>
      <c r="G37" s="309"/>
      <c r="H37" s="309"/>
      <c r="I37" s="309"/>
      <c r="J37" s="2027"/>
      <c r="K37" s="3364"/>
      <c r="L37" s="3364"/>
      <c r="M37" s="1264"/>
      <c r="N37" s="3364"/>
      <c r="O37" s="3364"/>
      <c r="P37" s="2025"/>
      <c r="V37" s="2025"/>
    </row>
    <row r="38" spans="1:26" ht="16.5" customHeight="1" thickBot="1">
      <c r="A38" s="1257" t="s">
        <v>348</v>
      </c>
      <c r="B38" s="305"/>
      <c r="C38" s="292"/>
      <c r="D38" s="292"/>
      <c r="E38" s="293"/>
      <c r="F38" s="309"/>
      <c r="G38" s="309"/>
      <c r="H38" s="309"/>
      <c r="I38" s="309"/>
      <c r="J38" s="2027"/>
      <c r="K38" s="1265">
        <f>'数据-汇总表'!D3</f>
        <v>72299.64</v>
      </c>
      <c r="L38" s="1266">
        <f>'数据-汇总表'!E3</f>
        <v>320965.16000000003</v>
      </c>
      <c r="M38" s="1266">
        <f ca="1">C34</f>
        <v>12849</v>
      </c>
      <c r="N38" s="1266">
        <f ca="1">C33</f>
        <v>2894</v>
      </c>
      <c r="O38" s="1267">
        <f ca="1">C32</f>
        <v>92899</v>
      </c>
      <c r="P38" s="2025"/>
      <c r="V38" s="2025"/>
    </row>
    <row r="39" spans="1:26" ht="16.5" customHeight="1" thickBot="1">
      <c r="A39" s="1262"/>
      <c r="B39" s="306"/>
      <c r="C39" s="307"/>
      <c r="D39" s="307"/>
      <c r="E39" s="308"/>
      <c r="F39" s="309"/>
      <c r="G39" s="309"/>
      <c r="H39" s="309"/>
      <c r="I39" s="309"/>
      <c r="J39" s="2027"/>
      <c r="K39" s="3407" t="str">
        <f>MID(A44,3,LEN(A44)-2)</f>
        <v>抵押价格</v>
      </c>
      <c r="L39" s="3408"/>
      <c r="M39" s="3408"/>
      <c r="N39" s="3409"/>
      <c r="O39" s="1389">
        <f ca="1">C44</f>
        <v>92899</v>
      </c>
      <c r="P39" s="2025"/>
      <c r="V39" s="2025"/>
    </row>
    <row r="40" spans="1:26" ht="19.5" thickBot="1">
      <c r="A40" s="103" t="s">
        <v>868</v>
      </c>
      <c r="B40" s="309"/>
      <c r="C40" s="309"/>
      <c r="D40" s="309"/>
      <c r="E40" s="309"/>
      <c r="F40" s="309"/>
      <c r="G40" s="309"/>
      <c r="H40" s="309"/>
      <c r="I40" s="309"/>
      <c r="J40" s="2027"/>
      <c r="K40" s="3407" t="str">
        <f t="shared" ref="K40:K41" si="0">MID(A45,3,LEN(A45)-2)</f>
        <v/>
      </c>
      <c r="L40" s="3408"/>
      <c r="M40" s="3408"/>
      <c r="N40" s="3409"/>
      <c r="O40" s="1389" t="str">
        <f>C45</f>
        <v>——</v>
      </c>
      <c r="P40" s="2025"/>
      <c r="V40" s="2025"/>
    </row>
    <row r="41" spans="1:26" ht="16.5" thickBot="1">
      <c r="A41" s="310" t="s">
        <v>355</v>
      </c>
      <c r="B41" s="311"/>
      <c r="C41" s="312" t="s">
        <v>356</v>
      </c>
      <c r="D41" s="313" t="s">
        <v>357</v>
      </c>
      <c r="E41" s="313" t="s">
        <v>358</v>
      </c>
      <c r="F41" s="314" t="s">
        <v>359</v>
      </c>
      <c r="G41" s="309"/>
      <c r="H41" s="309"/>
      <c r="I41" s="309"/>
      <c r="J41" s="2027"/>
      <c r="K41" s="3407" t="str">
        <f t="shared" si="0"/>
        <v>抵押净值</v>
      </c>
      <c r="L41" s="3408"/>
      <c r="M41" s="3408"/>
      <c r="N41" s="3409"/>
      <c r="O41" s="1389">
        <f ca="1">C46</f>
        <v>50866</v>
      </c>
      <c r="P41" s="2025"/>
      <c r="V41" s="2025"/>
    </row>
    <row r="42" spans="1:26" ht="29.25">
      <c r="A42" s="3349" t="s">
        <v>2065</v>
      </c>
      <c r="B42" s="3350"/>
      <c r="C42" s="262">
        <f ca="1">C32</f>
        <v>92899</v>
      </c>
      <c r="D42" s="315">
        <f ca="1">C33</f>
        <v>2894</v>
      </c>
      <c r="E42" s="315">
        <f ca="1">C34</f>
        <v>12849</v>
      </c>
      <c r="F42" s="316">
        <f ca="1">C35</f>
        <v>857</v>
      </c>
      <c r="G42" s="309"/>
      <c r="H42" s="309"/>
      <c r="I42" s="317"/>
      <c r="J42" s="2027"/>
      <c r="K42" s="1268" t="s">
        <v>360</v>
      </c>
      <c r="L42" s="2044" t="s">
        <v>361</v>
      </c>
      <c r="M42" s="1269" t="s">
        <v>362</v>
      </c>
      <c r="N42" s="2045" t="s">
        <v>363</v>
      </c>
      <c r="O42" s="2046" t="s">
        <v>364</v>
      </c>
      <c r="P42" s="2025"/>
      <c r="Q42" s="255">
        <f ca="1">O39+[2]结果表!$O$39</f>
        <v>140509</v>
      </c>
      <c r="V42" s="2025"/>
    </row>
    <row r="43" spans="1:26" ht="30">
      <c r="A43" s="3360" t="s">
        <v>2731</v>
      </c>
      <c r="B43" s="3361"/>
      <c r="C43" s="262">
        <f>IF(H33="正常操作",G33+G34+G35,G34+G35)</f>
        <v>0</v>
      </c>
      <c r="D43" s="315" t="s">
        <v>43</v>
      </c>
      <c r="E43" s="315" t="s">
        <v>44</v>
      </c>
      <c r="F43" s="316" t="s">
        <v>44</v>
      </c>
      <c r="G43" s="2888" t="s">
        <v>2034</v>
      </c>
      <c r="H43" s="309"/>
      <c r="I43" s="317"/>
      <c r="J43" s="2027"/>
      <c r="K43" s="1270" t="str">
        <f>C4</f>
        <v>比较法-住宅、综合</v>
      </c>
      <c r="L43" s="1271">
        <f ca="1">IF(L42="估价结果/万元",C19,C20)</f>
        <v>93298</v>
      </c>
      <c r="M43" s="1272">
        <f>C18</f>
        <v>0.5</v>
      </c>
      <c r="N43" s="1273">
        <f ca="1">IF(N42="测算结果/万元",G19,G20)</f>
        <v>93260</v>
      </c>
      <c r="O43" s="1274">
        <f ca="1">IF(O42="最终结果/万元",C32,C33)</f>
        <v>92899</v>
      </c>
      <c r="P43" s="2025"/>
      <c r="V43" s="2025"/>
    </row>
    <row r="44" spans="1:26" ht="30.75" thickBot="1">
      <c r="A44" s="3349" t="str">
        <f>IF(OR(项目基本情况!E8="抵押价格",项目基本情况!E8="已注销及未注销"),"3.抵押价格","——")</f>
        <v>3.抵押价格</v>
      </c>
      <c r="B44" s="3350"/>
      <c r="C44" s="262">
        <f ca="1">IF(A44="——","——",C42-C43)</f>
        <v>92899</v>
      </c>
      <c r="D44" s="315">
        <f ca="1">ROUND(C44*10000/'数据-汇总表'!E3,0)</f>
        <v>2894</v>
      </c>
      <c r="E44" s="315">
        <f ca="1">ROUND(C44*10000/'数据-汇总表'!D3,0)</f>
        <v>12849</v>
      </c>
      <c r="F44" s="316">
        <f ca="1">ROUND(C44/('数据-汇总表'!D3/666.67),0)</f>
        <v>857</v>
      </c>
      <c r="G44" s="309"/>
      <c r="H44" s="309"/>
      <c r="I44" s="317"/>
      <c r="J44" s="2027"/>
      <c r="K44" s="1275" t="str">
        <f>D4</f>
        <v>剩余法-待开发</v>
      </c>
      <c r="L44" s="1276">
        <f ca="1">IF(L42="估价结果/万元",D19,D20)</f>
        <v>93222</v>
      </c>
      <c r="M44" s="1277">
        <f>D18</f>
        <v>0.5</v>
      </c>
      <c r="N44" s="1278"/>
      <c r="O44" s="1279"/>
      <c r="P44" s="2025"/>
      <c r="V44" s="2025"/>
    </row>
    <row r="45" spans="1:26" ht="15">
      <c r="A45" s="3355" t="str">
        <f>IF(项目基本情况!E8="已注销及未注销","4.抵押担保权已注销时的抵押价格",IF(项目基本情况!E8="已注销","3.抵押担保权已注销时的抵押价格","——"))</f>
        <v>——</v>
      </c>
      <c r="B45" s="3356"/>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51" t="str">
        <f>IF(项目基本情况!E9="抵押净值",IF(A45="——","4.抵押净值","5.抵押净值"),"——")</f>
        <v>4.抵押净值</v>
      </c>
      <c r="B46" s="3352"/>
      <c r="C46" s="318">
        <f ca="1">IF(A46="——","——",O79)</f>
        <v>50866</v>
      </c>
      <c r="D46" s="315">
        <f ca="1">ROUND(C46*10000/'数据-汇总表'!E3,0)</f>
        <v>1585</v>
      </c>
      <c r="E46" s="315">
        <f ca="1">ROUND(C46*10000/'数据-汇总表'!D3,0)</f>
        <v>7035</v>
      </c>
      <c r="F46" s="316">
        <f ca="1">ROUND(C46/('数据-汇总表'!D3/666.67),0)</f>
        <v>469</v>
      </c>
      <c r="G46" s="309"/>
      <c r="H46" s="309"/>
      <c r="I46" s="317"/>
      <c r="J46" s="2027"/>
      <c r="K46" s="2025"/>
      <c r="L46" s="2025"/>
      <c r="M46" s="2025"/>
      <c r="N46" s="2025"/>
      <c r="O46" s="2025"/>
      <c r="P46" s="2025"/>
      <c r="Q46" s="2025"/>
      <c r="R46" s="2025"/>
      <c r="S46" s="2025"/>
      <c r="T46" s="2025"/>
      <c r="U46" s="2025"/>
      <c r="V46" s="2025"/>
    </row>
    <row r="47" spans="1:26" ht="15.75">
      <c r="A47" s="319" t="s">
        <v>365</v>
      </c>
      <c r="B47" s="1280"/>
      <c r="C47" s="320" t="s">
        <v>366</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本次评估设定估价对象不存在估价师知悉的法定优先受偿款</v>
      </c>
      <c r="L47" s="2025"/>
      <c r="M47" s="2025"/>
      <c r="N47" s="2025"/>
      <c r="O47" s="2025"/>
      <c r="P47" s="2025"/>
      <c r="Q47" s="2025"/>
      <c r="R47" s="2025"/>
      <c r="S47" s="2025"/>
      <c r="T47" s="2025"/>
      <c r="U47" s="2025"/>
      <c r="V47" s="2025"/>
    </row>
    <row r="48" spans="1:26" ht="48.75">
      <c r="A48" s="325">
        <v>1</v>
      </c>
      <c r="B48" s="326" t="s">
        <v>3510</v>
      </c>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367</v>
      </c>
      <c r="G53" s="335"/>
      <c r="H53" s="335"/>
      <c r="I53" s="336" t="s">
        <v>368</v>
      </c>
      <c r="J53" s="2028"/>
      <c r="K53" s="2025"/>
      <c r="L53" s="2025"/>
      <c r="M53" s="2025"/>
      <c r="N53" s="2025"/>
      <c r="O53" s="2025"/>
      <c r="P53" s="2025"/>
      <c r="Q53" s="2025"/>
      <c r="R53" s="2025"/>
      <c r="S53" s="2025"/>
      <c r="T53" s="2025"/>
      <c r="U53" s="2025"/>
      <c r="V53" s="2025"/>
    </row>
    <row r="54" spans="1:22" ht="12.75">
      <c r="A54" s="255"/>
      <c r="B54" s="337" t="s">
        <v>369</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370</v>
      </c>
      <c r="J56" s="2028"/>
      <c r="K56" s="2025"/>
      <c r="L56" s="2025"/>
      <c r="M56" s="2025"/>
      <c r="N56" s="2025"/>
      <c r="O56" s="2025"/>
      <c r="P56" s="2025"/>
      <c r="Q56" s="2025"/>
      <c r="R56" s="2025"/>
      <c r="S56" s="2025"/>
      <c r="T56" s="2025"/>
      <c r="U56" s="2025"/>
      <c r="V56" s="2025"/>
    </row>
    <row r="57" spans="1:22" ht="12.75">
      <c r="A57" s="255"/>
      <c r="B57" s="337" t="s">
        <v>371</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370</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96" t="s">
        <v>373</v>
      </c>
      <c r="B63" s="3397"/>
      <c r="C63" s="3398"/>
      <c r="D63" s="339">
        <f ca="1">ROUND(C42*F63,0)</f>
        <v>92899</v>
      </c>
      <c r="E63" s="300" t="s">
        <v>374</v>
      </c>
      <c r="F63" s="340">
        <v>1</v>
      </c>
      <c r="G63" s="341" t="s">
        <v>375</v>
      </c>
      <c r="H63" s="309"/>
      <c r="I63" s="309"/>
      <c r="J63" s="2025"/>
      <c r="K63" s="2025"/>
      <c r="L63" s="2025"/>
      <c r="M63" s="2025"/>
      <c r="N63" s="2025"/>
      <c r="O63" s="2025"/>
      <c r="P63" s="309"/>
      <c r="Q63" s="2025"/>
      <c r="R63" s="2025"/>
      <c r="S63" s="2025"/>
      <c r="T63" s="2025"/>
      <c r="U63" s="2025"/>
      <c r="V63" s="2025"/>
    </row>
    <row r="64" spans="1:22" ht="14.25" customHeight="1">
      <c r="A64" s="3357" t="s">
        <v>377</v>
      </c>
      <c r="B64" s="3358"/>
      <c r="C64" s="3358"/>
      <c r="D64" s="3358"/>
      <c r="E64" s="3358"/>
      <c r="F64" s="3358"/>
      <c r="G64" s="3359"/>
      <c r="H64" s="1285"/>
      <c r="I64" s="945"/>
      <c r="J64" s="1987"/>
      <c r="K64" s="1558" t="s">
        <v>376</v>
      </c>
      <c r="L64" s="11"/>
      <c r="M64" s="11"/>
      <c r="N64" s="11"/>
      <c r="O64" s="11"/>
      <c r="P64" s="309"/>
      <c r="Q64" s="2025"/>
      <c r="R64" s="2025"/>
      <c r="S64" s="2025"/>
      <c r="T64" s="2025"/>
      <c r="U64" s="2025"/>
      <c r="V64" s="2025"/>
    </row>
    <row r="65" spans="1:22" ht="12" customHeight="1">
      <c r="A65" s="342" t="s">
        <v>379</v>
      </c>
      <c r="B65" s="343"/>
      <c r="C65" s="344"/>
      <c r="D65" s="345" t="s">
        <v>380</v>
      </c>
      <c r="E65" s="52" t="s">
        <v>381</v>
      </c>
      <c r="F65" s="346" t="s">
        <v>382</v>
      </c>
      <c r="G65" s="347" t="s">
        <v>383</v>
      </c>
      <c r="H65" s="1285"/>
      <c r="I65" s="945"/>
      <c r="J65" s="1987"/>
      <c r="K65" s="1286"/>
      <c r="L65" s="1287"/>
      <c r="M65" s="1287"/>
      <c r="N65" s="1319" t="s">
        <v>378</v>
      </c>
      <c r="O65" s="1320"/>
      <c r="P65" s="1321"/>
      <c r="Q65" s="2025"/>
      <c r="R65" s="2025"/>
      <c r="S65" s="2025"/>
      <c r="T65" s="2025"/>
      <c r="U65" s="2025"/>
      <c r="V65" s="2025"/>
    </row>
    <row r="66" spans="1:22" ht="25.5">
      <c r="A66" s="3353" t="s">
        <v>385</v>
      </c>
      <c r="B66" s="3354"/>
      <c r="C66" s="3354"/>
      <c r="D66" s="259">
        <f ca="1">IF(H66="情况1",0,IF(H66="情况2",D70,IF(H66="情况3",D71,IF(H66="情况4",D72))))</f>
        <v>4955</v>
      </c>
      <c r="E66" s="990" t="str">
        <f>IF(H66="情况4","(销售额-原购置价)×税（费）率","销售额×税（费）率")</f>
        <v>销售额×税（费）率</v>
      </c>
      <c r="F66" s="348">
        <f>IF(H66="情况1","免征",'数据-取费表'!B41)</f>
        <v>5.6000000000000001E-2</v>
      </c>
      <c r="G66" s="349" t="s">
        <v>386</v>
      </c>
      <c r="H66" s="189" t="s">
        <v>387</v>
      </c>
      <c r="I66" s="1285"/>
      <c r="J66" s="2031"/>
      <c r="K66" s="1288">
        <v>1</v>
      </c>
      <c r="L66" s="3411" t="s">
        <v>384</v>
      </c>
      <c r="M66" s="3412"/>
      <c r="N66" s="2478"/>
      <c r="O66" s="2479"/>
      <c r="P66" s="2480"/>
      <c r="Q66" s="2025"/>
      <c r="R66" s="2025"/>
      <c r="S66" s="2025"/>
      <c r="T66" s="2025"/>
      <c r="U66" s="2025"/>
      <c r="V66" s="2025"/>
    </row>
    <row r="67" spans="1:22" ht="25.5" customHeight="1">
      <c r="A67" s="350" t="s">
        <v>389</v>
      </c>
      <c r="B67" s="3344" t="s">
        <v>390</v>
      </c>
      <c r="C67" s="3344"/>
      <c r="D67" s="351">
        <v>0</v>
      </c>
      <c r="E67" s="40" t="s">
        <v>391</v>
      </c>
      <c r="F67" s="61" t="s">
        <v>21</v>
      </c>
      <c r="G67" s="3399"/>
      <c r="H67" s="309"/>
      <c r="I67" s="1289"/>
      <c r="J67" s="2032"/>
      <c r="K67" s="1973">
        <v>2</v>
      </c>
      <c r="L67" s="3410" t="s">
        <v>388</v>
      </c>
      <c r="M67" s="3410"/>
      <c r="N67" s="1322">
        <f>'数据-取费表'!B2</f>
        <v>43109</v>
      </c>
      <c r="O67" s="1322"/>
      <c r="P67" s="1322"/>
      <c r="Q67" s="2025"/>
      <c r="R67" s="2025"/>
      <c r="S67" s="2025"/>
      <c r="T67" s="2025"/>
      <c r="U67" s="2025"/>
      <c r="V67" s="2025"/>
    </row>
    <row r="68" spans="1:22" ht="25.5" customHeight="1">
      <c r="A68" s="352"/>
      <c r="B68" s="3344" t="s">
        <v>393</v>
      </c>
      <c r="C68" s="3344"/>
      <c r="D68" s="353"/>
      <c r="E68" s="76"/>
      <c r="F68" s="354"/>
      <c r="G68" s="3400"/>
      <c r="H68" s="309"/>
      <c r="I68" s="1289"/>
      <c r="J68" s="2032"/>
      <c r="K68" s="1973">
        <v>3</v>
      </c>
      <c r="L68" s="3410" t="s">
        <v>392</v>
      </c>
      <c r="M68" s="3410"/>
      <c r="N68" s="1290">
        <f ca="1">C42</f>
        <v>92899</v>
      </c>
      <c r="O68" s="1290"/>
      <c r="P68" s="1290"/>
      <c r="Q68" s="2025"/>
      <c r="R68" s="2025"/>
      <c r="S68" s="2025"/>
      <c r="T68" s="2025"/>
      <c r="U68" s="2025"/>
      <c r="V68" s="2025"/>
    </row>
    <row r="69" spans="1:22" ht="12" customHeight="1">
      <c r="A69" s="355"/>
      <c r="B69" s="3344" t="s">
        <v>394</v>
      </c>
      <c r="C69" s="3344"/>
      <c r="D69" s="356"/>
      <c r="E69" s="72"/>
      <c r="F69" s="354"/>
      <c r="G69" s="3401"/>
      <c r="H69" s="309"/>
      <c r="I69" s="1289"/>
      <c r="J69" s="2032"/>
      <c r="K69" s="1291">
        <v>4</v>
      </c>
      <c r="L69" s="3415" t="s">
        <v>2884</v>
      </c>
      <c r="M69" s="3416"/>
      <c r="N69" s="1292">
        <f ca="1">C44</f>
        <v>92899</v>
      </c>
      <c r="O69" s="1292"/>
      <c r="P69" s="1292"/>
      <c r="Q69" s="2025"/>
      <c r="R69" s="2025"/>
      <c r="S69" s="2025"/>
      <c r="T69" s="2025"/>
      <c r="U69" s="2025"/>
      <c r="V69" s="2025"/>
    </row>
    <row r="70" spans="1:22" ht="24" customHeight="1">
      <c r="A70" s="357" t="s">
        <v>395</v>
      </c>
      <c r="B70" s="3344" t="s">
        <v>396</v>
      </c>
      <c r="C70" s="3344"/>
      <c r="D70" s="356">
        <f ca="1">ROUND(D63*'数据-取费表'!B41/(1+'数据-取费表'!C42),0)</f>
        <v>4955</v>
      </c>
      <c r="E70" s="17" t="s">
        <v>397</v>
      </c>
      <c r="F70" s="358">
        <f>'数据-取费表'!B41</f>
        <v>5.6000000000000001E-2</v>
      </c>
      <c r="G70" s="359"/>
      <c r="H70" s="309"/>
      <c r="I70" s="1289"/>
      <c r="J70" s="2032"/>
      <c r="K70" s="3084"/>
      <c r="L70" s="3085"/>
      <c r="M70" s="3085"/>
      <c r="N70" s="3086" t="s">
        <v>2888</v>
      </c>
      <c r="O70" s="3085"/>
      <c r="P70" s="3087"/>
      <c r="Q70" s="2025"/>
      <c r="R70" s="2025"/>
      <c r="S70" s="2025"/>
      <c r="T70" s="2025"/>
      <c r="U70" s="2025"/>
      <c r="V70" s="2025"/>
    </row>
    <row r="71" spans="1:22" ht="12" customHeight="1">
      <c r="A71" s="357" t="s">
        <v>403</v>
      </c>
      <c r="B71" s="3345" t="s">
        <v>404</v>
      </c>
      <c r="C71" s="3346"/>
      <c r="D71" s="356">
        <f ca="1">ROUND(D63*'数据-取费表'!B41/(1+'数据-取费表'!C42),0)</f>
        <v>4955</v>
      </c>
      <c r="E71" s="17" t="s">
        <v>397</v>
      </c>
      <c r="F71" s="358">
        <f>'数据-取费表'!B41</f>
        <v>5.6000000000000001E-2</v>
      </c>
      <c r="G71" s="359"/>
      <c r="H71" s="309"/>
      <c r="I71" s="1289"/>
      <c r="J71" s="2032"/>
      <c r="K71" s="3083" t="s">
        <v>398</v>
      </c>
      <c r="L71" s="3417" t="s">
        <v>399</v>
      </c>
      <c r="M71" s="3417"/>
      <c r="N71" s="3083" t="s">
        <v>400</v>
      </c>
      <c r="O71" s="3083" t="s">
        <v>401</v>
      </c>
      <c r="P71" s="3083" t="s">
        <v>402</v>
      </c>
      <c r="Q71" s="2025"/>
      <c r="R71" s="2025"/>
      <c r="S71" s="2025"/>
      <c r="T71" s="2025"/>
      <c r="U71" s="2025"/>
      <c r="V71" s="2025"/>
    </row>
    <row r="72" spans="1:22" ht="12" customHeight="1">
      <c r="A72" s="357" t="s">
        <v>406</v>
      </c>
      <c r="B72" s="3345" t="s">
        <v>407</v>
      </c>
      <c r="C72" s="3346"/>
      <c r="D72" s="356">
        <f ca="1">C86</f>
        <v>4955</v>
      </c>
      <c r="E72" s="72" t="s">
        <v>408</v>
      </c>
      <c r="F72" s="358">
        <f>'数据-取费表'!B41</f>
        <v>5.6000000000000001E-2</v>
      </c>
      <c r="G72" s="359"/>
      <c r="H72" s="1295"/>
      <c r="I72" s="1289"/>
      <c r="J72" s="2032"/>
      <c r="K72" s="1973">
        <v>1</v>
      </c>
      <c r="L72" s="3392" t="s">
        <v>405</v>
      </c>
      <c r="M72" s="3392"/>
      <c r="N72" s="1293">
        <f ca="1">D66</f>
        <v>4955</v>
      </c>
      <c r="O72" s="1856" t="str">
        <f>E66</f>
        <v>销售额×税（费）率</v>
      </c>
      <c r="P72" s="1294">
        <f>F66</f>
        <v>5.6000000000000001E-2</v>
      </c>
      <c r="Q72" s="2025"/>
      <c r="R72" s="2025"/>
      <c r="S72" s="2025"/>
      <c r="T72" s="2025"/>
      <c r="U72" s="2025"/>
      <c r="V72" s="2025"/>
    </row>
    <row r="73" spans="1:22" ht="24" customHeight="1">
      <c r="A73" s="3386" t="s">
        <v>410</v>
      </c>
      <c r="B73" s="3354"/>
      <c r="C73" s="3354"/>
      <c r="D73" s="360">
        <f ca="1">IF(H73="个人住宅",0,ROUND(D63*I73,0))</f>
        <v>46</v>
      </c>
      <c r="E73" s="17" t="s">
        <v>411</v>
      </c>
      <c r="F73" s="358">
        <f>IF(H73="正常",I73,"免征")</f>
        <v>5.0000000000000001E-4</v>
      </c>
      <c r="G73" s="359"/>
      <c r="H73" s="189" t="s">
        <v>2979</v>
      </c>
      <c r="I73" s="358">
        <f>'数据-取费表'!B49</f>
        <v>5.0000000000000001E-4</v>
      </c>
      <c r="J73" s="2032"/>
      <c r="K73" s="1973">
        <v>2</v>
      </c>
      <c r="L73" s="3392" t="s">
        <v>409</v>
      </c>
      <c r="M73" s="3392"/>
      <c r="N73" s="1293">
        <f t="shared" ref="N73:P74" ca="1" si="1">D73</f>
        <v>46</v>
      </c>
      <c r="O73" s="1856" t="str">
        <f t="shared" si="1"/>
        <v>销售额×税（费）率</v>
      </c>
      <c r="P73" s="1294">
        <f t="shared" si="1"/>
        <v>5.0000000000000001E-4</v>
      </c>
      <c r="Q73" s="2025"/>
      <c r="R73" s="2025"/>
      <c r="S73" s="2025"/>
      <c r="T73" s="2025"/>
      <c r="U73" s="2025"/>
      <c r="V73" s="2025"/>
    </row>
    <row r="74" spans="1:22" ht="24.75">
      <c r="A74" s="3386" t="s">
        <v>413</v>
      </c>
      <c r="B74" s="3354"/>
      <c r="C74" s="3354"/>
      <c r="D74" s="360">
        <f ca="1">IF(H74="个人住宅",D75,D76)</f>
        <v>37032</v>
      </c>
      <c r="E74" s="17" t="s">
        <v>414</v>
      </c>
      <c r="F74" s="358" t="str">
        <f>IF(H74="正常",F76,"免征")</f>
        <v>——</v>
      </c>
      <c r="G74" s="980" t="s">
        <v>415</v>
      </c>
      <c r="H74" s="361" t="s">
        <v>2979</v>
      </c>
      <c r="I74" s="41"/>
      <c r="J74" s="2032"/>
      <c r="K74" s="1973">
        <v>3</v>
      </c>
      <c r="L74" s="3392" t="s">
        <v>412</v>
      </c>
      <c r="M74" s="3392"/>
      <c r="N74" s="1293">
        <f t="shared" ca="1" si="1"/>
        <v>37032</v>
      </c>
      <c r="O74" s="1856" t="str">
        <f t="shared" si="1"/>
        <v>增值额×税（费）率</v>
      </c>
      <c r="P74" s="1296" t="str">
        <f t="shared" si="1"/>
        <v>——</v>
      </c>
      <c r="Q74" s="2025"/>
      <c r="R74" s="2025"/>
      <c r="S74" s="2025"/>
      <c r="T74" s="2025"/>
      <c r="U74" s="2025"/>
      <c r="V74" s="2025"/>
    </row>
    <row r="75" spans="1:22" ht="12.75">
      <c r="A75" s="357" t="s">
        <v>416</v>
      </c>
      <c r="B75" s="3342" t="s">
        <v>417</v>
      </c>
      <c r="C75" s="3372"/>
      <c r="D75" s="362">
        <v>0</v>
      </c>
      <c r="E75" s="40" t="s">
        <v>418</v>
      </c>
      <c r="F75" s="363"/>
      <c r="G75" s="359"/>
      <c r="H75" s="41"/>
      <c r="I75" s="41"/>
      <c r="J75" s="2032"/>
      <c r="K75" s="3076" t="str">
        <f>IF(H77="非个人房产","",4)</f>
        <v/>
      </c>
      <c r="L75" s="3392" t="str">
        <f>IF(H77="非个人房产","——","个人所得税")</f>
        <v>——</v>
      </c>
      <c r="M75" s="3392"/>
      <c r="N75" s="1297" t="str">
        <f>D77</f>
        <v>——</v>
      </c>
      <c r="O75" s="1869" t="str">
        <f>E77</f>
        <v>——</v>
      </c>
      <c r="P75" s="1298" t="str">
        <f>F77</f>
        <v>——</v>
      </c>
      <c r="Q75" s="2025"/>
      <c r="R75" s="2025"/>
      <c r="S75" s="2025"/>
      <c r="T75" s="2025"/>
      <c r="U75" s="2025"/>
      <c r="V75" s="2025"/>
    </row>
    <row r="76" spans="1:22" ht="24.75">
      <c r="A76" s="357" t="s">
        <v>395</v>
      </c>
      <c r="B76" s="3342" t="s">
        <v>420</v>
      </c>
      <c r="C76" s="3343"/>
      <c r="D76" s="360">
        <f ca="1">IF(H76="转让取得",C99,C115)</f>
        <v>37032</v>
      </c>
      <c r="E76" s="17" t="s">
        <v>421</v>
      </c>
      <c r="F76" s="52" t="s">
        <v>21</v>
      </c>
      <c r="G76" s="359"/>
      <c r="H76" s="361" t="s">
        <v>3423</v>
      </c>
      <c r="I76" s="41"/>
      <c r="J76" s="2032"/>
      <c r="K76" s="3076" t="str">
        <f>IF(项目基本情况!K6="上海银行",IF(K75="",4,K75+1),"")</f>
        <v/>
      </c>
      <c r="L76" s="3403" t="str">
        <f>IF(项目基本情况!K6="上海银行","其他处置费用","")</f>
        <v/>
      </c>
      <c r="M76" s="3404"/>
      <c r="N76" s="1293" t="str">
        <f>IF(项目基本情况!K6="上海银行",N89,"")</f>
        <v/>
      </c>
      <c r="O76" s="3405" t="str">
        <f>IF(项目基本情况!K6="上海银行","包含处置中涉及的律师、诉讼、拍卖、评估等费用","")</f>
        <v/>
      </c>
      <c r="P76" s="3406"/>
      <c r="Q76" s="2025"/>
      <c r="R76" s="2025"/>
      <c r="S76" s="2025"/>
      <c r="T76" s="2025"/>
      <c r="U76" s="2025"/>
      <c r="V76" s="2025"/>
    </row>
    <row r="77" spans="1:22" ht="24.75" thickBot="1">
      <c r="A77" s="3394" t="s">
        <v>423</v>
      </c>
      <c r="B77" s="3395"/>
      <c r="C77" s="3395"/>
      <c r="D77" s="364" t="str">
        <f>IF(H77="非个人房产","——",IF(H77="个人住宅",0,ROUND(D63*I77,0)))</f>
        <v>——</v>
      </c>
      <c r="E77" s="365" t="str">
        <f>IF(H77="非个人房产","——","销售额×税（费）率")</f>
        <v>——</v>
      </c>
      <c r="F77" s="366" t="str">
        <f>IF(H77="非个人房产","——",IF(H77="个人住宅","免征",I77))</f>
        <v>——</v>
      </c>
      <c r="G77" s="981" t="s">
        <v>415</v>
      </c>
      <c r="H77" s="361" t="s">
        <v>3424</v>
      </c>
      <c r="I77" s="367">
        <v>0.01</v>
      </c>
      <c r="J77" s="2032"/>
      <c r="K77" s="3393">
        <f>IF(AND(K75="",K76=""),4,IF(项目基本情况!K6="上海银行",K76+1,K75+1))</f>
        <v>4</v>
      </c>
      <c r="L77" s="3392" t="s">
        <v>2885</v>
      </c>
      <c r="M77" s="3082" t="s">
        <v>419</v>
      </c>
      <c r="N77" s="1299"/>
      <c r="O77" s="1300">
        <f ca="1">SUMIF(N72:N76,"&lt;9e307")</f>
        <v>42033</v>
      </c>
      <c r="P77" s="1301"/>
      <c r="Q77" s="3080">
        <f ca="1">O77/N69</f>
        <v>0.45245912227257562</v>
      </c>
      <c r="R77" s="2025"/>
      <c r="S77" s="2025"/>
      <c r="T77" s="2025"/>
      <c r="U77" s="2025"/>
      <c r="V77" s="2025"/>
    </row>
    <row r="78" spans="1:22" ht="12" customHeight="1">
      <c r="A78" s="1302"/>
      <c r="B78" s="309"/>
      <c r="C78" s="309"/>
      <c r="D78" s="309"/>
      <c r="E78" s="41"/>
      <c r="F78" s="41"/>
      <c r="G78" s="41"/>
      <c r="H78" s="1000"/>
      <c r="I78" s="309"/>
      <c r="J78" s="2032"/>
      <c r="K78" s="3393"/>
      <c r="L78" s="3392"/>
      <c r="M78" s="3082" t="s">
        <v>422</v>
      </c>
      <c r="N78" s="1299"/>
      <c r="O78" s="1300" t="str">
        <f ca="1">NUMBERSTRING(INT(O77*10000),2)&amp;"元整"</f>
        <v>肆亿贰仟零叁拾叁万元整</v>
      </c>
      <c r="P78" s="1301"/>
      <c r="Q78" s="2025"/>
      <c r="R78" s="2025"/>
      <c r="S78" s="2025"/>
      <c r="T78" s="2025"/>
      <c r="U78" s="2025"/>
      <c r="V78" s="2025"/>
    </row>
    <row r="79" spans="1:22" ht="13.5" thickBot="1">
      <c r="A79" s="3387" t="s">
        <v>424</v>
      </c>
      <c r="B79" s="3387"/>
      <c r="C79" s="3387"/>
      <c r="D79" s="3387"/>
      <c r="E79" s="3387"/>
      <c r="F79" s="41"/>
      <c r="G79" s="41"/>
      <c r="H79" s="1000"/>
      <c r="I79" s="309"/>
      <c r="J79" s="2032"/>
      <c r="K79" s="3413">
        <f>K77+1</f>
        <v>5</v>
      </c>
      <c r="L79" s="3392" t="s">
        <v>2886</v>
      </c>
      <c r="M79" s="3082" t="s">
        <v>419</v>
      </c>
      <c r="N79" s="1299"/>
      <c r="O79" s="1300">
        <f ca="1">N69-O77</f>
        <v>50866</v>
      </c>
      <c r="P79" s="1301"/>
      <c r="Q79" s="2025"/>
      <c r="R79" s="2025"/>
      <c r="S79" s="2025"/>
      <c r="T79" s="2025"/>
      <c r="U79" s="2025"/>
      <c r="V79" s="2025"/>
    </row>
    <row r="80" spans="1:22" ht="25.5">
      <c r="A80" s="3382" t="s">
        <v>425</v>
      </c>
      <c r="B80" s="3383"/>
      <c r="C80" s="991"/>
      <c r="D80" s="991" t="s">
        <v>426</v>
      </c>
      <c r="E80" s="368" t="s">
        <v>427</v>
      </c>
      <c r="F80" s="41"/>
      <c r="G80" s="41"/>
      <c r="H80" s="1000"/>
      <c r="I80" s="309"/>
      <c r="J80" s="2025"/>
      <c r="K80" s="3414"/>
      <c r="L80" s="3392"/>
      <c r="M80" s="3082" t="s">
        <v>422</v>
      </c>
      <c r="N80" s="1299"/>
      <c r="O80" s="1300" t="str">
        <f ca="1">NUMBERSTRING(INT(O79*10000),2)&amp;"元整"</f>
        <v>伍亿零捌佰陆拾陆万元整</v>
      </c>
      <c r="P80" s="1301"/>
      <c r="Q80" s="2025"/>
      <c r="R80" s="2025"/>
      <c r="S80" s="2025"/>
      <c r="T80" s="2025"/>
      <c r="U80" s="2025"/>
      <c r="V80" s="2025"/>
    </row>
    <row r="81" spans="1:26" ht="13.5" thickBot="1">
      <c r="A81" s="379" t="s">
        <v>1819</v>
      </c>
      <c r="B81" s="369" t="s">
        <v>428</v>
      </c>
      <c r="C81" s="370">
        <f ca="1">ROUND((C82+C83)/(1+'数据-取费表'!C42),0)</f>
        <v>88475</v>
      </c>
      <c r="D81" s="371"/>
      <c r="E81" s="372"/>
      <c r="F81" s="41"/>
      <c r="G81" s="41"/>
      <c r="H81" s="1000"/>
      <c r="I81" s="309"/>
      <c r="J81" s="2025"/>
      <c r="K81" s="3076">
        <f>K79+1</f>
        <v>6</v>
      </c>
      <c r="L81" s="3390" t="s">
        <v>2887</v>
      </c>
      <c r="M81" s="3391"/>
      <c r="N81" s="1303"/>
      <c r="O81" s="1304">
        <f ca="1">ROUND(O79*10000/'数据-汇总表'!E3,0)</f>
        <v>1585</v>
      </c>
      <c r="P81" s="1305"/>
      <c r="Q81" s="2025"/>
      <c r="R81" s="2025"/>
      <c r="S81" s="2025"/>
      <c r="T81" s="2025"/>
      <c r="U81" s="2025"/>
      <c r="V81" s="2025"/>
    </row>
    <row r="82" spans="1:26" ht="13.5" thickTop="1">
      <c r="A82" s="373" t="s">
        <v>1820</v>
      </c>
      <c r="B82" s="374" t="s">
        <v>429</v>
      </c>
      <c r="C82" s="375">
        <f ca="1">D63</f>
        <v>92899</v>
      </c>
      <c r="D82" s="376" t="s">
        <v>19</v>
      </c>
      <c r="E82" s="377"/>
      <c r="F82" s="41"/>
      <c r="G82" s="41"/>
      <c r="H82" s="1000"/>
      <c r="I82" s="309"/>
      <c r="J82" s="2025"/>
      <c r="K82" s="2025"/>
      <c r="L82" s="2025"/>
      <c r="M82" s="2025"/>
      <c r="N82" s="2025"/>
      <c r="O82" s="2025"/>
      <c r="P82" s="2025"/>
      <c r="Q82" s="2025"/>
      <c r="R82" s="2025"/>
      <c r="S82" s="2025"/>
      <c r="T82" s="2025"/>
      <c r="U82" s="2025"/>
      <c r="V82" s="2025"/>
    </row>
    <row r="83" spans="1:26" ht="12.75">
      <c r="A83" s="373" t="s">
        <v>1821</v>
      </c>
      <c r="B83" s="374" t="s">
        <v>430</v>
      </c>
      <c r="C83" s="378"/>
      <c r="D83" s="376"/>
      <c r="E83" s="377"/>
      <c r="F83" s="41"/>
      <c r="G83" s="41"/>
      <c r="H83" s="1000"/>
      <c r="I83" s="309"/>
      <c r="J83" s="2025"/>
      <c r="K83" s="3402" t="s">
        <v>2875</v>
      </c>
      <c r="L83" s="3088" t="s">
        <v>2876</v>
      </c>
      <c r="M83" s="3078">
        <f ca="1">IF(N69&gt;10000,N69*0.5%,IF(AND(N69&gt;1000,N69&lt;=10000),N69*1%,IF(AND(N69&gt;100,N69&lt;=1000),N69*3%,IF(AND(N69&gt;10,N69&lt;=100),N69*5%,N69*8%))))</f>
        <v>464.495</v>
      </c>
      <c r="N83" s="52">
        <f ca="1">ROUND(M83,1)</f>
        <v>464.5</v>
      </c>
      <c r="O83" s="3081"/>
      <c r="P83" s="2025"/>
      <c r="Q83" s="2025"/>
      <c r="R83" s="2025"/>
      <c r="S83" s="2025"/>
      <c r="T83" s="2025"/>
      <c r="U83" s="2025"/>
      <c r="V83" s="2025"/>
    </row>
    <row r="84" spans="1:26" ht="12.75">
      <c r="A84" s="379" t="s">
        <v>1822</v>
      </c>
      <c r="B84" s="380" t="s">
        <v>431</v>
      </c>
      <c r="C84" s="381"/>
      <c r="D84" s="382" t="s">
        <v>19</v>
      </c>
      <c r="E84" s="3123" t="s">
        <v>2944</v>
      </c>
      <c r="F84" s="41"/>
      <c r="G84" s="41"/>
      <c r="H84" s="1000"/>
      <c r="I84" s="309"/>
      <c r="J84" s="2025"/>
      <c r="K84" s="3402"/>
      <c r="L84" s="3088" t="s">
        <v>2877</v>
      </c>
      <c r="M84" s="3078">
        <f ca="1">IF(N69&gt;2000,N69*0.5%,IF(AND(N69&gt;1000,N69&lt;=2000),N69*0.6%,IF(AND(N69&gt;500,N69&lt;=1000),N69*0.7%,IF(AND(N69&gt;200,N69&lt;=500),N69*0.8%,IF(AND(N69&gt;100,N69&lt;=200),N69*0.9%,IF(AND(N69&gt;50,N69&lt;=100),N69*1%,IF(AND(N69&gt;20,N69&lt;=50),N69*1.5%,IF(AND(N69&gt;10,N69&lt;=20),N69*2%,IF(AND(N69&gt;1,N69&lt;=10),N69*2.5%)))))))))</f>
        <v>464.495</v>
      </c>
      <c r="N84" s="52">
        <f t="shared" ref="N84:N85" ca="1" si="2">ROUND(M84,1)</f>
        <v>464.5</v>
      </c>
      <c r="O84" s="2025" t="s">
        <v>2878</v>
      </c>
      <c r="P84" s="2025"/>
      <c r="Q84" s="2025"/>
      <c r="R84" s="2025"/>
      <c r="S84" s="2025"/>
      <c r="T84" s="2025"/>
      <c r="U84" s="2025"/>
      <c r="V84" s="2025"/>
    </row>
    <row r="85" spans="1:26" ht="12.75">
      <c r="A85" s="379" t="s">
        <v>1823</v>
      </c>
      <c r="B85" s="380" t="s">
        <v>432</v>
      </c>
      <c r="C85" s="383">
        <f ca="1">C81-C84</f>
        <v>88475</v>
      </c>
      <c r="D85" s="376" t="s">
        <v>19</v>
      </c>
      <c r="E85" s="377"/>
      <c r="F85" s="41"/>
      <c r="G85" s="41"/>
      <c r="H85" s="1000"/>
      <c r="I85" s="309"/>
      <c r="J85" s="2025"/>
      <c r="K85" s="3402"/>
      <c r="L85" s="3088" t="s">
        <v>2879</v>
      </c>
      <c r="M85" s="3078">
        <f ca="1">IF(N69&gt;1000,N69*0.1%,IF(AND(N69&gt;500,N69&lt;=1000),N69*0.5%,IF(AND(N69&gt;50,N69&lt;=500),N69*1%,IF(AND(N69&gt;1,N69&lt;=50),N69*1.5%))))</f>
        <v>92.899000000000001</v>
      </c>
      <c r="N85" s="52">
        <f t="shared" ca="1" si="2"/>
        <v>92.9</v>
      </c>
      <c r="O85" s="2025" t="s">
        <v>2878</v>
      </c>
      <c r="P85" s="2025"/>
      <c r="Q85" s="2025"/>
      <c r="R85" s="2025"/>
      <c r="S85" s="2025"/>
      <c r="T85" s="2025"/>
      <c r="U85" s="2025"/>
      <c r="V85" s="2025"/>
    </row>
    <row r="86" spans="1:26" ht="13.5" thickBot="1">
      <c r="A86" s="384" t="s">
        <v>1824</v>
      </c>
      <c r="B86" s="385" t="s">
        <v>433</v>
      </c>
      <c r="C86" s="386">
        <f ca="1">IF(C85&lt;=0,0,ROUND(C85*D86,0))</f>
        <v>4955</v>
      </c>
      <c r="D86" s="387">
        <f>'数据-取费表'!B41</f>
        <v>5.6000000000000001E-2</v>
      </c>
      <c r="E86" s="388"/>
      <c r="F86" s="41"/>
      <c r="G86" s="41"/>
      <c r="H86" s="1000"/>
      <c r="I86" s="309"/>
      <c r="J86" s="2025"/>
      <c r="K86" s="3402"/>
      <c r="L86" s="3088" t="s">
        <v>2880</v>
      </c>
      <c r="M86" s="3078">
        <f ca="1">N69*0.5%</f>
        <v>464.495</v>
      </c>
      <c r="N86" s="52">
        <f ca="1">IF(M86&gt;0.5,0.5,ROUND(M86,0))</f>
        <v>0.5</v>
      </c>
      <c r="O86" s="2025" t="s">
        <v>2881</v>
      </c>
      <c r="P86" s="2025"/>
      <c r="Q86" s="2025"/>
      <c r="R86" s="2025"/>
      <c r="S86" s="2025"/>
      <c r="T86" s="2025"/>
      <c r="U86" s="2025"/>
      <c r="V86" s="2025"/>
    </row>
    <row r="87" spans="1:26" s="1251" customFormat="1" ht="14.25" customHeight="1">
      <c r="A87" s="1306"/>
      <c r="B87" s="1307"/>
      <c r="C87" s="1308"/>
      <c r="D87" s="1309"/>
      <c r="E87" s="1310"/>
      <c r="F87" s="41"/>
      <c r="G87" s="41"/>
      <c r="H87" s="1000"/>
      <c r="I87" s="309"/>
      <c r="J87" s="2025"/>
      <c r="K87" s="3402"/>
      <c r="L87" s="3088" t="s">
        <v>2882</v>
      </c>
      <c r="M87" s="3078">
        <f ca="1">IF(N69&gt;=10000,(8.25+(N69-10000)*0.01%),IF(AND(N69&gt;=8000,N69&lt;10000),(7.85+(N69-8000)*0.02%),IF(AND(N69&gt;=5000,N69&lt;8000),(6.65+(N69-5000)*0.04%),IF(AND(N69&gt;=2000,N69&lt;5000),(4.25+(PN69-2000)*0.08%),IF(AND(N69&gt;=1000,N69&lt;2000),(2.75+(N69-1000)*0.15%),IF(AND(N69&gt;=100,N69&lt;1000),(0.5+(N69-100)*0.25%),IF(AND(N69&gt;0,N69&lt;100),N69*0.5%)))))))</f>
        <v>16.539900000000003</v>
      </c>
      <c r="N87" s="52">
        <f ca="1">ROUND(M87*0.9,1)</f>
        <v>14.9</v>
      </c>
      <c r="O87" s="3081"/>
      <c r="P87" s="309"/>
      <c r="Q87" s="2025"/>
      <c r="R87" s="2025"/>
      <c r="S87" s="2025"/>
      <c r="T87" s="2025"/>
      <c r="U87" s="2025"/>
      <c r="V87" s="2025"/>
      <c r="W87" s="290"/>
      <c r="X87" s="290"/>
      <c r="Y87" s="290"/>
      <c r="Z87" s="290"/>
    </row>
    <row r="88" spans="1:26" s="1311" customFormat="1" ht="15" thickBot="1">
      <c r="A88" s="3384" t="s">
        <v>434</v>
      </c>
      <c r="B88" s="3385"/>
      <c r="C88" s="3385"/>
      <c r="D88" s="3385"/>
      <c r="E88" s="3385"/>
      <c r="F88" s="3385"/>
      <c r="G88" s="3385"/>
      <c r="H88" s="3385"/>
      <c r="I88" s="1312"/>
      <c r="J88" s="2033"/>
      <c r="K88" s="3402"/>
      <c r="L88" s="3088" t="s">
        <v>2883</v>
      </c>
      <c r="M88" s="3078">
        <f ca="1">IF(N69&gt;10000,N69*0.5%,IF(AND(N69&gt;5000,N69&lt;=10000),N69*1%,IF(AND(N69&gt;1000,N69&lt;=5000),N69*2%,IF(AND(N69&gt;200,N69&lt;=1000),N69*3%,N69*5%))))</f>
        <v>464.495</v>
      </c>
      <c r="N88" s="52">
        <f ca="1">ROUND(M88,1)</f>
        <v>464.5</v>
      </c>
      <c r="O88" s="3081"/>
      <c r="P88" s="11"/>
      <c r="Q88" s="2030"/>
      <c r="R88" s="2030"/>
      <c r="S88" s="2030"/>
      <c r="T88" s="2030"/>
      <c r="U88" s="2030"/>
      <c r="V88" s="2030"/>
      <c r="W88" s="2034"/>
      <c r="X88" s="2034"/>
      <c r="Y88" s="2034"/>
      <c r="Z88" s="2034"/>
    </row>
    <row r="89" spans="1:26" s="1311" customFormat="1" ht="14.25">
      <c r="A89" s="3382" t="s">
        <v>425</v>
      </c>
      <c r="B89" s="3383"/>
      <c r="C89" s="991"/>
      <c r="D89" s="991" t="s">
        <v>426</v>
      </c>
      <c r="E89" s="389" t="s">
        <v>435</v>
      </c>
      <c r="F89" s="390"/>
      <c r="G89" s="390"/>
      <c r="H89" s="391"/>
      <c r="I89" s="1313"/>
      <c r="J89" s="2035"/>
      <c r="K89" s="3402"/>
      <c r="L89" s="3088" t="s">
        <v>27</v>
      </c>
      <c r="M89" s="3079"/>
      <c r="N89" s="52">
        <f ca="1">ROUND(SUM(N83:N88),0)</f>
        <v>1502</v>
      </c>
      <c r="O89" s="3089">
        <f ca="1">N89/N69</f>
        <v>1.6168096534946556E-2</v>
      </c>
      <c r="P89" s="2030"/>
      <c r="Q89" s="2030"/>
      <c r="R89" s="2030"/>
      <c r="S89" s="2030"/>
      <c r="T89" s="2030"/>
      <c r="U89" s="2030"/>
      <c r="V89" s="2030"/>
      <c r="W89" s="2034"/>
      <c r="X89" s="2034"/>
      <c r="Y89" s="2034"/>
      <c r="Z89" s="2034"/>
    </row>
    <row r="90" spans="1:26" s="1311" customFormat="1" ht="14.25">
      <c r="A90" s="379" t="s">
        <v>1819</v>
      </c>
      <c r="B90" s="380" t="s">
        <v>436</v>
      </c>
      <c r="C90" s="383">
        <f ca="1">ROUND(D63/(1+'数据-取费表'!C42),0)</f>
        <v>88475</v>
      </c>
      <c r="D90" s="376" t="s">
        <v>19</v>
      </c>
      <c r="E90" s="988"/>
      <c r="F90" s="987"/>
      <c r="G90" s="987"/>
      <c r="H90" s="392"/>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9" t="s">
        <v>1825</v>
      </c>
      <c r="B91" s="346" t="s">
        <v>437</v>
      </c>
      <c r="C91" s="383">
        <f ca="1">C92+C96</f>
        <v>3112</v>
      </c>
      <c r="D91" s="376" t="s">
        <v>19</v>
      </c>
      <c r="E91" s="988"/>
      <c r="F91" s="987"/>
      <c r="G91" s="987"/>
      <c r="H91" s="392"/>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3" t="s">
        <v>1826</v>
      </c>
      <c r="B92" s="374" t="s">
        <v>438</v>
      </c>
      <c r="C92" s="376">
        <f>ROUND(IF(G95="2016年5月1日后购买",C93/(1+'数据-取费表'!C30)+C94+C95,C93+C94+C95),0)</f>
        <v>2581</v>
      </c>
      <c r="D92" s="376" t="s">
        <v>19</v>
      </c>
      <c r="E92" s="988"/>
      <c r="F92" s="987"/>
      <c r="G92" s="987"/>
      <c r="H92" s="392"/>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3" t="s">
        <v>1827</v>
      </c>
      <c r="B93" s="374" t="s">
        <v>439</v>
      </c>
      <c r="C93" s="394">
        <v>2000</v>
      </c>
      <c r="D93" s="376" t="s">
        <v>19</v>
      </c>
      <c r="E93" s="395" t="s">
        <v>440</v>
      </c>
      <c r="F93" s="396" t="s">
        <v>441</v>
      </c>
      <c r="G93" s="395" t="s">
        <v>442</v>
      </c>
      <c r="H93" s="397">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3" t="s">
        <v>1828</v>
      </c>
      <c r="B94" s="398" t="s">
        <v>443</v>
      </c>
      <c r="C94" s="376">
        <f>IF(F93="购房发票",ROUND(C93*H93*5%,0),0)</f>
        <v>500</v>
      </c>
      <c r="D94" s="399">
        <v>0.05</v>
      </c>
      <c r="E94" s="3345" t="s">
        <v>444</v>
      </c>
      <c r="F94" s="3344"/>
      <c r="G94" s="3344"/>
      <c r="H94" s="3381"/>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3" t="s">
        <v>1829</v>
      </c>
      <c r="B95" s="374" t="s">
        <v>445</v>
      </c>
      <c r="C95" s="376">
        <f>ROUND(IF(G95="个人买卖住房",0,IF(G95="2016年5月1日前购买",C93*D95,C93*D95/(1+'数据-取费表'!C42))),0)</f>
        <v>81</v>
      </c>
      <c r="D95" s="400">
        <f>'数据-取费表'!B48+'数据-取费表'!B49</f>
        <v>4.0500000000000001E-2</v>
      </c>
      <c r="E95" s="25" t="s">
        <v>446</v>
      </c>
      <c r="F95" s="401"/>
      <c r="G95" s="402" t="s">
        <v>2428</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3" t="s">
        <v>1830</v>
      </c>
      <c r="B96" s="374" t="s">
        <v>447</v>
      </c>
      <c r="C96" s="403">
        <f ca="1">ROUND(D63*D96/(1+'数据-取费表'!C42),0)</f>
        <v>531</v>
      </c>
      <c r="D96" s="404">
        <f>'数据-取费表'!B43</f>
        <v>6.000000000000001E-3</v>
      </c>
      <c r="E96" s="3373" t="s">
        <v>2427</v>
      </c>
      <c r="F96" s="3374"/>
      <c r="G96" s="3374"/>
      <c r="H96" s="3375"/>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4" t="s">
        <v>1831</v>
      </c>
      <c r="B97" s="380" t="s">
        <v>448</v>
      </c>
      <c r="C97" s="383">
        <f ca="1">C90-C91</f>
        <v>85363</v>
      </c>
      <c r="D97" s="376" t="s">
        <v>19</v>
      </c>
      <c r="E97" s="988"/>
      <c r="F97" s="987"/>
      <c r="G97" s="987"/>
      <c r="H97" s="392"/>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4" t="s">
        <v>1832</v>
      </c>
      <c r="B98" s="380" t="s">
        <v>449</v>
      </c>
      <c r="C98" s="405">
        <f ca="1">IF(C97&lt;=0,0,C97/C91)</f>
        <v>27.430269922879177</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5" t="s">
        <v>1833</v>
      </c>
      <c r="B99" s="385" t="s">
        <v>450</v>
      </c>
      <c r="C99" s="406">
        <f ca="1">ROUND(IF(C97&lt;=0,0,IF(C98&gt;=200%,C97*60%-C91*35%,IF(C98&gt;=100%,C97*50%-C91*15%,IF(C98&gt;=50%,C97*40%-C91*5%,IF(C98&lt;50%,C97*30%,0))))),0)</f>
        <v>50129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84" t="s">
        <v>451</v>
      </c>
      <c r="B101" s="3385"/>
      <c r="C101" s="3385"/>
      <c r="D101" s="3385"/>
      <c r="E101" s="3385"/>
      <c r="F101" s="3385"/>
      <c r="G101" s="3385"/>
      <c r="H101" s="3385"/>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82" t="s">
        <v>425</v>
      </c>
      <c r="B102" s="3383"/>
      <c r="C102" s="991"/>
      <c r="D102" s="991" t="s">
        <v>426</v>
      </c>
      <c r="E102" s="389" t="s">
        <v>435</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9" t="s">
        <v>1819</v>
      </c>
      <c r="B103" s="380" t="s">
        <v>436</v>
      </c>
      <c r="C103" s="383">
        <f ca="1">ROUND(D63/(1+'数据-取费表'!C42),0)</f>
        <v>88475</v>
      </c>
      <c r="D103" s="376" t="s">
        <v>19</v>
      </c>
      <c r="E103" s="988"/>
      <c r="F103" s="987"/>
      <c r="G103" s="987"/>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9" t="s">
        <v>1825</v>
      </c>
      <c r="B104" s="346" t="s">
        <v>437</v>
      </c>
      <c r="C104" s="383">
        <f ca="1">IF(H106="仅含出让金",C105+C108+C109+C110+C111+C112,C105+C109+C110+C111+C112)</f>
        <v>16898.02</v>
      </c>
      <c r="D104" s="413"/>
      <c r="E104" s="988"/>
      <c r="F104" s="987"/>
      <c r="G104" s="987"/>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3" t="s">
        <v>1826</v>
      </c>
      <c r="B105" s="374" t="s">
        <v>452</v>
      </c>
      <c r="C105" s="403">
        <f>C106+C107</f>
        <v>6091.71</v>
      </c>
      <c r="D105" s="404"/>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3" t="s">
        <v>1827</v>
      </c>
      <c r="B106" s="374" t="s">
        <v>453</v>
      </c>
      <c r="C106" s="414">
        <f>5854.71</f>
        <v>5854.71</v>
      </c>
      <c r="D106" s="404"/>
      <c r="E106" s="415" t="s">
        <v>454</v>
      </c>
      <c r="F106" s="983"/>
      <c r="G106" s="416" t="s">
        <v>455</v>
      </c>
      <c r="H106" s="417" t="s">
        <v>3425</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3" t="s">
        <v>1828</v>
      </c>
      <c r="B107" s="374" t="s">
        <v>445</v>
      </c>
      <c r="C107" s="403">
        <f>ROUND(C106*D107,0)</f>
        <v>237</v>
      </c>
      <c r="D107" s="404">
        <f>'数据-取费表'!B48+'数据-取费表'!B49</f>
        <v>4.0500000000000001E-2</v>
      </c>
      <c r="E107" s="415" t="s">
        <v>456</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3" t="s">
        <v>1830</v>
      </c>
      <c r="B108" s="374" t="s">
        <v>457</v>
      </c>
      <c r="C108" s="414">
        <f>5490.45+1944.86</f>
        <v>7435.3099999999995</v>
      </c>
      <c r="D108" s="404"/>
      <c r="E108" s="415"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6" t="s">
        <v>1834</v>
      </c>
      <c r="B109" s="374" t="s">
        <v>458</v>
      </c>
      <c r="C109" s="403">
        <f>IF(H109="——",IF(F1="现房",'剩余法-现房'!C18,'剩余法-待开发'!C18),I109)</f>
        <v>0</v>
      </c>
      <c r="D109" s="404"/>
      <c r="E109" s="3376" t="s">
        <v>459</v>
      </c>
      <c r="F109" s="3374"/>
      <c r="G109" s="3374"/>
      <c r="H109" s="1938" t="s">
        <v>2277</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6" t="s">
        <v>1835</v>
      </c>
      <c r="B110" s="374" t="s">
        <v>460</v>
      </c>
      <c r="C110" s="403">
        <f>ROUND((C105+C108+C109)*D110,0)</f>
        <v>1353</v>
      </c>
      <c r="D110" s="404">
        <v>0.1</v>
      </c>
      <c r="E110" s="3376" t="s">
        <v>461</v>
      </c>
      <c r="F110" s="3374"/>
      <c r="G110" s="3374"/>
      <c r="H110" s="3375"/>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6" t="s">
        <v>1836</v>
      </c>
      <c r="B111" s="374" t="s">
        <v>447</v>
      </c>
      <c r="C111" s="403">
        <f ca="1">ROUND(D63*D111/(1+'数据-取费表'!C42),0)</f>
        <v>531</v>
      </c>
      <c r="D111" s="404">
        <f>'数据-取费表'!B43</f>
        <v>6.000000000000001E-3</v>
      </c>
      <c r="E111" s="3373" t="s">
        <v>2427</v>
      </c>
      <c r="F111" s="3374"/>
      <c r="G111" s="3374"/>
      <c r="H111" s="3375"/>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6" t="s">
        <v>1837</v>
      </c>
      <c r="B112" s="374" t="s">
        <v>462</v>
      </c>
      <c r="C112" s="403">
        <f>ROUND(C108*D112,0)</f>
        <v>1487</v>
      </c>
      <c r="D112" s="404">
        <v>0.2</v>
      </c>
      <c r="E112" s="3376" t="s">
        <v>2451</v>
      </c>
      <c r="F112" s="3374"/>
      <c r="G112" s="3374"/>
      <c r="H112" s="3375"/>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4" t="s">
        <v>1831</v>
      </c>
      <c r="B113" s="380" t="s">
        <v>448</v>
      </c>
      <c r="C113" s="383">
        <f ca="1">ROUND(C103-C104,0)</f>
        <v>71577</v>
      </c>
      <c r="D113" s="376" t="s">
        <v>19</v>
      </c>
      <c r="E113" s="988"/>
      <c r="F113" s="987"/>
      <c r="G113" s="987"/>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4" t="s">
        <v>1832</v>
      </c>
      <c r="B114" s="380" t="s">
        <v>449</v>
      </c>
      <c r="C114" s="405">
        <f ca="1">IF(C113&lt;=0,0,C113/C104)</f>
        <v>4.2358217116561585</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5" t="s">
        <v>1833</v>
      </c>
      <c r="B115" s="385" t="s">
        <v>450</v>
      </c>
      <c r="C115" s="406">
        <f ca="1">ROUND(IF(C113&lt;=0,0,IF(C114&gt;=200%,C113*60%-C104*35%,IF(C114&gt;=100%,C113*50%-C104*15%,IF(C114&gt;=50%,C113*40%-C104*5%,IF(C114&lt;50%,C113*30%,0))))),0)</f>
        <v>37032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H32" activeCellId="2" sqref="C1:D1048576 E1:F1048576 G1:H1048576"/>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8.87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514</v>
      </c>
      <c r="B1" s="501"/>
      <c r="C1" s="502" t="s">
        <v>515</v>
      </c>
      <c r="D1" s="503" t="s">
        <v>516</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464</v>
      </c>
      <c r="B2" s="506">
        <f>F68</f>
        <v>93298</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2"/>
    </row>
    <row r="3" spans="1:30" s="1333" customFormat="1" ht="28.5" customHeight="1">
      <c r="A3" s="1376" t="s">
        <v>1680</v>
      </c>
      <c r="B3" s="508">
        <f>ROUND(B2*10000/'数据-汇总表'!E3,0)</f>
        <v>2907</v>
      </c>
      <c r="C3" s="2058"/>
      <c r="D3" s="2590"/>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3" customFormat="1" ht="28.5" customHeight="1">
      <c r="A4" s="509" t="s">
        <v>518</v>
      </c>
      <c r="B4" s="425">
        <f>IF(B48="单位面积地价",C50,ROUND(B2*10000/'数据-汇总表'!D3,0))</f>
        <v>12904</v>
      </c>
      <c r="C4" s="2058"/>
      <c r="D4" s="2590"/>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860</v>
      </c>
      <c r="C5" s="429"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519</v>
      </c>
      <c r="B6" s="511"/>
      <c r="C6" s="3427" t="s">
        <v>520</v>
      </c>
      <c r="D6" s="3428"/>
      <c r="E6" s="3427" t="s">
        <v>521</v>
      </c>
      <c r="F6" s="3428"/>
      <c r="G6" s="3427" t="s">
        <v>522</v>
      </c>
      <c r="H6" s="3428"/>
      <c r="I6" s="3427" t="s">
        <v>523</v>
      </c>
      <c r="J6" s="3428"/>
      <c r="K6" s="512" t="s">
        <v>524</v>
      </c>
      <c r="L6" s="2130"/>
      <c r="M6" s="2129"/>
      <c r="N6" s="2129"/>
      <c r="O6" s="2131"/>
      <c r="P6" s="3429" t="s">
        <v>525</v>
      </c>
      <c r="Q6" s="3430"/>
      <c r="R6" s="3435" t="s">
        <v>521</v>
      </c>
      <c r="S6" s="3436"/>
      <c r="T6" s="3435" t="s">
        <v>522</v>
      </c>
      <c r="U6" s="3436"/>
      <c r="V6" s="3422" t="s">
        <v>523</v>
      </c>
      <c r="W6" s="3422"/>
      <c r="X6" s="1564"/>
      <c r="Y6" s="3435" t="s">
        <v>525</v>
      </c>
      <c r="Z6" s="3436"/>
      <c r="AA6" s="3424" t="s">
        <v>521</v>
      </c>
      <c r="AB6" s="3425" t="s">
        <v>522</v>
      </c>
      <c r="AC6" s="3424" t="s">
        <v>523</v>
      </c>
    </row>
    <row r="7" spans="1:30" ht="20.25">
      <c r="A7" s="513"/>
      <c r="B7" s="514"/>
      <c r="C7" s="3443" t="s">
        <v>2931</v>
      </c>
      <c r="D7" s="3444"/>
      <c r="E7" s="3443" t="str">
        <f>Sheet3!A3</f>
        <v>雨花区牛头村</v>
      </c>
      <c r="F7" s="3444"/>
      <c r="G7" s="3443" t="str">
        <f>Sheet3!A4</f>
        <v>雨花区韶山路143号</v>
      </c>
      <c r="H7" s="3444"/>
      <c r="I7" s="3443" t="str">
        <f>Sheet3!A7</f>
        <v>雨花区万芙路与金海路交汇处东南角</v>
      </c>
      <c r="J7" s="3444"/>
      <c r="K7" s="512"/>
      <c r="L7" s="2130"/>
      <c r="M7" s="2129"/>
      <c r="N7" s="2129"/>
      <c r="O7" s="2131"/>
      <c r="P7" s="3431"/>
      <c r="Q7" s="3432"/>
      <c r="R7" s="3437"/>
      <c r="S7" s="3438"/>
      <c r="T7" s="3437"/>
      <c r="U7" s="3438"/>
      <c r="V7" s="3422"/>
      <c r="W7" s="3422"/>
      <c r="X7" s="1564"/>
      <c r="Y7" s="3437"/>
      <c r="Z7" s="3438"/>
      <c r="AA7" s="3425"/>
      <c r="AB7" s="3425"/>
      <c r="AC7" s="3425"/>
    </row>
    <row r="8" spans="1:30" ht="21" thickBot="1">
      <c r="A8" s="513"/>
      <c r="B8" s="514"/>
      <c r="C8" s="3445" t="s">
        <v>2935</v>
      </c>
      <c r="D8" s="3446"/>
      <c r="E8" s="3445" t="str">
        <f>E7</f>
        <v>雨花区牛头村</v>
      </c>
      <c r="F8" s="3446"/>
      <c r="G8" s="3441" t="str">
        <f>G7</f>
        <v>雨花区韶山路143号</v>
      </c>
      <c r="H8" s="3442"/>
      <c r="I8" s="3441" t="str">
        <f>I7</f>
        <v>雨花区万芙路与金海路交汇处东南角</v>
      </c>
      <c r="J8" s="3442"/>
      <c r="K8" s="512" t="s">
        <v>526</v>
      </c>
      <c r="L8" s="2130"/>
      <c r="M8" s="2129"/>
      <c r="N8" s="2129"/>
      <c r="O8" s="2131"/>
      <c r="P8" s="3433"/>
      <c r="Q8" s="3434"/>
      <c r="R8" s="3437"/>
      <c r="S8" s="3438"/>
      <c r="T8" s="3439"/>
      <c r="U8" s="3440"/>
      <c r="V8" s="3422"/>
      <c r="W8" s="3422"/>
      <c r="X8" s="1564"/>
      <c r="Y8" s="3439"/>
      <c r="Z8" s="3440"/>
      <c r="AA8" s="3426"/>
      <c r="AB8" s="3426"/>
      <c r="AC8" s="3426"/>
    </row>
    <row r="9" spans="1:30" s="1217" customFormat="1" ht="21" thickBot="1">
      <c r="A9" s="2934"/>
      <c r="B9" s="2941" t="s">
        <v>527</v>
      </c>
      <c r="C9" s="2933">
        <f>'数据-取费表'!B2</f>
        <v>43109</v>
      </c>
      <c r="D9" s="518">
        <v>100</v>
      </c>
      <c r="E9" s="519" t="str">
        <f>Sheet3!J3</f>
        <v>2017-10-13</v>
      </c>
      <c r="F9" s="520">
        <f>SUMIF(72:72,YEAR(E9)&amp;"-"&amp;INT((MONTH(E9)+2)/3),73:73)</f>
        <v>99</v>
      </c>
      <c r="G9" s="521" t="str">
        <f>Sheet3!J4</f>
        <v>2017-10-13</v>
      </c>
      <c r="H9" s="518">
        <f>SUMIF(72:72,YEAR(G9)&amp;"-"&amp;INT((MONTH(G9)+2)/3),73:73)</f>
        <v>99</v>
      </c>
      <c r="I9" s="521" t="str">
        <f>Sheet3!J7</f>
        <v>2017-02-14</v>
      </c>
      <c r="J9" s="518">
        <f>SUMIF(72:72,YEAR(I9)&amp;"-"&amp;INT((MONTH(I9)+2)/3),73:73)</f>
        <v>96</v>
      </c>
      <c r="K9" s="522"/>
      <c r="L9" s="2132"/>
      <c r="M9" s="2129"/>
      <c r="N9" s="2129"/>
      <c r="O9" s="2133"/>
      <c r="P9" s="3452" t="s">
        <v>528</v>
      </c>
      <c r="Q9" s="3454"/>
      <c r="R9" s="1565" t="s">
        <v>8</v>
      </c>
      <c r="S9" s="1566">
        <f t="shared" ref="S9:S17" si="0">F9</f>
        <v>99</v>
      </c>
      <c r="T9" s="1565" t="s">
        <v>8</v>
      </c>
      <c r="U9" s="1566">
        <f t="shared" ref="U9:U17" si="1">H9</f>
        <v>99</v>
      </c>
      <c r="V9" s="1565" t="s">
        <v>8</v>
      </c>
      <c r="W9" s="1566">
        <f t="shared" ref="W9:W17" si="2">J9</f>
        <v>96</v>
      </c>
      <c r="X9" s="1567"/>
      <c r="Y9" s="3452" t="s">
        <v>528</v>
      </c>
      <c r="Z9" s="3453"/>
      <c r="AA9" s="1568">
        <f>D9/F9</f>
        <v>1.0101010101010102</v>
      </c>
      <c r="AB9" s="1568">
        <f>D9/H9</f>
        <v>1.0101010101010102</v>
      </c>
      <c r="AC9" s="1568">
        <f>D9/J9</f>
        <v>1.0416666666666667</v>
      </c>
    </row>
    <row r="10" spans="1:30" s="1217" customFormat="1" ht="21" thickBot="1">
      <c r="A10" s="2935"/>
      <c r="B10" s="2942" t="s">
        <v>529</v>
      </c>
      <c r="C10" s="853" t="s">
        <v>530</v>
      </c>
      <c r="D10" s="518">
        <v>100</v>
      </c>
      <c r="E10" s="523" t="s">
        <v>2979</v>
      </c>
      <c r="F10" s="520">
        <f>SUMIF(75:75,E10,76:76)-SUMIF(75:75,C10,76:76)+100</f>
        <v>100</v>
      </c>
      <c r="G10" s="523" t="s">
        <v>2979</v>
      </c>
      <c r="H10" s="518">
        <f>SUMIF(75:75,G10,76:76)-SUMIF(75:75,C10,76:76)+100</f>
        <v>100</v>
      </c>
      <c r="I10" s="523" t="s">
        <v>2979</v>
      </c>
      <c r="J10" s="518">
        <f>SUMIF(75:75,I10,76:76)-SUMIF(75:75,C10,76:76)+100</f>
        <v>100</v>
      </c>
      <c r="K10" s="522"/>
      <c r="L10" s="2132"/>
      <c r="M10" s="2129"/>
      <c r="N10" s="2129"/>
      <c r="O10" s="2133"/>
      <c r="P10" s="3452" t="s">
        <v>531</v>
      </c>
      <c r="Q10" s="3453"/>
      <c r="R10" s="1565" t="s">
        <v>8</v>
      </c>
      <c r="S10" s="1566">
        <f t="shared" si="0"/>
        <v>100</v>
      </c>
      <c r="T10" s="1565" t="s">
        <v>8</v>
      </c>
      <c r="U10" s="1566">
        <f t="shared" si="1"/>
        <v>100</v>
      </c>
      <c r="V10" s="1565" t="s">
        <v>8</v>
      </c>
      <c r="W10" s="1566">
        <f t="shared" si="2"/>
        <v>100</v>
      </c>
      <c r="X10" s="1567"/>
      <c r="Y10" s="3452" t="s">
        <v>531</v>
      </c>
      <c r="Z10" s="3453"/>
      <c r="AA10" s="1568">
        <f t="shared" ref="AA10:AA47" si="3">D10/F10</f>
        <v>1</v>
      </c>
      <c r="AB10" s="1568">
        <f t="shared" ref="AB10:AB47" si="4">D10/H10</f>
        <v>1</v>
      </c>
      <c r="AC10" s="1568">
        <f t="shared" ref="AC10:AC47" si="5">D10/J10</f>
        <v>1</v>
      </c>
    </row>
    <row r="11" spans="1:30" s="1217" customFormat="1" ht="20.25">
      <c r="A11" s="2936"/>
      <c r="B11" s="2943" t="s">
        <v>2757</v>
      </c>
      <c r="C11" s="2930" t="s">
        <v>3000</v>
      </c>
      <c r="D11" s="252">
        <v>100</v>
      </c>
      <c r="E11" s="524" t="s">
        <v>3000</v>
      </c>
      <c r="F11" s="252">
        <f>SUMIF(77:77,E11,78:78)-SUMIF(77:77,C11,78:78)+100</f>
        <v>100</v>
      </c>
      <c r="G11" s="524" t="s">
        <v>3000</v>
      </c>
      <c r="H11" s="252">
        <f>SUMIF(77:77,G11,78:78)-SUMIF(77:77,C11,78:78)+100</f>
        <v>100</v>
      </c>
      <c r="I11" s="524" t="s">
        <v>3000</v>
      </c>
      <c r="J11" s="252">
        <f>SUMIF(77:77,I11,78:78)-SUMIF(77:77,C11,78:78)+100</f>
        <v>100</v>
      </c>
      <c r="K11" s="522"/>
      <c r="L11" s="2132"/>
      <c r="M11" s="2129"/>
      <c r="N11" s="2129"/>
      <c r="O11" s="2134"/>
      <c r="P11" s="3421" t="s">
        <v>533</v>
      </c>
      <c r="Q11" s="1148" t="str">
        <f t="shared" ref="Q11:Q17" si="6">B11</f>
        <v>用途</v>
      </c>
      <c r="R11" s="1565" t="s">
        <v>8</v>
      </c>
      <c r="S11" s="1566">
        <f t="shared" si="0"/>
        <v>100</v>
      </c>
      <c r="T11" s="1565" t="s">
        <v>8</v>
      </c>
      <c r="U11" s="1566">
        <f t="shared" si="1"/>
        <v>100</v>
      </c>
      <c r="V11" s="1565" t="s">
        <v>8</v>
      </c>
      <c r="W11" s="1566">
        <f t="shared" si="2"/>
        <v>100</v>
      </c>
      <c r="X11" s="1567"/>
      <c r="Y11" s="3367" t="s">
        <v>534</v>
      </c>
      <c r="Z11" s="1147" t="str">
        <f t="shared" ref="Z11:Z17" si="7">Q11</f>
        <v>用途</v>
      </c>
      <c r="AA11" s="1568">
        <f t="shared" si="3"/>
        <v>1</v>
      </c>
      <c r="AB11" s="1568">
        <f t="shared" si="4"/>
        <v>1</v>
      </c>
      <c r="AC11" s="1568">
        <f t="shared" si="5"/>
        <v>1</v>
      </c>
    </row>
    <row r="12" spans="1:30" s="1335" customFormat="1" ht="27">
      <c r="A12" s="2937"/>
      <c r="B12" s="2942" t="s">
        <v>2758</v>
      </c>
      <c r="C12" s="907">
        <f>项目基本情况!D19</f>
        <v>65.33</v>
      </c>
      <c r="D12" s="253">
        <v>100</v>
      </c>
      <c r="E12" s="527" t="s">
        <v>3342</v>
      </c>
      <c r="F12" s="253">
        <f>ROUND(100/'数据-取费表'!G16,0)</f>
        <v>101</v>
      </c>
      <c r="G12" s="527" t="s">
        <v>3342</v>
      </c>
      <c r="H12" s="253">
        <f>ROUND(100/'数据-取费表'!G16,0)</f>
        <v>101</v>
      </c>
      <c r="I12" s="527" t="s">
        <v>3342</v>
      </c>
      <c r="J12" s="253">
        <f>ROUND(100/'数据-取费表'!G16,0)</f>
        <v>101</v>
      </c>
      <c r="K12" s="528"/>
      <c r="L12" s="2135"/>
      <c r="M12" s="2129"/>
      <c r="N12" s="2129"/>
      <c r="O12" s="2136"/>
      <c r="P12" s="3421"/>
      <c r="Q12" s="1148" t="str">
        <f t="shared" si="6"/>
        <v>土地使用年限（年）</v>
      </c>
      <c r="R12" s="1565" t="s">
        <v>8</v>
      </c>
      <c r="S12" s="1566">
        <f t="shared" si="0"/>
        <v>101</v>
      </c>
      <c r="T12" s="1565" t="s">
        <v>8</v>
      </c>
      <c r="U12" s="1566">
        <f t="shared" si="1"/>
        <v>101</v>
      </c>
      <c r="V12" s="1565" t="s">
        <v>8</v>
      </c>
      <c r="W12" s="1566">
        <f t="shared" si="2"/>
        <v>101</v>
      </c>
      <c r="X12" s="1567"/>
      <c r="Y12" s="3367"/>
      <c r="Z12" s="1147" t="str">
        <f t="shared" si="7"/>
        <v>土地使用年限（年）</v>
      </c>
      <c r="AA12" s="1568">
        <f t="shared" si="3"/>
        <v>0.99009900990099009</v>
      </c>
      <c r="AB12" s="1568">
        <f t="shared" si="4"/>
        <v>0.99009900990099009</v>
      </c>
      <c r="AC12" s="1568">
        <f t="shared" si="5"/>
        <v>0.99009900990099009</v>
      </c>
    </row>
    <row r="13" spans="1:30" ht="21" thickBot="1">
      <c r="A13" s="2938"/>
      <c r="B13" s="2942" t="s">
        <v>2759</v>
      </c>
      <c r="C13" s="531">
        <f>'数据-汇总表'!I7</f>
        <v>3.54</v>
      </c>
      <c r="D13" s="253">
        <v>100</v>
      </c>
      <c r="E13" s="530">
        <v>3</v>
      </c>
      <c r="F13" s="253">
        <f>LOOKUP(E13,82:82,83:83)-LOOKUP(C13,82:82,83:83)+100</f>
        <v>100</v>
      </c>
      <c r="G13" s="530">
        <v>3.5</v>
      </c>
      <c r="H13" s="253">
        <f>LOOKUP(G13,82:82,83:83)-LOOKUP(C13,82:82,83:83)+100</f>
        <v>100</v>
      </c>
      <c r="I13" s="530">
        <v>4</v>
      </c>
      <c r="J13" s="253">
        <f>LOOKUP(I13,82:82,83:83)-LOOKUP(C13,82:82,83:83)+100</f>
        <v>95</v>
      </c>
      <c r="K13" s="532">
        <v>5</v>
      </c>
      <c r="L13" s="2137"/>
      <c r="M13" s="2129"/>
      <c r="N13" s="2129"/>
      <c r="O13" s="2138"/>
      <c r="P13" s="3421"/>
      <c r="Q13" s="1148" t="str">
        <f t="shared" si="6"/>
        <v>容积率</v>
      </c>
      <c r="R13" s="1565" t="s">
        <v>8</v>
      </c>
      <c r="S13" s="1566">
        <f t="shared" si="0"/>
        <v>100</v>
      </c>
      <c r="T13" s="1565" t="s">
        <v>8</v>
      </c>
      <c r="U13" s="1566">
        <f t="shared" si="1"/>
        <v>100</v>
      </c>
      <c r="V13" s="1565" t="s">
        <v>8</v>
      </c>
      <c r="W13" s="1566">
        <f t="shared" si="2"/>
        <v>95</v>
      </c>
      <c r="X13" s="1567"/>
      <c r="Y13" s="3367"/>
      <c r="Z13" s="1147" t="str">
        <f t="shared" si="7"/>
        <v>容积率</v>
      </c>
      <c r="AA13" s="1568">
        <f t="shared" si="3"/>
        <v>1</v>
      </c>
      <c r="AB13" s="1568">
        <f t="shared" si="4"/>
        <v>1</v>
      </c>
      <c r="AC13" s="1568">
        <f t="shared" si="5"/>
        <v>1.0526315789473684</v>
      </c>
    </row>
    <row r="14" spans="1:30" s="1217" customFormat="1" ht="21" thickTop="1">
      <c r="A14" s="2935"/>
      <c r="B14" s="2944" t="s">
        <v>2760</v>
      </c>
      <c r="C14" s="2931" t="s">
        <v>3546</v>
      </c>
      <c r="D14" s="535">
        <v>100</v>
      </c>
      <c r="E14" s="1373" t="s">
        <v>3547</v>
      </c>
      <c r="F14" s="253">
        <f>SUMIF(84:84,E14,85:85)-SUMIF(84:84,C14,85:85)+100</f>
        <v>90</v>
      </c>
      <c r="G14" s="3169" t="s">
        <v>3548</v>
      </c>
      <c r="H14" s="253">
        <f>SUMIF(84:84,G14,85:85)-SUMIF(84:84,C14,85:85)+100</f>
        <v>80</v>
      </c>
      <c r="I14" s="1372" t="s">
        <v>3546</v>
      </c>
      <c r="J14" s="253">
        <f>SUMIF(84:84,I14,85:85)-SUMIF(84:84,C14,85:85)+100</f>
        <v>100</v>
      </c>
      <c r="K14" s="528"/>
      <c r="L14" s="2132"/>
      <c r="M14" s="2129"/>
      <c r="N14" s="2129"/>
      <c r="O14" s="2134"/>
      <c r="P14" s="3421"/>
      <c r="Q14" s="1148" t="str">
        <f t="shared" si="6"/>
        <v>配建</v>
      </c>
      <c r="R14" s="1565" t="s">
        <v>8</v>
      </c>
      <c r="S14" s="1566">
        <f t="shared" si="0"/>
        <v>90</v>
      </c>
      <c r="T14" s="1565" t="s">
        <v>8</v>
      </c>
      <c r="U14" s="1566">
        <f t="shared" si="1"/>
        <v>80</v>
      </c>
      <c r="V14" s="1565" t="s">
        <v>8</v>
      </c>
      <c r="W14" s="1566">
        <f t="shared" si="2"/>
        <v>100</v>
      </c>
      <c r="X14" s="1567"/>
      <c r="Y14" s="3367"/>
      <c r="Z14" s="1147" t="str">
        <f t="shared" si="7"/>
        <v>配建</v>
      </c>
      <c r="AA14" s="1568">
        <f>D14/F14</f>
        <v>1.1111111111111112</v>
      </c>
      <c r="AB14" s="1568">
        <f>D14/H14</f>
        <v>1.25</v>
      </c>
      <c r="AC14" s="1568">
        <f>D14/J14</f>
        <v>1</v>
      </c>
    </row>
    <row r="15" spans="1:30" ht="20.25">
      <c r="A15" s="2939"/>
      <c r="B15" s="2945">
        <v>111</v>
      </c>
      <c r="C15" s="909"/>
      <c r="D15" s="537">
        <v>100</v>
      </c>
      <c r="E15" s="538"/>
      <c r="F15" s="253">
        <f>SUMIF(86:86,E15,87:87)-SUMIF(86:86,C15,87:87)+100</f>
        <v>100</v>
      </c>
      <c r="G15" s="538"/>
      <c r="H15" s="537">
        <f>SUMIF(86:86,G15,87:87)-SUMIF(86:86,C15,87:87)+100</f>
        <v>100</v>
      </c>
      <c r="I15" s="538"/>
      <c r="J15" s="537">
        <f>SUMIF(86:86,I15,87:87)-SUMIF(86:86,C15,87:87)+100</f>
        <v>100</v>
      </c>
      <c r="K15" s="528"/>
      <c r="L15" s="2139"/>
      <c r="M15" s="2129"/>
      <c r="N15" s="2129"/>
      <c r="O15" s="2138"/>
      <c r="P15" s="3421"/>
      <c r="Q15" s="1148">
        <f t="shared" si="6"/>
        <v>111</v>
      </c>
      <c r="R15" s="1565" t="s">
        <v>8</v>
      </c>
      <c r="S15" s="1566">
        <f t="shared" si="0"/>
        <v>100</v>
      </c>
      <c r="T15" s="1565" t="s">
        <v>8</v>
      </c>
      <c r="U15" s="1566">
        <f t="shared" si="1"/>
        <v>100</v>
      </c>
      <c r="V15" s="1565" t="s">
        <v>8</v>
      </c>
      <c r="W15" s="1566">
        <f t="shared" si="2"/>
        <v>100</v>
      </c>
      <c r="X15" s="1567"/>
      <c r="Y15" s="3367"/>
      <c r="Z15" s="1147">
        <f t="shared" si="7"/>
        <v>111</v>
      </c>
      <c r="AA15" s="1568">
        <f>D15/F15</f>
        <v>1</v>
      </c>
      <c r="AB15" s="1568">
        <f>D15/H15</f>
        <v>1</v>
      </c>
      <c r="AC15" s="1568">
        <f>D15/J15</f>
        <v>1</v>
      </c>
    </row>
    <row r="16" spans="1:30" ht="21" thickBot="1">
      <c r="A16" s="2940"/>
      <c r="B16" s="2946">
        <v>111</v>
      </c>
      <c r="C16" s="912"/>
      <c r="D16" s="543">
        <v>100</v>
      </c>
      <c r="E16" s="538"/>
      <c r="F16" s="543">
        <f>SUMIF(88:88,E16,89:89)-SUMIF(88:88,C16,89:89)+100</f>
        <v>100</v>
      </c>
      <c r="G16" s="538"/>
      <c r="H16" s="543">
        <f>SUMIF(88:88,G16,89:89)-SUMIF(88:88,C16,89:89)+100</f>
        <v>100</v>
      </c>
      <c r="I16" s="538"/>
      <c r="J16" s="543">
        <f>SUMIF(88:88,I16,89:89)-SUMIF(88:88,C16,89:89)+100</f>
        <v>100</v>
      </c>
      <c r="K16" s="528"/>
      <c r="L16" s="2139"/>
      <c r="M16" s="2129"/>
      <c r="N16" s="2129"/>
      <c r="O16" s="2138"/>
      <c r="P16" s="3421"/>
      <c r="Q16" s="1148">
        <f t="shared" si="6"/>
        <v>111</v>
      </c>
      <c r="R16" s="1565" t="s">
        <v>8</v>
      </c>
      <c r="S16" s="1566">
        <f t="shared" si="0"/>
        <v>100</v>
      </c>
      <c r="T16" s="1565" t="s">
        <v>8</v>
      </c>
      <c r="U16" s="1566">
        <f t="shared" si="1"/>
        <v>100</v>
      </c>
      <c r="V16" s="1565" t="s">
        <v>8</v>
      </c>
      <c r="W16" s="1566">
        <f t="shared" si="2"/>
        <v>100</v>
      </c>
      <c r="X16" s="1567"/>
      <c r="Y16" s="3367"/>
      <c r="Z16" s="1147">
        <f t="shared" si="7"/>
        <v>111</v>
      </c>
      <c r="AA16" s="1568">
        <f>D16/F16</f>
        <v>1</v>
      </c>
      <c r="AB16" s="1568">
        <f>D16/H16</f>
        <v>1</v>
      </c>
      <c r="AC16" s="1568">
        <f>D16/J16</f>
        <v>1</v>
      </c>
    </row>
    <row r="17" spans="1:29" ht="99.75">
      <c r="A17" s="2932" t="s">
        <v>2755</v>
      </c>
      <c r="B17" s="575" t="s">
        <v>295</v>
      </c>
      <c r="C17" s="545" t="str">
        <f>估价对象房地状况!C15</f>
        <v>估价对象周边居住用地比例、居住小区规模和社区发展完善程度，综合评价居住社区成熟度一般</v>
      </c>
      <c r="D17" s="548">
        <v>100</v>
      </c>
      <c r="E17" s="3172" t="s">
        <v>3343</v>
      </c>
      <c r="F17" s="546">
        <f>SUMIF(90:90,E18,91:91)-SUMIF(90:90,C18,91:91)+100</f>
        <v>97</v>
      </c>
      <c r="G17" s="3172" t="s">
        <v>3346</v>
      </c>
      <c r="H17" s="546">
        <f>SUMIF(90:90,G18,91:91)-SUMIF(90:90,C18,91:91)+100</f>
        <v>103</v>
      </c>
      <c r="I17" s="3172" t="s">
        <v>3349</v>
      </c>
      <c r="J17" s="546">
        <f>SUMIF(90:90,I18,91:91)-SUMIF(90:90,C18,91:91)+100</f>
        <v>97</v>
      </c>
      <c r="K17" s="532">
        <v>3</v>
      </c>
      <c r="L17" s="2139"/>
      <c r="M17" s="2129"/>
      <c r="N17" s="2129"/>
      <c r="O17" s="2138"/>
      <c r="P17" s="3455" t="s">
        <v>538</v>
      </c>
      <c r="Q17" s="1569" t="str">
        <f t="shared" si="6"/>
        <v>居住社区成熟度</v>
      </c>
      <c r="R17" s="1570" t="s">
        <v>8</v>
      </c>
      <c r="S17" s="1571">
        <f t="shared" si="0"/>
        <v>97</v>
      </c>
      <c r="T17" s="1570" t="s">
        <v>8</v>
      </c>
      <c r="U17" s="1571">
        <f t="shared" si="1"/>
        <v>103</v>
      </c>
      <c r="V17" s="1570" t="s">
        <v>8</v>
      </c>
      <c r="W17" s="1571">
        <f t="shared" si="2"/>
        <v>97</v>
      </c>
      <c r="X17" s="1564"/>
      <c r="Y17" s="3455" t="s">
        <v>538</v>
      </c>
      <c r="Z17" s="1572" t="str">
        <f t="shared" si="7"/>
        <v>居住社区成熟度</v>
      </c>
      <c r="AA17" s="1573">
        <f t="shared" si="3"/>
        <v>1.0309278350515463</v>
      </c>
      <c r="AB17" s="1573">
        <f t="shared" si="4"/>
        <v>0.970873786407767</v>
      </c>
      <c r="AC17" s="1573">
        <f t="shared" si="5"/>
        <v>1.0309278350515463</v>
      </c>
    </row>
    <row r="18" spans="1:29" ht="20.25" customHeight="1">
      <c r="A18" s="529"/>
      <c r="B18" s="550"/>
      <c r="C18" s="551" t="s">
        <v>3322</v>
      </c>
      <c r="D18" s="554"/>
      <c r="E18" s="555" t="s">
        <v>3323</v>
      </c>
      <c r="F18" s="552"/>
      <c r="G18" s="555" t="s">
        <v>3338</v>
      </c>
      <c r="H18" s="556"/>
      <c r="I18" s="555" t="s">
        <v>3323</v>
      </c>
      <c r="J18" s="552"/>
      <c r="K18" s="528"/>
      <c r="L18" s="2139"/>
      <c r="M18" s="2129"/>
      <c r="N18" s="2129"/>
      <c r="O18" s="2138"/>
      <c r="P18" s="3456"/>
      <c r="Q18" s="1569"/>
      <c r="R18" s="1570"/>
      <c r="S18" s="1571"/>
      <c r="T18" s="1570"/>
      <c r="U18" s="1571"/>
      <c r="V18" s="1570"/>
      <c r="W18" s="1571"/>
      <c r="X18" s="1564"/>
      <c r="Y18" s="3456"/>
      <c r="Z18" s="1572"/>
      <c r="AA18" s="1573">
        <v>1</v>
      </c>
      <c r="AB18" s="1573">
        <v>1</v>
      </c>
      <c r="AC18" s="1573">
        <v>1</v>
      </c>
    </row>
    <row r="19" spans="1:29" ht="71.25">
      <c r="A19" s="529"/>
      <c r="B19" s="557" t="s">
        <v>539</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103</v>
      </c>
      <c r="I19" s="561"/>
      <c r="J19" s="562">
        <f>SUMIF(92:92,I20,93:93)-SUMIF(92:92,C20,93:93)+100</f>
        <v>100</v>
      </c>
      <c r="K19" s="532">
        <v>3</v>
      </c>
      <c r="L19" s="2139"/>
      <c r="M19" s="2129"/>
      <c r="N19" s="2129"/>
      <c r="O19" s="2138"/>
      <c r="P19" s="3456"/>
      <c r="Q19" s="1569" t="str">
        <f>B19</f>
        <v>商业繁华度</v>
      </c>
      <c r="R19" s="1570" t="s">
        <v>8</v>
      </c>
      <c r="S19" s="1571">
        <f>F19</f>
        <v>100</v>
      </c>
      <c r="T19" s="1570" t="s">
        <v>8</v>
      </c>
      <c r="U19" s="1571">
        <f>H19</f>
        <v>103</v>
      </c>
      <c r="V19" s="1570" t="s">
        <v>8</v>
      </c>
      <c r="W19" s="1571">
        <f>J19</f>
        <v>100</v>
      </c>
      <c r="X19" s="1564"/>
      <c r="Y19" s="3456"/>
      <c r="Z19" s="1572" t="str">
        <f>Q19</f>
        <v>商业繁华度</v>
      </c>
      <c r="AA19" s="1573">
        <f t="shared" si="3"/>
        <v>1</v>
      </c>
      <c r="AB19" s="1573">
        <f t="shared" si="4"/>
        <v>0.970873786407767</v>
      </c>
      <c r="AC19" s="1573">
        <f t="shared" si="5"/>
        <v>1</v>
      </c>
    </row>
    <row r="20" spans="1:29" ht="20.25" customHeight="1">
      <c r="A20" s="529"/>
      <c r="B20" s="563"/>
      <c r="C20" s="564" t="s">
        <v>3323</v>
      </c>
      <c r="D20" s="560"/>
      <c r="E20" s="566" t="s">
        <v>3323</v>
      </c>
      <c r="F20" s="556"/>
      <c r="G20" s="566" t="s">
        <v>3322</v>
      </c>
      <c r="H20" s="552"/>
      <c r="I20" s="566" t="s">
        <v>3323</v>
      </c>
      <c r="J20" s="552"/>
      <c r="K20" s="528"/>
      <c r="L20" s="2139"/>
      <c r="M20" s="2129"/>
      <c r="N20" s="2129"/>
      <c r="O20" s="2138"/>
      <c r="P20" s="3456"/>
      <c r="Q20" s="1569"/>
      <c r="R20" s="1570"/>
      <c r="S20" s="1571"/>
      <c r="T20" s="1570"/>
      <c r="U20" s="1571"/>
      <c r="V20" s="1570"/>
      <c r="W20" s="1571"/>
      <c r="X20" s="1564"/>
      <c r="Y20" s="3456"/>
      <c r="Z20" s="1572"/>
      <c r="AA20" s="1573">
        <v>1</v>
      </c>
      <c r="AB20" s="1573">
        <v>1</v>
      </c>
      <c r="AC20" s="1573">
        <v>1</v>
      </c>
    </row>
    <row r="21" spans="1:29" ht="71.25">
      <c r="A21" s="529"/>
      <c r="B21" s="557" t="s">
        <v>540</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v>0</v>
      </c>
      <c r="L21" s="2139"/>
      <c r="M21" s="2129"/>
      <c r="N21" s="2129"/>
      <c r="O21" s="2138"/>
      <c r="P21" s="3456"/>
      <c r="Q21" s="1569" t="str">
        <f>B21</f>
        <v>办公集聚程度</v>
      </c>
      <c r="R21" s="1570" t="s">
        <v>8</v>
      </c>
      <c r="S21" s="1571">
        <f>F21</f>
        <v>100</v>
      </c>
      <c r="T21" s="1570" t="s">
        <v>8</v>
      </c>
      <c r="U21" s="1571">
        <f>H21</f>
        <v>100</v>
      </c>
      <c r="V21" s="1570" t="s">
        <v>8</v>
      </c>
      <c r="W21" s="1571">
        <f>J21</f>
        <v>100</v>
      </c>
      <c r="X21" s="1564"/>
      <c r="Y21" s="3456"/>
      <c r="Z21" s="1572" t="str">
        <f>Q21</f>
        <v>办公集聚程度</v>
      </c>
      <c r="AA21" s="1573">
        <f t="shared" si="3"/>
        <v>1</v>
      </c>
      <c r="AB21" s="1573">
        <f t="shared" si="4"/>
        <v>1</v>
      </c>
      <c r="AC21" s="1573">
        <f t="shared" si="5"/>
        <v>1</v>
      </c>
    </row>
    <row r="22" spans="1:29" ht="20.25">
      <c r="A22" s="529"/>
      <c r="B22" s="563"/>
      <c r="C22" s="551"/>
      <c r="D22" s="554"/>
      <c r="E22" s="555"/>
      <c r="F22" s="552"/>
      <c r="G22" s="555"/>
      <c r="H22" s="552"/>
      <c r="I22" s="555"/>
      <c r="J22" s="552"/>
      <c r="K22" s="528"/>
      <c r="L22" s="2139"/>
      <c r="M22" s="2129"/>
      <c r="N22" s="2129"/>
      <c r="O22" s="2138"/>
      <c r="P22" s="3456"/>
      <c r="Q22" s="1569"/>
      <c r="R22" s="1570"/>
      <c r="S22" s="1571"/>
      <c r="T22" s="1570"/>
      <c r="U22" s="1571"/>
      <c r="V22" s="1570"/>
      <c r="W22" s="1571"/>
      <c r="X22" s="1564"/>
      <c r="Y22" s="3456"/>
      <c r="Z22" s="1572"/>
      <c r="AA22" s="1573">
        <v>1</v>
      </c>
      <c r="AB22" s="1573">
        <v>1</v>
      </c>
      <c r="AC22" s="1573">
        <v>1</v>
      </c>
    </row>
    <row r="23" spans="1:29" ht="114">
      <c r="A23" s="529"/>
      <c r="B23" s="557" t="s">
        <v>541</v>
      </c>
      <c r="C23" s="570" t="str">
        <f>估价对象房地状况!C18</f>
        <v>估价对象周边道路状况、公共交通通达情况、停车便捷程度，综合评价交通便捷度较好148.208、212、215、348、503、912</v>
      </c>
      <c r="D23" s="560">
        <v>100</v>
      </c>
      <c r="E23" s="561" t="s">
        <v>3344</v>
      </c>
      <c r="F23" s="562">
        <f>SUMIF(96:96,E24,97:97)-SUMIF(96:96,C24,97:97)+100</f>
        <v>97</v>
      </c>
      <c r="G23" s="561" t="s">
        <v>3347</v>
      </c>
      <c r="H23" s="556">
        <f>SUMIF(96:96,G24,97:97)-SUMIF(96:96,C24,97:97)+100</f>
        <v>103</v>
      </c>
      <c r="I23" s="561" t="s">
        <v>3350</v>
      </c>
      <c r="J23" s="556">
        <f>SUMIF(96:96,I24,97:97)-SUMIF(96:96,C24,97:97)+100</f>
        <v>97</v>
      </c>
      <c r="K23" s="532">
        <v>3</v>
      </c>
      <c r="L23" s="2139"/>
      <c r="M23" s="2129"/>
      <c r="N23" s="2129"/>
      <c r="O23" s="2138"/>
      <c r="P23" s="3456"/>
      <c r="Q23" s="1569" t="str">
        <f>B23</f>
        <v>交通便捷度</v>
      </c>
      <c r="R23" s="1570" t="s">
        <v>8</v>
      </c>
      <c r="S23" s="1571">
        <f>F23</f>
        <v>97</v>
      </c>
      <c r="T23" s="1570" t="s">
        <v>8</v>
      </c>
      <c r="U23" s="1571">
        <f>H23</f>
        <v>103</v>
      </c>
      <c r="V23" s="1570" t="s">
        <v>8</v>
      </c>
      <c r="W23" s="1571">
        <f>J23</f>
        <v>97</v>
      </c>
      <c r="X23" s="1564"/>
      <c r="Y23" s="3456"/>
      <c r="Z23" s="1572" t="str">
        <f>Q23</f>
        <v>交通便捷度</v>
      </c>
      <c r="AA23" s="1573">
        <f t="shared" si="3"/>
        <v>1.0309278350515463</v>
      </c>
      <c r="AB23" s="1573">
        <f t="shared" si="4"/>
        <v>0.970873786407767</v>
      </c>
      <c r="AC23" s="1573">
        <f t="shared" si="5"/>
        <v>1.0309278350515463</v>
      </c>
    </row>
    <row r="24" spans="1:29" ht="20.25" customHeight="1">
      <c r="A24" s="529"/>
      <c r="B24" s="575"/>
      <c r="C24" s="551" t="s">
        <v>3322</v>
      </c>
      <c r="D24" s="554"/>
      <c r="E24" s="555" t="s">
        <v>3323</v>
      </c>
      <c r="F24" s="552"/>
      <c r="G24" s="555" t="s">
        <v>3338</v>
      </c>
      <c r="H24" s="552"/>
      <c r="I24" s="555" t="s">
        <v>3323</v>
      </c>
      <c r="J24" s="552"/>
      <c r="K24" s="528"/>
      <c r="L24" s="2139"/>
      <c r="M24" s="2129"/>
      <c r="N24" s="2129"/>
      <c r="O24" s="2138"/>
      <c r="P24" s="3456"/>
      <c r="Q24" s="1569"/>
      <c r="R24" s="1570"/>
      <c r="S24" s="1571"/>
      <c r="T24" s="1570"/>
      <c r="U24" s="1571"/>
      <c r="V24" s="1570"/>
      <c r="W24" s="1571"/>
      <c r="X24" s="1564"/>
      <c r="Y24" s="3456"/>
      <c r="Z24" s="1572"/>
      <c r="AA24" s="1573">
        <v>1</v>
      </c>
      <c r="AB24" s="1573">
        <v>1</v>
      </c>
      <c r="AC24" s="1573">
        <v>1</v>
      </c>
    </row>
    <row r="25" spans="1:29" ht="27">
      <c r="A25" s="513"/>
      <c r="B25" s="257" t="s">
        <v>542</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5</v>
      </c>
      <c r="L25" s="2139"/>
      <c r="M25" s="2129"/>
      <c r="N25" s="2129"/>
      <c r="O25" s="2138"/>
      <c r="P25" s="3456"/>
      <c r="Q25" s="1569" t="str">
        <f t="shared" ref="Q25:Q39" si="8">B25</f>
        <v>区域土地利用方向</v>
      </c>
      <c r="R25" s="1570" t="s">
        <v>8</v>
      </c>
      <c r="S25" s="1571">
        <f>F25</f>
        <v>100</v>
      </c>
      <c r="T25" s="1570" t="s">
        <v>8</v>
      </c>
      <c r="U25" s="1571">
        <f>H25</f>
        <v>100</v>
      </c>
      <c r="V25" s="1570" t="s">
        <v>8</v>
      </c>
      <c r="W25" s="1571">
        <f>J25</f>
        <v>100</v>
      </c>
      <c r="X25" s="1564"/>
      <c r="Y25" s="3456"/>
      <c r="Z25" s="1572" t="str">
        <f>Q25</f>
        <v>区域土地利用方向</v>
      </c>
      <c r="AA25" s="1573">
        <f t="shared" si="3"/>
        <v>1</v>
      </c>
      <c r="AB25" s="1573">
        <f t="shared" si="4"/>
        <v>1</v>
      </c>
      <c r="AC25" s="1573">
        <f t="shared" si="5"/>
        <v>1</v>
      </c>
    </row>
    <row r="26" spans="1:29" ht="20.25" customHeight="1">
      <c r="A26" s="513"/>
      <c r="B26" s="1004"/>
      <c r="C26" s="551" t="s">
        <v>3338</v>
      </c>
      <c r="D26" s="554"/>
      <c r="E26" s="555" t="s">
        <v>3338</v>
      </c>
      <c r="F26" s="552"/>
      <c r="G26" s="555" t="s">
        <v>3338</v>
      </c>
      <c r="H26" s="552"/>
      <c r="I26" s="555" t="s">
        <v>3338</v>
      </c>
      <c r="J26" s="552"/>
      <c r="K26" s="528"/>
      <c r="L26" s="2139"/>
      <c r="M26" s="2129"/>
      <c r="N26" s="2129"/>
      <c r="O26" s="2138"/>
      <c r="P26" s="3456"/>
      <c r="Q26" s="1569"/>
      <c r="R26" s="1570"/>
      <c r="S26" s="1571"/>
      <c r="T26" s="1570"/>
      <c r="U26" s="1571"/>
      <c r="V26" s="1570"/>
      <c r="W26" s="1571"/>
      <c r="X26" s="1564"/>
      <c r="Y26" s="3456"/>
      <c r="Z26" s="1572"/>
      <c r="AA26" s="1573"/>
      <c r="AB26" s="1573"/>
      <c r="AC26" s="1573"/>
    </row>
    <row r="27" spans="1:29" ht="57">
      <c r="A27" s="513"/>
      <c r="B27" s="575" t="s">
        <v>543</v>
      </c>
      <c r="C27" s="558" t="str">
        <f>估价对象房地状况!C20</f>
        <v>区域自然环境：；人文环境；综合评价环境状况一般</v>
      </c>
      <c r="D27" s="560">
        <v>100</v>
      </c>
      <c r="E27" s="3173" t="s">
        <v>3345</v>
      </c>
      <c r="F27" s="556">
        <f>SUMIF(100:100,E28,101:101)-SUMIF(100:100,C28,101:101)+100</f>
        <v>103</v>
      </c>
      <c r="G27" s="3173" t="s">
        <v>3348</v>
      </c>
      <c r="H27" s="556">
        <f>SUMIF(100:100,G28,101:101)-SUMIF(100:100,C28,101:101)+100</f>
        <v>103</v>
      </c>
      <c r="I27" s="3173" t="s">
        <v>3345</v>
      </c>
      <c r="J27" s="556">
        <f>SUMIF(100:100,I28,101:101)-SUMIF(100:100,C28,101:101)+100</f>
        <v>103</v>
      </c>
      <c r="K27" s="532">
        <v>3</v>
      </c>
      <c r="L27" s="2139"/>
      <c r="M27" s="2129"/>
      <c r="N27" s="2129"/>
      <c r="O27" s="2138"/>
      <c r="P27" s="3456"/>
      <c r="Q27" s="1569" t="str">
        <f t="shared" si="8"/>
        <v>自然及人文环境状况</v>
      </c>
      <c r="R27" s="1570" t="s">
        <v>8</v>
      </c>
      <c r="S27" s="1571">
        <f>F27</f>
        <v>103</v>
      </c>
      <c r="T27" s="1570" t="s">
        <v>8</v>
      </c>
      <c r="U27" s="1571">
        <f>H27</f>
        <v>103</v>
      </c>
      <c r="V27" s="1570" t="s">
        <v>8</v>
      </c>
      <c r="W27" s="1571">
        <f>J27</f>
        <v>103</v>
      </c>
      <c r="X27" s="1564"/>
      <c r="Y27" s="3456"/>
      <c r="Z27" s="1572" t="str">
        <f>Q27</f>
        <v>自然及人文环境状况</v>
      </c>
      <c r="AA27" s="1573">
        <f t="shared" si="3"/>
        <v>0.970873786407767</v>
      </c>
      <c r="AB27" s="1573">
        <f t="shared" si="4"/>
        <v>0.970873786407767</v>
      </c>
      <c r="AC27" s="1573">
        <f t="shared" si="5"/>
        <v>0.970873786407767</v>
      </c>
    </row>
    <row r="28" spans="1:29" ht="20.25" customHeight="1">
      <c r="A28" s="513"/>
      <c r="B28" s="563"/>
      <c r="C28" s="551" t="s">
        <v>3323</v>
      </c>
      <c r="D28" s="554"/>
      <c r="E28" s="573" t="s">
        <v>3322</v>
      </c>
      <c r="F28" s="552"/>
      <c r="G28" s="573" t="s">
        <v>3322</v>
      </c>
      <c r="H28" s="552"/>
      <c r="I28" s="573" t="s">
        <v>3322</v>
      </c>
      <c r="J28" s="552"/>
      <c r="K28" s="528"/>
      <c r="L28" s="2139"/>
      <c r="M28" s="2129"/>
      <c r="N28" s="2129"/>
      <c r="O28" s="2138"/>
      <c r="P28" s="3456"/>
      <c r="Q28" s="1569"/>
      <c r="R28" s="1570"/>
      <c r="S28" s="1571"/>
      <c r="T28" s="1570"/>
      <c r="U28" s="1571"/>
      <c r="V28" s="1570"/>
      <c r="W28" s="1571"/>
      <c r="X28" s="1564"/>
      <c r="Y28" s="3456"/>
      <c r="Z28" s="1572"/>
      <c r="AA28" s="1573">
        <v>1</v>
      </c>
      <c r="AB28" s="1573">
        <v>1</v>
      </c>
      <c r="AC28" s="1573">
        <v>1</v>
      </c>
    </row>
    <row r="29" spans="1:29" s="1217" customFormat="1" ht="42.75">
      <c r="A29" s="574"/>
      <c r="B29" s="2611" t="s">
        <v>2547</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103</v>
      </c>
      <c r="I29" s="561"/>
      <c r="J29" s="556">
        <f>SUMIF(102:102,I30,103:103)-SUMIF(102:102,C30,103:103)+100</f>
        <v>100</v>
      </c>
      <c r="K29" s="532">
        <v>3</v>
      </c>
      <c r="L29" s="2132"/>
      <c r="M29" s="2129"/>
      <c r="N29" s="2129"/>
      <c r="O29" s="2134"/>
      <c r="P29" s="3456"/>
      <c r="Q29" s="1148" t="str">
        <f t="shared" si="8"/>
        <v>公共配套设施</v>
      </c>
      <c r="R29" s="1565" t="s">
        <v>8</v>
      </c>
      <c r="S29" s="1566">
        <f>F29</f>
        <v>100</v>
      </c>
      <c r="T29" s="1565" t="s">
        <v>8</v>
      </c>
      <c r="U29" s="1566">
        <f>H29</f>
        <v>103</v>
      </c>
      <c r="V29" s="1565" t="s">
        <v>8</v>
      </c>
      <c r="W29" s="1566">
        <f>J29</f>
        <v>100</v>
      </c>
      <c r="X29" s="1567"/>
      <c r="Y29" s="3456"/>
      <c r="Z29" s="1147" t="str">
        <f>Q29</f>
        <v>公共配套设施</v>
      </c>
      <c r="AA29" s="1573">
        <f>D29/F29</f>
        <v>1</v>
      </c>
      <c r="AB29" s="1573">
        <f>D29/H29</f>
        <v>0.970873786407767</v>
      </c>
      <c r="AC29" s="1573">
        <f>D29/J29</f>
        <v>1</v>
      </c>
    </row>
    <row r="30" spans="1:29" s="1217" customFormat="1" ht="20.25" customHeight="1">
      <c r="A30" s="574"/>
      <c r="B30" s="563"/>
      <c r="C30" s="576" t="s">
        <v>3323</v>
      </c>
      <c r="D30" s="554"/>
      <c r="E30" s="573" t="s">
        <v>3323</v>
      </c>
      <c r="F30" s="552"/>
      <c r="G30" s="573" t="s">
        <v>3322</v>
      </c>
      <c r="H30" s="552"/>
      <c r="I30" s="573" t="s">
        <v>3323</v>
      </c>
      <c r="J30" s="552"/>
      <c r="K30" s="528"/>
      <c r="L30" s="2132"/>
      <c r="M30" s="2129"/>
      <c r="N30" s="2129"/>
      <c r="O30" s="2134"/>
      <c r="P30" s="3456"/>
      <c r="Q30" s="1148"/>
      <c r="R30" s="1565"/>
      <c r="S30" s="1566"/>
      <c r="T30" s="1565"/>
      <c r="U30" s="1566"/>
      <c r="V30" s="1565"/>
      <c r="W30" s="1566"/>
      <c r="X30" s="1567"/>
      <c r="Y30" s="3456"/>
      <c r="Z30" s="1147"/>
      <c r="AA30" s="1573">
        <v>1</v>
      </c>
      <c r="AB30" s="1573">
        <v>1</v>
      </c>
      <c r="AC30" s="1573">
        <v>1</v>
      </c>
    </row>
    <row r="31" spans="1:29" s="1217" customFormat="1" ht="28.5">
      <c r="A31" s="574"/>
      <c r="B31" s="2611" t="s">
        <v>2548</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32"/>
      <c r="M31" s="2129"/>
      <c r="N31" s="2129"/>
      <c r="O31" s="2134"/>
      <c r="P31" s="3456"/>
      <c r="Q31" s="2598" t="str">
        <f t="shared" ref="Q31" si="9">B31</f>
        <v>基础设施水平</v>
      </c>
      <c r="R31" s="1565" t="s">
        <v>8</v>
      </c>
      <c r="S31" s="1566">
        <f>F31</f>
        <v>100</v>
      </c>
      <c r="T31" s="1565" t="s">
        <v>8</v>
      </c>
      <c r="U31" s="1566">
        <f>H31</f>
        <v>100</v>
      </c>
      <c r="V31" s="1565" t="s">
        <v>8</v>
      </c>
      <c r="W31" s="1566">
        <f>J31</f>
        <v>100</v>
      </c>
      <c r="X31" s="1567"/>
      <c r="Y31" s="3456"/>
      <c r="Z31" s="2595" t="str">
        <f>Q31</f>
        <v>基础设施水平</v>
      </c>
      <c r="AA31" s="1573">
        <f>D31/F31</f>
        <v>1</v>
      </c>
      <c r="AB31" s="1573">
        <f>D31/H31</f>
        <v>1</v>
      </c>
      <c r="AC31" s="1573">
        <f>D31/J31</f>
        <v>1</v>
      </c>
    </row>
    <row r="32" spans="1:29" s="1217" customFormat="1" ht="20.25" customHeight="1">
      <c r="A32" s="574"/>
      <c r="B32" s="563"/>
      <c r="C32" s="576" t="s">
        <v>3325</v>
      </c>
      <c r="D32" s="554"/>
      <c r="E32" s="2612" t="s">
        <v>3325</v>
      </c>
      <c r="F32" s="552"/>
      <c r="G32" s="2612" t="s">
        <v>3325</v>
      </c>
      <c r="H32" s="552"/>
      <c r="I32" s="2612" t="s">
        <v>3325</v>
      </c>
      <c r="J32" s="552"/>
      <c r="K32" s="528"/>
      <c r="L32" s="2132"/>
      <c r="M32" s="2129"/>
      <c r="N32" s="2129"/>
      <c r="O32" s="2134"/>
      <c r="P32" s="3456"/>
      <c r="Q32" s="2598"/>
      <c r="R32" s="1565"/>
      <c r="S32" s="1566"/>
      <c r="T32" s="1565"/>
      <c r="U32" s="1566"/>
      <c r="V32" s="1565"/>
      <c r="W32" s="1566"/>
      <c r="X32" s="1567"/>
      <c r="Y32" s="3456"/>
      <c r="Z32" s="2595"/>
      <c r="AA32" s="1573">
        <v>1</v>
      </c>
      <c r="AB32" s="1573">
        <v>1</v>
      </c>
      <c r="AC32" s="1573">
        <v>1</v>
      </c>
    </row>
    <row r="33" spans="1:29" ht="20.25">
      <c r="A33" s="529"/>
      <c r="B33" s="563" t="s">
        <v>545</v>
      </c>
      <c r="C33" s="577"/>
      <c r="D33" s="572">
        <v>100</v>
      </c>
      <c r="E33" s="580"/>
      <c r="F33" s="537">
        <f>SUMIF(106:106,E33,107:107)-SUMIF(106:106,C33,107:107)+100</f>
        <v>100</v>
      </c>
      <c r="G33" s="580"/>
      <c r="H33" s="537">
        <f>SUMIF(106:106,G33,107:107)-SUMIF(106:106,C33,107:107)+100</f>
        <v>100</v>
      </c>
      <c r="I33" s="580"/>
      <c r="J33" s="537">
        <f>SUMIF(106:106,I33,107:107)-SUMIF(106:106,C33,107:107)+100</f>
        <v>100</v>
      </c>
      <c r="K33" s="532">
        <v>0</v>
      </c>
      <c r="L33" s="2139"/>
      <c r="M33" s="2129"/>
      <c r="N33" s="2129"/>
      <c r="O33" s="2138"/>
      <c r="P33" s="345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56"/>
      <c r="Z33" s="1572" t="str">
        <f t="shared" ref="Z33:Z47" si="13">Q33</f>
        <v>临街状况</v>
      </c>
      <c r="AA33" s="1573">
        <f t="shared" si="3"/>
        <v>1</v>
      </c>
      <c r="AB33" s="1573">
        <f t="shared" si="4"/>
        <v>1</v>
      </c>
      <c r="AC33" s="1573">
        <f t="shared" si="5"/>
        <v>1</v>
      </c>
    </row>
    <row r="34" spans="1:29" ht="27">
      <c r="A34" s="529"/>
      <c r="B34" s="575" t="s">
        <v>546</v>
      </c>
      <c r="C34" s="559"/>
      <c r="D34" s="560">
        <v>100</v>
      </c>
      <c r="E34" s="561"/>
      <c r="F34" s="556">
        <f>SUMIF(108:108,E35,109:109)-SUMIF(108:108,C35,109:109)+100</f>
        <v>99</v>
      </c>
      <c r="G34" s="561"/>
      <c r="H34" s="556">
        <f>SUMIF(108:108,G35,109:109)-SUMIF(108:108,C35,109:109)+100</f>
        <v>99</v>
      </c>
      <c r="I34" s="561"/>
      <c r="J34" s="556">
        <f>SUMIF(108:108,I35,109:109)-SUMIF(108:108,C35,109:109)+100</f>
        <v>100</v>
      </c>
      <c r="K34" s="532">
        <v>1</v>
      </c>
      <c r="L34" s="2139"/>
      <c r="M34" s="2129"/>
      <c r="N34" s="2129"/>
      <c r="O34" s="2138"/>
      <c r="P34" s="3456"/>
      <c r="Q34" s="1569" t="str">
        <f t="shared" si="8"/>
        <v>毗邻道路的类型与等级</v>
      </c>
      <c r="R34" s="1570" t="s">
        <v>8</v>
      </c>
      <c r="S34" s="1571">
        <f t="shared" si="10"/>
        <v>99</v>
      </c>
      <c r="T34" s="1570" t="s">
        <v>8</v>
      </c>
      <c r="U34" s="1571">
        <f t="shared" si="11"/>
        <v>99</v>
      </c>
      <c r="V34" s="1570" t="s">
        <v>8</v>
      </c>
      <c r="W34" s="1571">
        <f t="shared" si="12"/>
        <v>100</v>
      </c>
      <c r="X34" s="1564"/>
      <c r="Y34" s="3456"/>
      <c r="Z34" s="1572" t="str">
        <f t="shared" si="13"/>
        <v>毗邻道路的类型与等级</v>
      </c>
      <c r="AA34" s="1573">
        <f t="shared" si="3"/>
        <v>1.0101010101010102</v>
      </c>
      <c r="AB34" s="1573">
        <f t="shared" si="4"/>
        <v>1.0101010101010102</v>
      </c>
      <c r="AC34" s="1573">
        <f t="shared" si="5"/>
        <v>1</v>
      </c>
    </row>
    <row r="35" spans="1:29" ht="21" customHeight="1" thickBot="1">
      <c r="A35" s="529"/>
      <c r="B35" s="563"/>
      <c r="C35" s="551" t="s">
        <v>3418</v>
      </c>
      <c r="D35" s="554"/>
      <c r="E35" s="573" t="s">
        <v>3328</v>
      </c>
      <c r="F35" s="552"/>
      <c r="G35" s="573" t="s">
        <v>3328</v>
      </c>
      <c r="H35" s="552"/>
      <c r="I35" s="573" t="s">
        <v>3418</v>
      </c>
      <c r="J35" s="552"/>
      <c r="K35" s="578"/>
      <c r="L35" s="2139"/>
      <c r="M35" s="2129"/>
      <c r="N35" s="2129"/>
      <c r="O35" s="2138"/>
      <c r="P35" s="3456"/>
      <c r="Q35" s="1569"/>
      <c r="R35" s="1570"/>
      <c r="S35" s="1571"/>
      <c r="T35" s="1570"/>
      <c r="U35" s="1571"/>
      <c r="V35" s="1570"/>
      <c r="W35" s="1571"/>
      <c r="X35" s="1564"/>
      <c r="Y35" s="3456"/>
      <c r="Z35" s="1572"/>
      <c r="AA35" s="1573">
        <v>1</v>
      </c>
      <c r="AB35" s="1573">
        <v>1</v>
      </c>
      <c r="AC35" s="1573">
        <v>1</v>
      </c>
    </row>
    <row r="36" spans="1:29" ht="20.25" hidden="1">
      <c r="A36" s="529"/>
      <c r="B36" s="579" t="s">
        <v>547</v>
      </c>
      <c r="C36" s="577"/>
      <c r="D36" s="572">
        <v>100</v>
      </c>
      <c r="E36" s="580"/>
      <c r="F36" s="537">
        <f>SUMIF(110:110,E36,111:111)-SUMIF(110:110,C36,111:111)+100</f>
        <v>100</v>
      </c>
      <c r="G36" s="580"/>
      <c r="H36" s="537">
        <f>SUMIF(110:110,G36,111:111)-SUMIF(110:110,C36,111:111)+100</f>
        <v>100</v>
      </c>
      <c r="I36" s="580"/>
      <c r="J36" s="537">
        <f>SUMIF(110:110,I36,111:111)-SUMIF(110:110,C36,111:111)+100</f>
        <v>100</v>
      </c>
      <c r="K36" s="581">
        <v>10</v>
      </c>
      <c r="L36" s="2139"/>
      <c r="M36" s="2129"/>
      <c r="N36" s="2129"/>
      <c r="O36" s="2138"/>
      <c r="P36" s="3456"/>
      <c r="Q36" s="1569" t="str">
        <f t="shared" si="8"/>
        <v>土地级别</v>
      </c>
      <c r="R36" s="1570" t="s">
        <v>8</v>
      </c>
      <c r="S36" s="1571">
        <f t="shared" si="10"/>
        <v>100</v>
      </c>
      <c r="T36" s="1570" t="s">
        <v>8</v>
      </c>
      <c r="U36" s="1571">
        <f t="shared" si="11"/>
        <v>100</v>
      </c>
      <c r="V36" s="1570" t="s">
        <v>8</v>
      </c>
      <c r="W36" s="1571">
        <f t="shared" si="12"/>
        <v>100</v>
      </c>
      <c r="X36" s="1564"/>
      <c r="Y36" s="3456"/>
      <c r="Z36" s="1572" t="str">
        <f t="shared" si="13"/>
        <v>土地级别</v>
      </c>
      <c r="AA36" s="1573">
        <f t="shared" si="3"/>
        <v>1</v>
      </c>
      <c r="AB36" s="1573">
        <f t="shared" si="4"/>
        <v>1</v>
      </c>
      <c r="AC36" s="1573">
        <f t="shared" si="5"/>
        <v>1</v>
      </c>
    </row>
    <row r="37" spans="1:29" ht="20.25" hidden="1">
      <c r="A37" s="513"/>
      <c r="B37" s="582">
        <v>111</v>
      </c>
      <c r="C37" s="583">
        <v>4</v>
      </c>
      <c r="D37" s="572">
        <v>100</v>
      </c>
      <c r="E37" s="539"/>
      <c r="F37" s="537">
        <f>SUMIF(112:112,E37,113:113)-SUMIF(112:112,C37,113:113)+100</f>
        <v>100</v>
      </c>
      <c r="G37" s="539"/>
      <c r="H37" s="537">
        <f>SUMIF(112:112,G37,113:113)-SUMIF(112:112,C37,113:113)+100</f>
        <v>100</v>
      </c>
      <c r="I37" s="539"/>
      <c r="J37" s="537">
        <f>SUMIF(112:112,I37,113:113)-SUMIF(112:112,C37,113:113)+100</f>
        <v>100</v>
      </c>
      <c r="K37" s="578"/>
      <c r="L37" s="2139"/>
      <c r="M37" s="2129"/>
      <c r="N37" s="2129"/>
      <c r="O37" s="2138"/>
      <c r="P37" s="3456"/>
      <c r="Q37" s="1569">
        <f t="shared" si="8"/>
        <v>111</v>
      </c>
      <c r="R37" s="1570" t="s">
        <v>8</v>
      </c>
      <c r="S37" s="1571">
        <f t="shared" si="10"/>
        <v>100</v>
      </c>
      <c r="T37" s="1570" t="s">
        <v>8</v>
      </c>
      <c r="U37" s="1571">
        <f t="shared" si="11"/>
        <v>100</v>
      </c>
      <c r="V37" s="1570" t="s">
        <v>8</v>
      </c>
      <c r="W37" s="1571">
        <f t="shared" si="12"/>
        <v>100</v>
      </c>
      <c r="X37" s="1564"/>
      <c r="Y37" s="345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39"/>
      <c r="M38" s="2129"/>
      <c r="N38" s="2129"/>
      <c r="O38" s="2138"/>
      <c r="P38" s="3457" t="s">
        <v>548</v>
      </c>
      <c r="Q38" s="1569">
        <f t="shared" si="8"/>
        <v>111</v>
      </c>
      <c r="R38" s="1570" t="s">
        <v>8</v>
      </c>
      <c r="S38" s="1571">
        <f t="shared" si="10"/>
        <v>100</v>
      </c>
      <c r="T38" s="1570" t="s">
        <v>8</v>
      </c>
      <c r="U38" s="1571">
        <f t="shared" si="11"/>
        <v>100</v>
      </c>
      <c r="V38" s="1570" t="s">
        <v>8</v>
      </c>
      <c r="W38" s="1571">
        <f t="shared" si="12"/>
        <v>100</v>
      </c>
      <c r="X38" s="1564"/>
      <c r="Y38" s="3458" t="s">
        <v>548</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37"/>
      <c r="M39" s="2129"/>
      <c r="N39" s="2129"/>
      <c r="O39" s="2140"/>
      <c r="P39" s="3458"/>
      <c r="Q39" s="1569">
        <f t="shared" si="8"/>
        <v>111</v>
      </c>
      <c r="R39" s="1574" t="s">
        <v>8</v>
      </c>
      <c r="S39" s="1575">
        <f t="shared" si="10"/>
        <v>100</v>
      </c>
      <c r="T39" s="1574" t="s">
        <v>8</v>
      </c>
      <c r="U39" s="1575">
        <f t="shared" si="11"/>
        <v>100</v>
      </c>
      <c r="V39" s="1574" t="s">
        <v>8</v>
      </c>
      <c r="W39" s="1575">
        <f t="shared" si="12"/>
        <v>100</v>
      </c>
      <c r="X39" s="1576"/>
      <c r="Y39" s="3458"/>
      <c r="Z39" s="1577">
        <f t="shared" si="13"/>
        <v>111</v>
      </c>
      <c r="AA39" s="1573">
        <f t="shared" si="3"/>
        <v>1</v>
      </c>
      <c r="AB39" s="1573">
        <f t="shared" si="4"/>
        <v>1</v>
      </c>
      <c r="AC39" s="1573">
        <f t="shared" si="5"/>
        <v>1</v>
      </c>
    </row>
    <row r="40" spans="1:29" ht="20.25">
      <c r="A40" s="2929" t="s">
        <v>2756</v>
      </c>
      <c r="B40" s="592" t="s">
        <v>550</v>
      </c>
      <c r="C40" s="593">
        <f>'数据-汇总表'!D3</f>
        <v>72299.64</v>
      </c>
      <c r="D40" s="594">
        <v>100</v>
      </c>
      <c r="E40" s="593">
        <f>Sheet3!G3</f>
        <v>131767.9</v>
      </c>
      <c r="F40" s="594">
        <f>LOOKUP(E40,119:119,120:120)-LOOKUP(C40,119:119,120:120)+100</f>
        <v>101</v>
      </c>
      <c r="G40" s="593">
        <f>Sheet3!G4</f>
        <v>5449.61</v>
      </c>
      <c r="H40" s="594">
        <f>LOOKUP(G40,119:119,120:120)-LOOKUP(C40,119:119,120:120)+100</f>
        <v>99</v>
      </c>
      <c r="I40" s="593">
        <f>Sheet3!G7</f>
        <v>24948.79</v>
      </c>
      <c r="J40" s="594">
        <f>LOOKUP(I40,119:119,120:120)-LOOKUP(C40,119:119,120:120)+100</f>
        <v>99</v>
      </c>
      <c r="K40" s="578"/>
      <c r="L40" s="2139"/>
      <c r="M40" s="2129"/>
      <c r="N40" s="2129"/>
      <c r="O40" s="2138"/>
      <c r="P40" s="3458"/>
      <c r="Q40" s="1569" t="str">
        <f>B40</f>
        <v>宗地面积</v>
      </c>
      <c r="R40" s="1570" t="s">
        <v>8</v>
      </c>
      <c r="S40" s="1571">
        <f t="shared" si="10"/>
        <v>101</v>
      </c>
      <c r="T40" s="1570" t="s">
        <v>8</v>
      </c>
      <c r="U40" s="1571">
        <f t="shared" si="11"/>
        <v>99</v>
      </c>
      <c r="V40" s="1570" t="s">
        <v>8</v>
      </c>
      <c r="W40" s="1571">
        <f t="shared" si="12"/>
        <v>99</v>
      </c>
      <c r="X40" s="1564"/>
      <c r="Y40" s="3458"/>
      <c r="Z40" s="1572" t="str">
        <f t="shared" si="13"/>
        <v>宗地面积</v>
      </c>
      <c r="AA40" s="1573">
        <f t="shared" si="3"/>
        <v>0.99009900990099009</v>
      </c>
      <c r="AB40" s="1573">
        <f t="shared" si="4"/>
        <v>1.0101010101010102</v>
      </c>
      <c r="AC40" s="1573">
        <f t="shared" si="5"/>
        <v>1.0101010101010102</v>
      </c>
    </row>
    <row r="41" spans="1:29" ht="20.25">
      <c r="A41" s="591"/>
      <c r="B41" s="525" t="s">
        <v>551</v>
      </c>
      <c r="C41" s="596" t="s">
        <v>3331</v>
      </c>
      <c r="D41" s="537">
        <v>100</v>
      </c>
      <c r="E41" s="596" t="s">
        <v>3331</v>
      </c>
      <c r="F41" s="537">
        <f>SUMIF(121:121,E41,122:122)-SUMIF(121:121,C41,122:122)+100</f>
        <v>100</v>
      </c>
      <c r="G41" s="596" t="s">
        <v>3331</v>
      </c>
      <c r="H41" s="537">
        <f>SUMIF(121:121,G41,122:122)-SUMIF(121:121,C41,122:122)+100</f>
        <v>100</v>
      </c>
      <c r="I41" s="596" t="s">
        <v>3331</v>
      </c>
      <c r="J41" s="537">
        <f>SUMIF(121:121,I41,122:122)-SUMIF(121:121,C41,122:122)+100</f>
        <v>100</v>
      </c>
      <c r="K41" s="581">
        <v>3</v>
      </c>
      <c r="L41" s="2139"/>
      <c r="M41" s="2129"/>
      <c r="N41" s="2129"/>
      <c r="O41" s="2138"/>
      <c r="P41" s="3458"/>
      <c r="Q41" s="1569" t="str">
        <f t="shared" ref="Q41:Q47" si="14">B41</f>
        <v>宗地形状</v>
      </c>
      <c r="R41" s="1570" t="s">
        <v>8</v>
      </c>
      <c r="S41" s="1571">
        <f t="shared" si="10"/>
        <v>100</v>
      </c>
      <c r="T41" s="1570" t="s">
        <v>8</v>
      </c>
      <c r="U41" s="1571">
        <f t="shared" si="11"/>
        <v>100</v>
      </c>
      <c r="V41" s="1570" t="s">
        <v>8</v>
      </c>
      <c r="W41" s="1571">
        <f t="shared" si="12"/>
        <v>100</v>
      </c>
      <c r="X41" s="1564"/>
      <c r="Y41" s="3458"/>
      <c r="Z41" s="1572" t="str">
        <f t="shared" si="13"/>
        <v>宗地形状</v>
      </c>
      <c r="AA41" s="1573">
        <f t="shared" si="3"/>
        <v>1</v>
      </c>
      <c r="AB41" s="1573">
        <f t="shared" si="4"/>
        <v>1</v>
      </c>
      <c r="AC41" s="1573">
        <f t="shared" si="5"/>
        <v>1</v>
      </c>
    </row>
    <row r="42" spans="1:29" ht="20.25">
      <c r="A42" s="591"/>
      <c r="B42" s="525" t="s">
        <v>552</v>
      </c>
      <c r="C42" s="596" t="s">
        <v>3340</v>
      </c>
      <c r="D42" s="537">
        <v>100</v>
      </c>
      <c r="E42" s="596" t="s">
        <v>3340</v>
      </c>
      <c r="F42" s="537">
        <f>SUMIF(123:123,E42,124:124)-SUMIF(123:123,C42,124:124)+100</f>
        <v>100</v>
      </c>
      <c r="G42" s="596" t="s">
        <v>3340</v>
      </c>
      <c r="H42" s="537">
        <f>SUMIF(123:123,G42,124:124)-SUMIF(123:123,C42,124:124)+100</f>
        <v>100</v>
      </c>
      <c r="I42" s="596" t="s">
        <v>3340</v>
      </c>
      <c r="J42" s="537">
        <f>SUMIF(123:123,I42,124:124)-SUMIF(123:123,C42,124:124)+100</f>
        <v>100</v>
      </c>
      <c r="K42" s="581">
        <v>1</v>
      </c>
      <c r="L42" s="2139"/>
      <c r="M42" s="2129"/>
      <c r="N42" s="2129"/>
      <c r="O42" s="2138"/>
      <c r="P42" s="3458"/>
      <c r="Q42" s="1569" t="str">
        <f t="shared" si="14"/>
        <v>临街宽度及深度</v>
      </c>
      <c r="R42" s="1570" t="s">
        <v>8</v>
      </c>
      <c r="S42" s="1571">
        <f t="shared" si="10"/>
        <v>100</v>
      </c>
      <c r="T42" s="1570" t="s">
        <v>8</v>
      </c>
      <c r="U42" s="1571">
        <f t="shared" si="11"/>
        <v>100</v>
      </c>
      <c r="V42" s="1570" t="s">
        <v>8</v>
      </c>
      <c r="W42" s="1571">
        <f t="shared" si="12"/>
        <v>100</v>
      </c>
      <c r="X42" s="1564"/>
      <c r="Y42" s="3458"/>
      <c r="Z42" s="1572" t="str">
        <f t="shared" si="13"/>
        <v>临街宽度及深度</v>
      </c>
      <c r="AA42" s="1573">
        <f t="shared" si="3"/>
        <v>1</v>
      </c>
      <c r="AB42" s="1573">
        <f t="shared" si="4"/>
        <v>1</v>
      </c>
      <c r="AC42" s="1573">
        <f t="shared" si="5"/>
        <v>1</v>
      </c>
    </row>
    <row r="43" spans="1:29" s="1217" customFormat="1" ht="20.25">
      <c r="A43" s="597"/>
      <c r="B43" s="1892" t="s">
        <v>2423</v>
      </c>
      <c r="C43" s="598" t="s">
        <v>3325</v>
      </c>
      <c r="D43" s="253">
        <v>100</v>
      </c>
      <c r="E43" s="598" t="s">
        <v>3325</v>
      </c>
      <c r="F43" s="537">
        <f>SUMIF(125:125,E43,126:126)-SUMIF(125:125,C43,126:126)+100</f>
        <v>100</v>
      </c>
      <c r="G43" s="598" t="s">
        <v>3325</v>
      </c>
      <c r="H43" s="537">
        <f>SUMIF(125:125,G43,126:126)-SUMIF(125:125,C43,126:126)+100</f>
        <v>100</v>
      </c>
      <c r="I43" s="598" t="s">
        <v>3351</v>
      </c>
      <c r="J43" s="537">
        <f>SUMIF(125:125,I43,126:126)-SUMIF(125:125,C43,126:126)+100</f>
        <v>99</v>
      </c>
      <c r="K43" s="581">
        <v>1</v>
      </c>
      <c r="L43" s="2132"/>
      <c r="M43" s="2129"/>
      <c r="N43" s="2129"/>
      <c r="O43" s="2134"/>
      <c r="P43" s="3458"/>
      <c r="Q43" s="1569" t="str">
        <f t="shared" si="14"/>
        <v>宗地开发程度</v>
      </c>
      <c r="R43" s="1565" t="s">
        <v>8</v>
      </c>
      <c r="S43" s="1566">
        <f t="shared" si="10"/>
        <v>100</v>
      </c>
      <c r="T43" s="1565" t="s">
        <v>8</v>
      </c>
      <c r="U43" s="1566">
        <f t="shared" si="11"/>
        <v>100</v>
      </c>
      <c r="V43" s="1565" t="s">
        <v>8</v>
      </c>
      <c r="W43" s="1566">
        <f t="shared" si="12"/>
        <v>99</v>
      </c>
      <c r="X43" s="1567"/>
      <c r="Y43" s="3458"/>
      <c r="Z43" s="1147" t="str">
        <f t="shared" si="13"/>
        <v>宗地开发程度</v>
      </c>
      <c r="AA43" s="1568">
        <f t="shared" si="3"/>
        <v>1</v>
      </c>
      <c r="AB43" s="1568">
        <f t="shared" si="4"/>
        <v>1</v>
      </c>
      <c r="AC43" s="1568">
        <f t="shared" si="5"/>
        <v>1.0101010101010102</v>
      </c>
    </row>
    <row r="44" spans="1:29" ht="20.25">
      <c r="A44" s="591"/>
      <c r="B44" s="525" t="s">
        <v>553</v>
      </c>
      <c r="C44" s="596" t="s">
        <v>3338</v>
      </c>
      <c r="D44" s="537">
        <v>100</v>
      </c>
      <c r="E44" s="596" t="s">
        <v>3338</v>
      </c>
      <c r="F44" s="537">
        <f>SUMIF(127:127,E44,128:128)-SUMIF(127:127,C44,128:128)+100</f>
        <v>100</v>
      </c>
      <c r="G44" s="596" t="s">
        <v>3338</v>
      </c>
      <c r="H44" s="537">
        <f>SUMIF(127:127,G44,128:128)-SUMIF(127:127,C44,128:128)+100</f>
        <v>100</v>
      </c>
      <c r="I44" s="596" t="s">
        <v>3338</v>
      </c>
      <c r="J44" s="537">
        <f>SUMIF(127:127,I44,128:128)-SUMIF(127:127,C44,128:128)+100</f>
        <v>100</v>
      </c>
      <c r="K44" s="581">
        <v>1</v>
      </c>
      <c r="L44" s="2139"/>
      <c r="M44" s="2129"/>
      <c r="N44" s="2129"/>
      <c r="O44" s="2138"/>
      <c r="P44" s="3458" t="s">
        <v>548</v>
      </c>
      <c r="Q44" s="1569" t="str">
        <f t="shared" si="14"/>
        <v>工程地质条件</v>
      </c>
      <c r="R44" s="1570" t="s">
        <v>8</v>
      </c>
      <c r="S44" s="1571">
        <f t="shared" si="10"/>
        <v>100</v>
      </c>
      <c r="T44" s="1570" t="s">
        <v>8</v>
      </c>
      <c r="U44" s="1571">
        <f t="shared" si="11"/>
        <v>100</v>
      </c>
      <c r="V44" s="1570" t="s">
        <v>8</v>
      </c>
      <c r="W44" s="1571">
        <f t="shared" si="12"/>
        <v>100</v>
      </c>
      <c r="X44" s="1564"/>
      <c r="Y44" s="3458" t="s">
        <v>548</v>
      </c>
      <c r="Z44" s="1572" t="str">
        <f t="shared" si="13"/>
        <v>工程地质条件</v>
      </c>
      <c r="AA44" s="1573">
        <f t="shared" si="3"/>
        <v>1</v>
      </c>
      <c r="AB44" s="1573">
        <f t="shared" si="4"/>
        <v>1</v>
      </c>
      <c r="AC44" s="1573">
        <f t="shared" si="5"/>
        <v>1</v>
      </c>
    </row>
    <row r="45" spans="1:29" ht="21" thickBot="1">
      <c r="A45" s="591"/>
      <c r="B45" s="3175" t="s">
        <v>3352</v>
      </c>
      <c r="C45" s="3176" t="s">
        <v>3542</v>
      </c>
      <c r="D45" s="537">
        <v>100</v>
      </c>
      <c r="E45" s="3176" t="s">
        <v>3354</v>
      </c>
      <c r="F45" s="537">
        <f>SUMIF(129:129,E45,130:130)-SUMIF(129:129,C45,130:130)+100</f>
        <v>99</v>
      </c>
      <c r="G45" s="3176" t="s">
        <v>3354</v>
      </c>
      <c r="H45" s="537">
        <f>SUMIF(129:129,G45,130:130)-SUMIF(129:129,C45,130:130)+100</f>
        <v>99</v>
      </c>
      <c r="I45" s="3176" t="s">
        <v>3354</v>
      </c>
      <c r="J45" s="537">
        <f>SUMIF(129:129,I45,130:130)-SUMIF(129:129,C45,130:130)+100</f>
        <v>99</v>
      </c>
      <c r="K45" s="578"/>
      <c r="L45" s="2139"/>
      <c r="M45" s="2129"/>
      <c r="N45" s="2129"/>
      <c r="O45" s="2138"/>
      <c r="P45" s="3458"/>
      <c r="Q45" s="1569" t="str">
        <f t="shared" si="14"/>
        <v>土地是否平整</v>
      </c>
      <c r="R45" s="1570" t="s">
        <v>8</v>
      </c>
      <c r="S45" s="1571">
        <f t="shared" si="10"/>
        <v>99</v>
      </c>
      <c r="T45" s="1570" t="s">
        <v>8</v>
      </c>
      <c r="U45" s="1571">
        <f t="shared" si="11"/>
        <v>99</v>
      </c>
      <c r="V45" s="1570" t="s">
        <v>8</v>
      </c>
      <c r="W45" s="1571">
        <f t="shared" si="12"/>
        <v>99</v>
      </c>
      <c r="X45" s="1564"/>
      <c r="Y45" s="3458"/>
      <c r="Z45" s="1572" t="str">
        <f t="shared" si="13"/>
        <v>土地是否平整</v>
      </c>
      <c r="AA45" s="1573">
        <f t="shared" si="3"/>
        <v>1.0101010101010102</v>
      </c>
      <c r="AB45" s="1573">
        <f t="shared" si="4"/>
        <v>1.0101010101010102</v>
      </c>
      <c r="AC45" s="1573">
        <f t="shared" si="5"/>
        <v>1.0101010101010102</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458"/>
      <c r="Q46" s="1569">
        <f t="shared" si="14"/>
        <v>111</v>
      </c>
      <c r="R46" s="1570" t="s">
        <v>8</v>
      </c>
      <c r="S46" s="1571">
        <f t="shared" si="10"/>
        <v>100</v>
      </c>
      <c r="T46" s="1570" t="s">
        <v>8</v>
      </c>
      <c r="U46" s="1571">
        <f t="shared" si="11"/>
        <v>100</v>
      </c>
      <c r="V46" s="1570" t="s">
        <v>8</v>
      </c>
      <c r="W46" s="1571">
        <f t="shared" si="12"/>
        <v>100</v>
      </c>
      <c r="X46" s="1564"/>
      <c r="Y46" s="3458"/>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458"/>
      <c r="Q47" s="1569">
        <f t="shared" si="14"/>
        <v>111</v>
      </c>
      <c r="R47" s="1574" t="s">
        <v>8</v>
      </c>
      <c r="S47" s="1575">
        <f t="shared" si="10"/>
        <v>100</v>
      </c>
      <c r="T47" s="1574" t="s">
        <v>8</v>
      </c>
      <c r="U47" s="1575">
        <f t="shared" si="11"/>
        <v>100</v>
      </c>
      <c r="V47" s="1574" t="s">
        <v>8</v>
      </c>
      <c r="W47" s="1575">
        <f t="shared" si="12"/>
        <v>100</v>
      </c>
      <c r="X47" s="1576"/>
      <c r="Y47" s="3458"/>
      <c r="Z47" s="1577">
        <f t="shared" si="13"/>
        <v>111</v>
      </c>
      <c r="AA47" s="1573">
        <f t="shared" si="3"/>
        <v>1</v>
      </c>
      <c r="AB47" s="1573">
        <f t="shared" si="4"/>
        <v>1</v>
      </c>
      <c r="AC47" s="1573">
        <f t="shared" si="5"/>
        <v>1</v>
      </c>
    </row>
    <row r="48" spans="1:29" ht="20.25">
      <c r="A48" s="604" t="s">
        <v>554</v>
      </c>
      <c r="B48" s="605" t="s">
        <v>2980</v>
      </c>
      <c r="C48" s="606" t="s">
        <v>1</v>
      </c>
      <c r="D48" s="607"/>
      <c r="E48" s="608">
        <v>3435</v>
      </c>
      <c r="F48" s="609"/>
      <c r="G48" s="610">
        <v>3154</v>
      </c>
      <c r="H48" s="611"/>
      <c r="I48" s="608">
        <v>3482</v>
      </c>
      <c r="J48" s="611"/>
      <c r="K48" s="1337"/>
      <c r="L48" s="2141"/>
      <c r="M48" s="2129"/>
      <c r="N48" s="2129"/>
      <c r="O48" s="2142"/>
      <c r="P48" s="3421" t="str">
        <f>A48</f>
        <v>成交单价</v>
      </c>
      <c r="Q48" s="3421"/>
      <c r="R48" s="3422">
        <f>E48</f>
        <v>3435</v>
      </c>
      <c r="S48" s="3422"/>
      <c r="T48" s="3422">
        <f>G48</f>
        <v>3154</v>
      </c>
      <c r="U48" s="3422"/>
      <c r="V48" s="3422">
        <f>I48</f>
        <v>3482</v>
      </c>
      <c r="W48" s="3422"/>
      <c r="X48" s="1556"/>
      <c r="Y48" s="1578"/>
      <c r="Z48" s="1556"/>
      <c r="AA48" s="1556"/>
      <c r="AB48" s="1556"/>
      <c r="AC48" s="1556"/>
    </row>
    <row r="49" spans="1:29" ht="21" thickBot="1">
      <c r="A49" s="612" t="s">
        <v>2694</v>
      </c>
      <c r="B49" s="613"/>
      <c r="C49" s="614">
        <f>R50</f>
        <v>3835</v>
      </c>
      <c r="D49" s="615"/>
      <c r="E49" s="614">
        <f>R49</f>
        <v>3979</v>
      </c>
      <c r="F49" s="616"/>
      <c r="G49" s="617">
        <f>T49</f>
        <v>3505</v>
      </c>
      <c r="H49" s="615"/>
      <c r="I49" s="614">
        <f>V49</f>
        <v>4020</v>
      </c>
      <c r="J49" s="615"/>
      <c r="K49" s="1338"/>
      <c r="L49" s="2141"/>
      <c r="M49" s="2129"/>
      <c r="N49" s="2129"/>
      <c r="O49" s="2142"/>
      <c r="P49" s="3421" t="str">
        <f>A49</f>
        <v>比较价格（元/平方米）</v>
      </c>
      <c r="Q49" s="3421"/>
      <c r="R49" s="3423">
        <f>ROUND(PRODUCT(R48,AA9:AA47),0)</f>
        <v>3979</v>
      </c>
      <c r="S49" s="3423"/>
      <c r="T49" s="3423">
        <f>ROUND(PRODUCT(T48,AB9:AB47),0)</f>
        <v>3505</v>
      </c>
      <c r="U49" s="3423"/>
      <c r="V49" s="3423">
        <f>ROUND(PRODUCT(V48,AC9:AC47),0)</f>
        <v>4020</v>
      </c>
      <c r="W49" s="3423"/>
      <c r="X49" s="1556"/>
      <c r="Y49" s="1556"/>
      <c r="Z49" s="1556"/>
      <c r="AA49" s="1556"/>
      <c r="AB49" s="1556"/>
      <c r="AC49" s="1556"/>
    </row>
    <row r="50" spans="1:29" ht="21" thickBot="1">
      <c r="A50" s="618" t="s">
        <v>2937</v>
      </c>
      <c r="B50" s="619"/>
      <c r="C50" s="620">
        <f>R50</f>
        <v>3835</v>
      </c>
      <c r="D50" s="620"/>
      <c r="E50" s="620"/>
      <c r="F50" s="620"/>
      <c r="G50" s="620"/>
      <c r="H50" s="620"/>
      <c r="I50" s="620"/>
      <c r="J50" s="620"/>
      <c r="K50" s="1339"/>
      <c r="L50" s="2141"/>
      <c r="M50" s="2129"/>
      <c r="N50" s="2129"/>
      <c r="O50" s="2142"/>
      <c r="P50" s="3418" t="str">
        <f>A50</f>
        <v>估价对象XX用房的比较价格（楼面单价，元/平方米）</v>
      </c>
      <c r="Q50" s="3419"/>
      <c r="R50" s="3420">
        <f>ROUND(AVERAGE(R49:V49),0)</f>
        <v>3835</v>
      </c>
      <c r="S50" s="3420"/>
      <c r="T50" s="3420"/>
      <c r="U50" s="3420"/>
      <c r="V50" s="3420"/>
      <c r="W50" s="3420"/>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1" t="s">
        <v>555</v>
      </c>
      <c r="D53" s="622"/>
      <c r="E53" s="623">
        <f>IF(E48&lt;E49,E49/E48-1,E48/E49-1)</f>
        <v>0.15836972343522571</v>
      </c>
      <c r="F53" s="624" t="str">
        <f>IF(OR(E53&gt;=0.3,E53&lt;=-0.3),"超过30%","")</f>
        <v/>
      </c>
      <c r="G53" s="623">
        <f>IF(G48&lt;G49,G49/G48-1,G48/G49-1)</f>
        <v>0.11128725428027897</v>
      </c>
      <c r="H53" s="624" t="str">
        <f>IF(OR(G53&gt;=0.3,G53&lt;=-0.3),"超过30%","")</f>
        <v/>
      </c>
      <c r="I53" s="623">
        <f>IF(I48&lt;I49,I49/I48-1,I48/I49-1)</f>
        <v>0.15450890292935093</v>
      </c>
      <c r="J53" s="624"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1" t="s">
        <v>556</v>
      </c>
      <c r="D54" s="625"/>
      <c r="E54" s="623">
        <f>IF(E49&lt;G49,G49/E49-1,E49/G49-1)</f>
        <v>0.13523537803138375</v>
      </c>
      <c r="F54" s="624" t="str">
        <f>IF(OR(E54&gt;=0.2,E54&lt;=-0.2),"超过20%","")</f>
        <v/>
      </c>
      <c r="G54" s="623">
        <f>IF(G49&lt;I49,I49/G49-1,G49/I49-1)</f>
        <v>0.14693295292439368</v>
      </c>
      <c r="H54" s="624" t="str">
        <f>IF(OR(G54&gt;=0.2,G54&lt;=-0.2),"超过20%","")</f>
        <v/>
      </c>
      <c r="I54" s="623">
        <f>IF(I49&lt;E49,E49/I49-1,I49/E49-1)</f>
        <v>1.0304096506659866E-2</v>
      </c>
      <c r="J54" s="624"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2" customFormat="1" ht="13.5" customHeight="1">
      <c r="A55" s="2143"/>
      <c r="B55" s="2143"/>
      <c r="C55" s="621" t="s">
        <v>557</v>
      </c>
      <c r="D55" s="625"/>
      <c r="E55" s="623">
        <f>IF(E48&lt;G48,G48/E48-1,E48/G48-1)</f>
        <v>8.9093214965123568E-2</v>
      </c>
      <c r="F55" s="624" t="str">
        <f>IF(OR(E55&gt;=0.3,E55&lt;=-0.3),"超过30%","")</f>
        <v/>
      </c>
      <c r="G55" s="623">
        <f>IF(G48&lt;I48,I48/G48-1,G48/I48-1)</f>
        <v>0.10399492707672797</v>
      </c>
      <c r="H55" s="624" t="str">
        <f>IF(OR(G55&gt;=0.3,G55&lt;=-0.3),"超过30%","")</f>
        <v/>
      </c>
      <c r="I55" s="623">
        <f>IF(I48&lt;E48,E48/I48-1,I48/E48-1)</f>
        <v>1.3682678311499163E-2</v>
      </c>
      <c r="J55" s="624"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6" t="s">
        <v>558</v>
      </c>
      <c r="B57" s="627" t="s">
        <v>559</v>
      </c>
      <c r="C57" s="1557" t="s">
        <v>3397</v>
      </c>
      <c r="D57" s="2224" t="s">
        <v>2291</v>
      </c>
      <c r="E57" s="628" t="s">
        <v>560</v>
      </c>
      <c r="F57" s="629" t="s">
        <v>561</v>
      </c>
      <c r="G57" s="3447" t="s">
        <v>2279</v>
      </c>
      <c r="H57" s="3448"/>
      <c r="I57" s="1552" t="s">
        <v>1718</v>
      </c>
      <c r="J57" s="1552">
        <f>项目基本情况!F41</f>
        <v>0</v>
      </c>
      <c r="K57" s="2151" t="s">
        <v>1719</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562</v>
      </c>
      <c r="B58" s="631">
        <f>C50</f>
        <v>3835</v>
      </c>
      <c r="C58" s="632">
        <v>1</v>
      </c>
      <c r="D58" s="2225">
        <v>1</v>
      </c>
      <c r="E58" s="632">
        <f>'数据-汇总表'!E8+'数据-汇总表'!E9</f>
        <v>241349.54</v>
      </c>
      <c r="F58" s="633">
        <f t="shared" ref="F58:F67" si="15">ROUND(B58*E58/10000,0)</f>
        <v>92558</v>
      </c>
      <c r="G58" s="3449"/>
      <c r="H58" s="3450"/>
      <c r="I58" s="1553">
        <v>1</v>
      </c>
      <c r="J58" s="1553">
        <v>1</v>
      </c>
      <c r="K58" s="2152" t="s">
        <v>3420</v>
      </c>
      <c r="L58" s="3209">
        <v>1927</v>
      </c>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563</v>
      </c>
      <c r="B59" s="635">
        <f>ROUND($L$58*C59*D59,0)</f>
        <v>964</v>
      </c>
      <c r="C59" s="376">
        <f t="shared" ref="C59:C67" si="16">IF($C$57="北京市系数",I59,J59)</f>
        <v>0.5</v>
      </c>
      <c r="D59" s="2226">
        <v>1</v>
      </c>
      <c r="E59" s="636">
        <f>'数据-基础表'!K13</f>
        <v>7678.2</v>
      </c>
      <c r="F59" s="633">
        <f t="shared" si="15"/>
        <v>740</v>
      </c>
      <c r="G59" s="3451" t="s">
        <v>2280</v>
      </c>
      <c r="H59" s="1945">
        <f>项目基本情况!B43</f>
        <v>0</v>
      </c>
      <c r="I59" s="1553">
        <f>SUMIF(修正!$A$45:$A$56,H59,修正!B45:B56)</f>
        <v>0</v>
      </c>
      <c r="J59" s="1555">
        <v>0.5</v>
      </c>
      <c r="K59" s="3208" t="s">
        <v>3421</v>
      </c>
      <c r="L59" s="3210"/>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564</v>
      </c>
      <c r="B60" s="635">
        <f t="shared" ref="B60:B63" si="17">ROUND($L$58*C60*D60,0)</f>
        <v>0</v>
      </c>
      <c r="C60" s="376">
        <f t="shared" si="16"/>
        <v>0</v>
      </c>
      <c r="D60" s="2226">
        <v>1</v>
      </c>
      <c r="E60" s="636">
        <v>0</v>
      </c>
      <c r="F60" s="633">
        <f t="shared" si="15"/>
        <v>0</v>
      </c>
      <c r="G60" s="3451"/>
      <c r="H60" s="1945">
        <f>项目基本情况!B43</f>
        <v>0</v>
      </c>
      <c r="I60" s="1553">
        <f>SUMIF(修正!$A$45:$A$56,H60,修正!C45:C56)</f>
        <v>0</v>
      </c>
      <c r="J60" s="1555"/>
      <c r="K60" s="2152"/>
      <c r="L60" s="3210"/>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565</v>
      </c>
      <c r="B61" s="635">
        <f t="shared" si="17"/>
        <v>0</v>
      </c>
      <c r="C61" s="376">
        <f t="shared" si="16"/>
        <v>0</v>
      </c>
      <c r="D61" s="2226">
        <v>1</v>
      </c>
      <c r="E61" s="636">
        <v>0</v>
      </c>
      <c r="F61" s="633">
        <f t="shared" si="15"/>
        <v>0</v>
      </c>
      <c r="G61" s="3451"/>
      <c r="H61" s="1945">
        <f>项目基本情况!B43</f>
        <v>0</v>
      </c>
      <c r="I61" s="1553">
        <f>SUMIF(修正!$A$45:$A$56,H61,修正!D45:D56)</f>
        <v>0</v>
      </c>
      <c r="J61" s="1555"/>
      <c r="K61" s="2152"/>
      <c r="L61" s="3210"/>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566</v>
      </c>
      <c r="B62" s="635">
        <f t="shared" si="17"/>
        <v>0</v>
      </c>
      <c r="C62" s="376">
        <f t="shared" si="16"/>
        <v>0</v>
      </c>
      <c r="D62" s="2226">
        <v>1</v>
      </c>
      <c r="E62" s="636">
        <v>0</v>
      </c>
      <c r="F62" s="633">
        <f t="shared" si="15"/>
        <v>0</v>
      </c>
      <c r="G62" s="3451"/>
      <c r="H62" s="1945">
        <f>项目基本情况!B43</f>
        <v>0</v>
      </c>
      <c r="I62" s="1553">
        <f>SUMIF(修正!$A$45:$A$56,H62,修正!E45:E56)</f>
        <v>0</v>
      </c>
      <c r="J62" s="1555"/>
      <c r="K62" s="2152"/>
      <c r="L62" s="3210"/>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2326</v>
      </c>
      <c r="B63" s="635">
        <f t="shared" si="17"/>
        <v>964</v>
      </c>
      <c r="C63" s="376">
        <f t="shared" si="16"/>
        <v>0.5</v>
      </c>
      <c r="D63" s="2226">
        <v>1</v>
      </c>
      <c r="E63" s="638">
        <f>'数据-汇总表'!E11</f>
        <v>0</v>
      </c>
      <c r="F63" s="633">
        <f t="shared" si="15"/>
        <v>0</v>
      </c>
      <c r="G63" s="1942" t="s">
        <v>2281</v>
      </c>
      <c r="H63" s="1945">
        <f>项目基本情况!C43</f>
        <v>0</v>
      </c>
      <c r="I63" s="1553">
        <f>SUMIF(修正!$A$45:$A$56,H63,修正!F45:F56)</f>
        <v>0</v>
      </c>
      <c r="J63" s="1555">
        <v>0.5</v>
      </c>
      <c r="K63" s="2152"/>
      <c r="L63" s="3210"/>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567</v>
      </c>
      <c r="B64" s="635">
        <f t="shared" ref="B64:B67" si="18">ROUND($C$50*C64*D64,0)</f>
        <v>0</v>
      </c>
      <c r="C64" s="376">
        <f t="shared" si="16"/>
        <v>0</v>
      </c>
      <c r="D64" s="2226">
        <v>0.25</v>
      </c>
      <c r="E64" s="638">
        <f>'数据-汇总表'!E12</f>
        <v>0</v>
      </c>
      <c r="F64" s="633">
        <f t="shared" si="15"/>
        <v>0</v>
      </c>
      <c r="G64" s="1943" t="s">
        <v>1673</v>
      </c>
      <c r="H64" s="1941">
        <f>IF(G64="商业",项目基本情况!B43,IF(G64="办公",项目基本情况!C43,IF(G64="住宅",项目基本情况!D43,项目基本情况!E43)))</f>
        <v>0</v>
      </c>
      <c r="I64" s="1553">
        <f>SUMIF(修正!$A$45:$A$56,H64,修正!G45:G56)</f>
        <v>0</v>
      </c>
      <c r="J64" s="1555"/>
      <c r="K64" s="2152"/>
      <c r="L64" s="3210"/>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568</v>
      </c>
      <c r="B65" s="635">
        <f t="shared" si="18"/>
        <v>0</v>
      </c>
      <c r="C65" s="376">
        <f t="shared" si="16"/>
        <v>0</v>
      </c>
      <c r="D65" s="2226">
        <v>0.25</v>
      </c>
      <c r="E65" s="638">
        <f>'数据-汇总表'!E13</f>
        <v>0</v>
      </c>
      <c r="F65" s="633">
        <f t="shared" si="15"/>
        <v>0</v>
      </c>
      <c r="G65" s="1943" t="s">
        <v>918</v>
      </c>
      <c r="H65" s="1941">
        <f>IF(G65="商业",项目基本情况!B43,IF(G65="办公",项目基本情况!C43,IF(G65="住宅",项目基本情况!D43,项目基本情况!E43)))</f>
        <v>0</v>
      </c>
      <c r="I65" s="1553">
        <f>SUMIF(修正!$A$45:$A$56,H65,修正!H45:H56)</f>
        <v>0</v>
      </c>
      <c r="J65" s="1555"/>
      <c r="K65" s="2152"/>
      <c r="L65" s="3210"/>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569</v>
      </c>
      <c r="B66" s="635">
        <f t="shared" si="18"/>
        <v>0</v>
      </c>
      <c r="C66" s="376">
        <f t="shared" si="16"/>
        <v>0</v>
      </c>
      <c r="D66" s="2226">
        <v>0.25</v>
      </c>
      <c r="E66" s="638">
        <f>'数据-汇总表'!E14</f>
        <v>0</v>
      </c>
      <c r="F66" s="633">
        <f t="shared" si="15"/>
        <v>0</v>
      </c>
      <c r="G66" s="1942" t="s">
        <v>2280</v>
      </c>
      <c r="H66" s="1945">
        <f>项目基本情况!B43</f>
        <v>0</v>
      </c>
      <c r="I66" s="1553">
        <f>SUMIF(修正!$A$45:$A$56,H66,修正!H45:H56)</f>
        <v>0</v>
      </c>
      <c r="J66" s="1555"/>
      <c r="K66" s="2152"/>
      <c r="L66" s="3210"/>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570</v>
      </c>
      <c r="B67" s="635">
        <f t="shared" si="18"/>
        <v>0</v>
      </c>
      <c r="C67" s="376">
        <f t="shared" si="16"/>
        <v>0</v>
      </c>
      <c r="D67" s="2226">
        <v>0.25</v>
      </c>
      <c r="E67" s="638">
        <f>'数据-汇总表'!E15</f>
        <v>0</v>
      </c>
      <c r="F67" s="633">
        <f t="shared" si="15"/>
        <v>0</v>
      </c>
      <c r="G67" s="1944" t="s">
        <v>2281</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571</v>
      </c>
      <c r="B68" s="640" t="s">
        <v>17</v>
      </c>
      <c r="C68" s="640" t="s">
        <v>18</v>
      </c>
      <c r="D68" s="640" t="s">
        <v>2292</v>
      </c>
      <c r="E68" s="640">
        <f>IF(B48="楼面地价",SUM(E58:E67),'数据-汇总表'!D3)</f>
        <v>249027.74000000002</v>
      </c>
      <c r="F68" s="641">
        <f>IF(B48="楼面地价",SUM(F58:F67),ROUND(C50*E68/10000,0))</f>
        <v>93298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2018-1-1</v>
      </c>
      <c r="D70" s="2821">
        <f>EDATE(C70,-3)</f>
        <v>43009</v>
      </c>
      <c r="E70" s="2821">
        <f t="shared" ref="E70:N70" si="19">EDATE(D70,-3)</f>
        <v>42917</v>
      </c>
      <c r="F70" s="2821">
        <f t="shared" si="19"/>
        <v>42826</v>
      </c>
      <c r="G70" s="2821">
        <f t="shared" si="19"/>
        <v>42736</v>
      </c>
      <c r="H70" s="2821">
        <f t="shared" si="19"/>
        <v>42644</v>
      </c>
      <c r="I70" s="2821">
        <f t="shared" si="19"/>
        <v>42552</v>
      </c>
      <c r="J70" s="2821">
        <f t="shared" si="19"/>
        <v>42461</v>
      </c>
      <c r="K70" s="2821">
        <f t="shared" si="19"/>
        <v>42370</v>
      </c>
      <c r="L70" s="2821">
        <f t="shared" si="19"/>
        <v>42278</v>
      </c>
      <c r="M70" s="2821">
        <f t="shared" si="19"/>
        <v>42186</v>
      </c>
      <c r="N70" s="2821">
        <f t="shared" si="19"/>
        <v>42095</v>
      </c>
      <c r="O70" s="2142"/>
      <c r="P70" s="2142"/>
      <c r="Q70" s="2142"/>
      <c r="R70" s="2142"/>
      <c r="S70" s="2142"/>
      <c r="T70" s="2142"/>
      <c r="U70" s="2142"/>
      <c r="V70" s="2142"/>
      <c r="W70" s="2142"/>
      <c r="X70" s="2142"/>
      <c r="Y70" s="2142"/>
      <c r="Z70" s="2142"/>
      <c r="AA70" s="2142"/>
      <c r="AB70" s="2142"/>
      <c r="AC70" s="2142"/>
    </row>
    <row r="71" spans="1:29" ht="21.75" thickBot="1">
      <c r="A71" s="1581" t="s">
        <v>572</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4" customFormat="1" ht="15">
      <c r="A72" s="2588" t="s">
        <v>2531</v>
      </c>
      <c r="B72" s="2589"/>
      <c r="C72" s="2816" t="str">
        <f>YEAR(C70)&amp;"-"&amp;ROUNDUP(MONTH(C70)/3,0)</f>
        <v>2018-1</v>
      </c>
      <c r="D72" s="2823" t="str">
        <f>YEAR(D70)&amp;"-"&amp;ROUNDUP(MONTH(D70)/3,0)</f>
        <v>2017-4</v>
      </c>
      <c r="E72" s="2823" t="str">
        <f t="shared" ref="E72:N72" si="20">YEAR(E70)&amp;"-"&amp;ROUNDUP(MONTH(E70)/3,0)</f>
        <v>2017-3</v>
      </c>
      <c r="F72" s="2823" t="str">
        <f t="shared" si="20"/>
        <v>2017-2</v>
      </c>
      <c r="G72" s="2823" t="str">
        <f t="shared" si="20"/>
        <v>2017-1</v>
      </c>
      <c r="H72" s="2823" t="str">
        <f t="shared" si="20"/>
        <v>2016-4</v>
      </c>
      <c r="I72" s="2823" t="str">
        <f t="shared" si="20"/>
        <v>2016-3</v>
      </c>
      <c r="J72" s="2823" t="str">
        <f t="shared" si="20"/>
        <v>2016-2</v>
      </c>
      <c r="K72" s="2823" t="str">
        <f t="shared" si="20"/>
        <v>2016-1</v>
      </c>
      <c r="L72" s="2823" t="str">
        <f t="shared" si="20"/>
        <v>2015-4</v>
      </c>
      <c r="M72" s="2823" t="str">
        <f t="shared" si="20"/>
        <v>2015-3</v>
      </c>
      <c r="N72" s="2823" t="str">
        <f t="shared" si="20"/>
        <v>2015-2</v>
      </c>
      <c r="O72" s="2156"/>
      <c r="P72" s="2157"/>
      <c r="Q72" s="2158"/>
      <c r="R72" s="2158"/>
      <c r="S72" s="2158"/>
      <c r="T72" s="2158"/>
      <c r="U72" s="2158"/>
      <c r="V72" s="2158"/>
      <c r="W72" s="2158"/>
      <c r="X72" s="2158"/>
      <c r="Y72" s="2158"/>
      <c r="Z72" s="2158"/>
      <c r="AA72" s="2158"/>
      <c r="AB72" s="2158"/>
      <c r="AC72" s="2158"/>
    </row>
    <row r="73" spans="1:29" s="1217" customFormat="1" ht="27" customHeight="1">
      <c r="A73" s="2828" t="s">
        <v>2648</v>
      </c>
      <c r="B73" s="477"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727">
        <v>88</v>
      </c>
      <c r="P73" s="727">
        <v>87</v>
      </c>
      <c r="Q73" s="1990"/>
      <c r="R73" s="1990"/>
      <c r="S73" s="1990"/>
      <c r="T73" s="1990"/>
      <c r="U73" s="1990"/>
      <c r="V73" s="1990"/>
      <c r="W73" s="1990"/>
      <c r="X73" s="1990"/>
      <c r="Y73" s="1990"/>
      <c r="Z73" s="1990"/>
      <c r="AA73" s="1990"/>
      <c r="AB73" s="1990"/>
      <c r="AC73" s="1990"/>
    </row>
    <row r="74" spans="1:29" s="1217" customFormat="1" ht="15" customHeight="1" thickBot="1">
      <c r="A74" s="2818" t="s">
        <v>2647</v>
      </c>
      <c r="B74" s="2827"/>
      <c r="C74" s="2812"/>
      <c r="D74" s="2813">
        <v>0.73</v>
      </c>
      <c r="E74" s="2813">
        <v>0.73</v>
      </c>
      <c r="F74" s="653">
        <v>0.82</v>
      </c>
      <c r="G74" s="653">
        <v>2.16</v>
      </c>
      <c r="H74" s="653">
        <v>1.99</v>
      </c>
      <c r="I74" s="653">
        <v>0.56000000000000005</v>
      </c>
      <c r="J74" s="653">
        <v>0.6</v>
      </c>
      <c r="K74" s="653">
        <v>0.33</v>
      </c>
      <c r="L74" s="653">
        <v>0.63</v>
      </c>
      <c r="M74" s="653">
        <v>0.68</v>
      </c>
      <c r="N74" s="653">
        <v>0.98</v>
      </c>
      <c r="O74" s="654">
        <v>0.47</v>
      </c>
      <c r="P74" s="2155"/>
      <c r="Q74" s="2155"/>
      <c r="R74" s="1990"/>
      <c r="S74" s="1990"/>
      <c r="T74" s="1990"/>
      <c r="U74" s="1990"/>
      <c r="V74" s="1990"/>
      <c r="W74" s="1990"/>
      <c r="X74" s="1990"/>
      <c r="Y74" s="1990"/>
      <c r="Z74" s="1990"/>
      <c r="AA74" s="1990"/>
      <c r="AB74" s="1990"/>
      <c r="AC74" s="1990"/>
    </row>
    <row r="75" spans="1:29" s="1217" customFormat="1" ht="15">
      <c r="A75" s="656" t="s">
        <v>529</v>
      </c>
      <c r="B75" s="645"/>
      <c r="C75" s="657" t="s">
        <v>574</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575</v>
      </c>
      <c r="B77" s="662" t="s">
        <v>532</v>
      </c>
      <c r="C77" s="3171" t="s">
        <v>3341</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535</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536</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5（含）-6</v>
      </c>
      <c r="I81" s="679" t="str">
        <f t="shared" si="21"/>
        <v>6（含）-7</v>
      </c>
      <c r="J81" s="679" t="str">
        <f t="shared" si="21"/>
        <v>7（含）-8</v>
      </c>
      <c r="K81" s="679" t="str">
        <f t="shared" si="21"/>
        <v>8（含）-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1</v>
      </c>
      <c r="E82" s="538">
        <v>2</v>
      </c>
      <c r="F82" s="538">
        <v>3</v>
      </c>
      <c r="G82" s="538">
        <v>4</v>
      </c>
      <c r="H82" s="538">
        <v>5</v>
      </c>
      <c r="I82" s="538">
        <v>6</v>
      </c>
      <c r="J82" s="538">
        <v>7</v>
      </c>
      <c r="K82" s="538">
        <v>8</v>
      </c>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95</v>
      </c>
      <c r="E83" s="676">
        <f t="shared" ref="E83:M83" si="22">IF($B$48="单位面积地价",D83+$K13,D83-$K13)</f>
        <v>90</v>
      </c>
      <c r="F83" s="676">
        <f t="shared" si="22"/>
        <v>85</v>
      </c>
      <c r="G83" s="676">
        <f t="shared" si="22"/>
        <v>80</v>
      </c>
      <c r="H83" s="676">
        <f t="shared" si="22"/>
        <v>75</v>
      </c>
      <c r="I83" s="676">
        <f t="shared" si="22"/>
        <v>70</v>
      </c>
      <c r="J83" s="676">
        <f t="shared" si="22"/>
        <v>65</v>
      </c>
      <c r="K83" s="676">
        <f t="shared" si="22"/>
        <v>60</v>
      </c>
      <c r="L83" s="676">
        <f t="shared" si="22"/>
        <v>55</v>
      </c>
      <c r="M83" s="676">
        <f t="shared" si="22"/>
        <v>50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3169" t="s">
        <v>3546</v>
      </c>
      <c r="D84" s="1373" t="s">
        <v>3547</v>
      </c>
      <c r="E84" s="3169" t="s">
        <v>3548</v>
      </c>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v>100</v>
      </c>
      <c r="D85" s="668">
        <v>90</v>
      </c>
      <c r="E85" s="668">
        <v>80</v>
      </c>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537</v>
      </c>
      <c r="B90" s="662" t="s">
        <v>576</v>
      </c>
      <c r="C90" s="700" t="s">
        <v>577</v>
      </c>
      <c r="D90" s="700" t="s">
        <v>578</v>
      </c>
      <c r="E90" s="700" t="s">
        <v>579</v>
      </c>
      <c r="F90" s="700" t="s">
        <v>580</v>
      </c>
      <c r="G90" s="700" t="s">
        <v>581</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97</v>
      </c>
      <c r="E91" s="676">
        <f>D91-$K17</f>
        <v>94</v>
      </c>
      <c r="F91" s="676">
        <f>E91-$K17</f>
        <v>91</v>
      </c>
      <c r="G91" s="676">
        <f>F91-$K17</f>
        <v>88</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582</v>
      </c>
      <c r="C92" s="705" t="s">
        <v>577</v>
      </c>
      <c r="D92" s="705" t="s">
        <v>578</v>
      </c>
      <c r="E92" s="705" t="s">
        <v>579</v>
      </c>
      <c r="F92" s="705" t="s">
        <v>580</v>
      </c>
      <c r="G92" s="705" t="s">
        <v>581</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97</v>
      </c>
      <c r="E93" s="676">
        <f>D93-$K19</f>
        <v>94</v>
      </c>
      <c r="F93" s="676">
        <f>E93-$K19</f>
        <v>91</v>
      </c>
      <c r="G93" s="676">
        <f>F93-$K19</f>
        <v>88</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583</v>
      </c>
      <c r="C94" s="705" t="s">
        <v>577</v>
      </c>
      <c r="D94" s="705" t="s">
        <v>578</v>
      </c>
      <c r="E94" s="705" t="s">
        <v>579</v>
      </c>
      <c r="F94" s="705" t="s">
        <v>580</v>
      </c>
      <c r="G94" s="705" t="s">
        <v>581</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584</v>
      </c>
      <c r="C96" s="705" t="s">
        <v>577</v>
      </c>
      <c r="D96" s="705" t="s">
        <v>578</v>
      </c>
      <c r="E96" s="705" t="s">
        <v>579</v>
      </c>
      <c r="F96" s="705" t="s">
        <v>580</v>
      </c>
      <c r="G96" s="705" t="s">
        <v>581</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97</v>
      </c>
      <c r="E97" s="676">
        <f>D97-$K23</f>
        <v>94</v>
      </c>
      <c r="F97" s="676">
        <f>E97-$K23</f>
        <v>91</v>
      </c>
      <c r="G97" s="676">
        <f>F97-$K23</f>
        <v>88</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585</v>
      </c>
      <c r="C98" s="705" t="s">
        <v>577</v>
      </c>
      <c r="D98" s="705" t="s">
        <v>578</v>
      </c>
      <c r="E98" s="705" t="s">
        <v>579</v>
      </c>
      <c r="F98" s="705" t="s">
        <v>580</v>
      </c>
      <c r="G98" s="705" t="s">
        <v>581</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586</v>
      </c>
      <c r="C100" s="700" t="s">
        <v>577</v>
      </c>
      <c r="D100" s="700" t="s">
        <v>578</v>
      </c>
      <c r="E100" s="700" t="s">
        <v>579</v>
      </c>
      <c r="F100" s="700" t="s">
        <v>580</v>
      </c>
      <c r="G100" s="700" t="s">
        <v>581</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2547</v>
      </c>
      <c r="C102" s="700" t="s">
        <v>577</v>
      </c>
      <c r="D102" s="700" t="s">
        <v>578</v>
      </c>
      <c r="E102" s="700" t="s">
        <v>579</v>
      </c>
      <c r="F102" s="700" t="s">
        <v>580</v>
      </c>
      <c r="G102" s="700" t="s">
        <v>581</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7" t="s">
        <v>2549</v>
      </c>
      <c r="C104" s="2618" t="s">
        <v>2550</v>
      </c>
      <c r="D104" s="2618" t="s">
        <v>2551</v>
      </c>
      <c r="E104" s="2618" t="s">
        <v>2552</v>
      </c>
      <c r="F104" s="2618" t="s">
        <v>2553</v>
      </c>
      <c r="G104" s="2618" t="s">
        <v>2554</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0"/>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587</v>
      </c>
      <c r="D106" s="671" t="s">
        <v>588</v>
      </c>
      <c r="E106" s="671" t="s">
        <v>589</v>
      </c>
      <c r="F106" s="671" t="s">
        <v>590</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546</v>
      </c>
      <c r="C108" s="3169" t="s">
        <v>3417</v>
      </c>
      <c r="D108" s="3169" t="s">
        <v>3416</v>
      </c>
      <c r="E108" s="3169" t="s">
        <v>3326</v>
      </c>
      <c r="F108" s="3169" t="s">
        <v>3327</v>
      </c>
      <c r="G108" s="3169" t="s">
        <v>3329</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547</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90</v>
      </c>
      <c r="E111" s="676">
        <f t="shared" ref="E111:M111" si="25">D111-$K36</f>
        <v>80</v>
      </c>
      <c r="F111" s="676">
        <f t="shared" si="25"/>
        <v>70</v>
      </c>
      <c r="G111" s="676">
        <f t="shared" si="25"/>
        <v>60</v>
      </c>
      <c r="H111" s="676">
        <f t="shared" si="25"/>
        <v>50</v>
      </c>
      <c r="I111" s="676">
        <f t="shared" si="25"/>
        <v>40</v>
      </c>
      <c r="J111" s="676">
        <f t="shared" si="25"/>
        <v>30</v>
      </c>
      <c r="K111" s="676">
        <f t="shared" si="25"/>
        <v>20</v>
      </c>
      <c r="L111" s="676">
        <f t="shared" si="25"/>
        <v>10</v>
      </c>
      <c r="M111" s="676">
        <f t="shared" si="25"/>
        <v>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549</v>
      </c>
      <c r="B118" s="662" t="s">
        <v>591</v>
      </c>
      <c r="C118" s="701" t="str">
        <f t="shared" ref="C118:L118" si="26">C119&amp;"(含)"&amp;"-"&amp;D119</f>
        <v>0(含)-50000</v>
      </c>
      <c r="D118" s="701" t="str">
        <f t="shared" si="26"/>
        <v>50000(含)-100000</v>
      </c>
      <c r="E118" s="701" t="str">
        <f t="shared" si="26"/>
        <v>100000(含)-150000</v>
      </c>
      <c r="F118" s="701" t="str">
        <f t="shared" si="26"/>
        <v>150000(含)-200000</v>
      </c>
      <c r="G118" s="701" t="str">
        <f t="shared" si="26"/>
        <v>200000(含)-250000</v>
      </c>
      <c r="H118" s="701" t="str">
        <f t="shared" si="26"/>
        <v>250000(含)-300000</v>
      </c>
      <c r="I118" s="701" t="str">
        <f t="shared" si="26"/>
        <v>300000(含)-350000</v>
      </c>
      <c r="J118" s="3115" t="str">
        <f t="shared" si="26"/>
        <v>350000(含)-400000</v>
      </c>
      <c r="K118" s="3115" t="str">
        <f t="shared" si="26"/>
        <v>400000(含)-</v>
      </c>
      <c r="L118" s="3116" t="str">
        <f t="shared" si="26"/>
        <v>(含)-</v>
      </c>
      <c r="M118" s="311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150000</v>
      </c>
      <c r="G119" s="727">
        <v>200000</v>
      </c>
      <c r="H119" s="727">
        <v>250000</v>
      </c>
      <c r="I119" s="727">
        <v>300000</v>
      </c>
      <c r="J119" s="727">
        <v>350000</v>
      </c>
      <c r="K119" s="727">
        <v>400000</v>
      </c>
      <c r="L119" s="2364"/>
      <c r="M119" s="2365"/>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697">
        <v>102</v>
      </c>
      <c r="F120" s="723">
        <v>103</v>
      </c>
      <c r="G120" s="697">
        <v>104</v>
      </c>
      <c r="H120" s="723">
        <v>105</v>
      </c>
      <c r="I120" s="697">
        <v>106</v>
      </c>
      <c r="J120" s="723">
        <v>107</v>
      </c>
      <c r="K120" s="697">
        <v>108</v>
      </c>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592</v>
      </c>
      <c r="C121" s="3170" t="s">
        <v>3330</v>
      </c>
      <c r="D121" s="3170" t="s">
        <v>3331</v>
      </c>
      <c r="E121" s="715" t="s">
        <v>3332</v>
      </c>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97</v>
      </c>
      <c r="E122" s="676">
        <f t="shared" si="27"/>
        <v>94</v>
      </c>
      <c r="F122" s="676">
        <f t="shared" si="27"/>
        <v>91</v>
      </c>
      <c r="G122" s="676">
        <f t="shared" si="27"/>
        <v>88</v>
      </c>
      <c r="H122" s="676">
        <f t="shared" si="27"/>
        <v>85</v>
      </c>
      <c r="I122" s="676">
        <f t="shared" si="27"/>
        <v>82</v>
      </c>
      <c r="J122" s="676">
        <f t="shared" si="27"/>
        <v>79</v>
      </c>
      <c r="K122" s="676">
        <f t="shared" si="27"/>
        <v>76</v>
      </c>
      <c r="L122" s="676">
        <f t="shared" si="27"/>
        <v>73</v>
      </c>
      <c r="M122" s="677">
        <f t="shared" si="27"/>
        <v>70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593</v>
      </c>
      <c r="C123" s="3169" t="s">
        <v>3333</v>
      </c>
      <c r="D123" s="3169" t="s">
        <v>3334</v>
      </c>
      <c r="E123" s="3169" t="s">
        <v>3335</v>
      </c>
      <c r="F123" s="3170" t="s">
        <v>3336</v>
      </c>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99</v>
      </c>
      <c r="E124" s="676">
        <f t="shared" si="28"/>
        <v>98</v>
      </c>
      <c r="F124" s="676">
        <f t="shared" si="28"/>
        <v>97</v>
      </c>
      <c r="G124" s="676">
        <f t="shared" si="28"/>
        <v>96</v>
      </c>
      <c r="H124" s="676">
        <f t="shared" si="28"/>
        <v>95</v>
      </c>
      <c r="I124" s="676">
        <f t="shared" si="28"/>
        <v>94</v>
      </c>
      <c r="J124" s="676">
        <f t="shared" si="28"/>
        <v>93</v>
      </c>
      <c r="K124" s="676">
        <f t="shared" si="28"/>
        <v>92</v>
      </c>
      <c r="L124" s="676">
        <f t="shared" si="28"/>
        <v>91</v>
      </c>
      <c r="M124" s="677">
        <f t="shared" si="28"/>
        <v>90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2424</v>
      </c>
      <c r="C125" s="1373" t="s">
        <v>1981</v>
      </c>
      <c r="D125" s="1373" t="s">
        <v>1980</v>
      </c>
      <c r="E125" s="1373" t="s">
        <v>1979</v>
      </c>
      <c r="F125" s="1373" t="s">
        <v>3394</v>
      </c>
      <c r="G125" s="1373"/>
      <c r="H125" s="1373"/>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v>
      </c>
      <c r="E126" s="676">
        <f t="shared" ref="E126:M126" si="29">D126-$K43</f>
        <v>98</v>
      </c>
      <c r="F126" s="676">
        <f t="shared" si="29"/>
        <v>97</v>
      </c>
      <c r="G126" s="676">
        <f t="shared" si="29"/>
        <v>96</v>
      </c>
      <c r="H126" s="676">
        <f t="shared" si="29"/>
        <v>95</v>
      </c>
      <c r="I126" s="676">
        <f t="shared" si="29"/>
        <v>94</v>
      </c>
      <c r="J126" s="676">
        <f t="shared" si="29"/>
        <v>93</v>
      </c>
      <c r="K126" s="676">
        <f t="shared" si="29"/>
        <v>92</v>
      </c>
      <c r="L126" s="676">
        <f t="shared" si="29"/>
        <v>91</v>
      </c>
      <c r="M126" s="677">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594</v>
      </c>
      <c r="C127" s="685" t="s">
        <v>3337</v>
      </c>
      <c r="D127" s="685" t="s">
        <v>3338</v>
      </c>
      <c r="E127" s="715" t="s">
        <v>3322</v>
      </c>
      <c r="F127" s="715" t="s">
        <v>3323</v>
      </c>
      <c r="G127" s="715" t="s">
        <v>3339</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99</v>
      </c>
      <c r="E128" s="676">
        <f t="shared" si="30"/>
        <v>98</v>
      </c>
      <c r="F128" s="676">
        <f t="shared" si="30"/>
        <v>97</v>
      </c>
      <c r="G128" s="676">
        <f t="shared" si="30"/>
        <v>96</v>
      </c>
      <c r="H128" s="676">
        <f t="shared" si="30"/>
        <v>95</v>
      </c>
      <c r="I128" s="676">
        <f t="shared" si="30"/>
        <v>94</v>
      </c>
      <c r="J128" s="676">
        <f t="shared" si="30"/>
        <v>93</v>
      </c>
      <c r="K128" s="676">
        <f t="shared" si="30"/>
        <v>92</v>
      </c>
      <c r="L128" s="676">
        <f t="shared" si="30"/>
        <v>91</v>
      </c>
      <c r="M128" s="677">
        <f t="shared" si="30"/>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t="str">
        <f>B45</f>
        <v>土地是否平整</v>
      </c>
      <c r="C129" s="3169" t="s">
        <v>3353</v>
      </c>
      <c r="D129" s="3169" t="s">
        <v>3354</v>
      </c>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v>100</v>
      </c>
      <c r="D130" s="689">
        <v>99</v>
      </c>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abSelected="1" topLeftCell="A4" workbookViewId="0">
      <selection activeCell="C36" sqref="C3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463</v>
      </c>
      <c r="B1" s="2831"/>
      <c r="C1" s="2101"/>
      <c r="D1" s="2101"/>
      <c r="E1" s="2101"/>
      <c r="F1" s="2101"/>
      <c r="G1" s="2101"/>
      <c r="H1" s="2101"/>
      <c r="I1" s="2101"/>
      <c r="J1" s="2101"/>
      <c r="K1" s="420">
        <f>MATCH(B1,'数据-取费表'!A6:A16,0)+5</f>
        <v>8</v>
      </c>
    </row>
    <row r="2" spans="1:31" s="2038" customFormat="1" ht="18" customHeight="1">
      <c r="A2" s="2098" t="s">
        <v>464</v>
      </c>
      <c r="B2" s="2102">
        <f ca="1">C36</f>
        <v>93222</v>
      </c>
      <c r="C2" s="2101"/>
      <c r="D2" s="2101"/>
      <c r="E2" s="2101"/>
      <c r="F2" s="2101"/>
      <c r="G2" s="2101"/>
      <c r="H2" s="2101"/>
      <c r="I2" s="2101"/>
      <c r="J2" s="2101"/>
      <c r="K2" s="2101"/>
    </row>
    <row r="3" spans="1:31" s="2038" customFormat="1" ht="18" customHeight="1">
      <c r="A3" s="2103" t="s">
        <v>1680</v>
      </c>
      <c r="B3" s="2104">
        <f ca="1">ROUND(B2*10000/IF(B1="",'数据-汇总表'!E3,INDIRECT("'数据-取费表'!K"&amp;$K$1)),0)</f>
        <v>2904</v>
      </c>
      <c r="C3" s="2101"/>
      <c r="D3" s="2101"/>
      <c r="E3" s="2101"/>
      <c r="F3" s="2101"/>
      <c r="G3" s="2101"/>
      <c r="H3" s="2101"/>
      <c r="I3" s="2101"/>
      <c r="J3" s="2101"/>
      <c r="K3" s="2101"/>
    </row>
    <row r="4" spans="1:31" s="2038" customFormat="1" ht="18" customHeight="1">
      <c r="A4" s="424" t="s">
        <v>465</v>
      </c>
      <c r="B4" s="425">
        <f ca="1">ROUND(B2*10000/IF(B1="",'数据-汇总表'!D3,INDIRECT("'数据-取费表'!R"&amp;$K$1)),0)</f>
        <v>12894</v>
      </c>
      <c r="C4" s="426"/>
      <c r="D4" s="420"/>
      <c r="E4" s="420"/>
      <c r="F4" s="420"/>
      <c r="G4" s="420"/>
      <c r="H4" s="420"/>
      <c r="I4" s="420"/>
      <c r="J4" s="420"/>
      <c r="K4" s="420"/>
    </row>
    <row r="5" spans="1:31" s="2038" customFormat="1" ht="18" customHeight="1" thickBot="1">
      <c r="A5" s="427"/>
      <c r="B5" s="428">
        <f ca="1">ROUND(B2/(IF(B1="",'数据-汇总表'!D3,INDIRECT("'数据-取费表'!R"&amp;$K$1))/666.67),0)</f>
        <v>860</v>
      </c>
      <c r="C5" s="429" t="s">
        <v>466</v>
      </c>
      <c r="D5" s="420"/>
      <c r="E5" s="420"/>
      <c r="F5" s="420"/>
      <c r="G5" s="420"/>
      <c r="H5" s="420"/>
      <c r="I5" s="420"/>
      <c r="J5" s="420"/>
      <c r="K5" s="420"/>
    </row>
    <row r="6" spans="1:31" s="2108" customFormat="1" ht="16.5" customHeight="1">
      <c r="A6" s="2850" t="s">
        <v>1838</v>
      </c>
      <c r="B6" s="2851"/>
      <c r="C6" s="2852">
        <f ca="1">SUM(C10:K10)</f>
        <v>266977</v>
      </c>
      <c r="D6" s="2851"/>
      <c r="E6" s="2851"/>
      <c r="F6" s="2851"/>
      <c r="G6" s="2851"/>
      <c r="H6" s="2851"/>
      <c r="I6" s="2851"/>
      <c r="J6" s="2851"/>
      <c r="K6" s="2853"/>
    </row>
    <row r="7" spans="1:31" s="2110" customFormat="1" ht="15">
      <c r="A7" s="2854" t="s">
        <v>467</v>
      </c>
      <c r="B7" s="2855" t="s">
        <v>468</v>
      </c>
      <c r="C7" s="434" t="s">
        <v>918</v>
      </c>
      <c r="D7" s="434" t="s">
        <v>2976</v>
      </c>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1841</v>
      </c>
      <c r="B8" s="259" t="s">
        <v>469</v>
      </c>
      <c r="C8" s="2856">
        <f>'不动产比较法-住宅'!C49</f>
        <v>10556</v>
      </c>
      <c r="D8" s="2856">
        <f ca="1">不动产收益法!B3</f>
        <v>15900</v>
      </c>
      <c r="E8" s="2856"/>
      <c r="F8" s="2856"/>
      <c r="G8" s="2856"/>
      <c r="H8" s="2856"/>
      <c r="I8" s="2856"/>
      <c r="J8" s="2856"/>
      <c r="K8" s="2857"/>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1842</v>
      </c>
      <c r="B9" s="259" t="s">
        <v>470</v>
      </c>
      <c r="C9" s="439">
        <f>SUMIF('数据-汇总表'!$C19:$C33,'剩余法-待开发'!C7,'数据-汇总表'!$E19:$E33)</f>
        <v>241349.54</v>
      </c>
      <c r="D9" s="439">
        <f>SUMIF('数据-汇总表'!$C19:$C33,'剩余法-待开发'!D7,'数据-汇总表'!$E19:$E33)</f>
        <v>7678.2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1843</v>
      </c>
      <c r="B10" s="2844" t="s">
        <v>471</v>
      </c>
      <c r="C10" s="3051">
        <f>'不动产比较法-住宅'!B2</f>
        <v>254769</v>
      </c>
      <c r="D10" s="3051">
        <f ca="1">不动产收益法!B2</f>
        <v>12208</v>
      </c>
      <c r="E10" s="3051"/>
      <c r="F10" s="2859"/>
      <c r="G10" s="2859"/>
      <c r="H10" s="2859"/>
      <c r="I10" s="2859"/>
      <c r="J10" s="2859"/>
      <c r="K10" s="2860"/>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1839</v>
      </c>
      <c r="B11" s="2851"/>
      <c r="C11" s="2851"/>
      <c r="D11" s="2851"/>
      <c r="E11" s="2851"/>
      <c r="F11" s="2851"/>
      <c r="G11" s="2851"/>
      <c r="H11" s="2851"/>
      <c r="I11" s="2851"/>
      <c r="J11" s="2851"/>
      <c r="K11" s="2853"/>
    </row>
    <row r="12" spans="1:31" s="2082" customFormat="1" ht="13.5" customHeight="1">
      <c r="A12" s="2862" t="s">
        <v>467</v>
      </c>
      <c r="B12" s="2834" t="s">
        <v>468</v>
      </c>
      <c r="C12" s="2863" t="s">
        <v>472</v>
      </c>
      <c r="D12" s="2830" t="s">
        <v>473</v>
      </c>
      <c r="E12" s="2830" t="s">
        <v>474</v>
      </c>
      <c r="F12" s="2830" t="s">
        <v>475</v>
      </c>
      <c r="G12" s="2834"/>
      <c r="H12" s="2835"/>
      <c r="I12" s="2835"/>
      <c r="J12" s="2835"/>
      <c r="K12" s="2836"/>
    </row>
    <row r="13" spans="1:31" s="2113" customFormat="1" ht="13.5" customHeight="1">
      <c r="A13" s="2864" t="s">
        <v>1844</v>
      </c>
      <c r="B13" s="2865" t="s">
        <v>476</v>
      </c>
      <c r="C13" s="448">
        <f ca="1">IF(B1="",'数据-取费表'!P16,INDIRECT("'数据-取费表'!p"&amp;$K$1)+INDIRECT("'数据-取费表'!t"&amp;$K$1))</f>
        <v>80818</v>
      </c>
      <c r="D13" s="2866"/>
      <c r="E13" s="2867"/>
      <c r="F13" s="2868"/>
      <c r="G13" s="2834"/>
      <c r="H13" s="2835"/>
      <c r="I13" s="2835"/>
      <c r="J13" s="2835"/>
      <c r="K13" s="2836"/>
    </row>
    <row r="14" spans="1:31" s="2113" customFormat="1" ht="13.5" customHeight="1">
      <c r="A14" s="2864" t="s">
        <v>1845</v>
      </c>
      <c r="B14" s="2865" t="s">
        <v>477</v>
      </c>
      <c r="C14" s="52">
        <f ca="1">ROUND(C13*F14,0)</f>
        <v>2425</v>
      </c>
      <c r="D14" s="2866"/>
      <c r="E14" s="2867"/>
      <c r="F14" s="2869">
        <f>'数据-取费表'!B33</f>
        <v>0.03</v>
      </c>
      <c r="G14" s="2834" t="s">
        <v>478</v>
      </c>
      <c r="H14" s="2835"/>
      <c r="I14" s="2835"/>
      <c r="J14" s="2835"/>
      <c r="K14" s="2836"/>
    </row>
    <row r="15" spans="1:31" s="2113" customFormat="1" ht="13.5" customHeight="1">
      <c r="A15" s="2864" t="s">
        <v>1846</v>
      </c>
      <c r="B15" s="2865" t="s">
        <v>479</v>
      </c>
      <c r="C15" s="52">
        <f ca="1">ROUND(IF(B1="",SUMIF('数据-取费表'!C:C,"住宅",'数据-取费表'!P:P)*F15,IF(INDIRECT("'数据-取费表'!c"&amp;$K$1)="住宅",INDIRECT("'数据-取费表'!P"&amp;$K$1)*F15,0)),0)</f>
        <v>2027</v>
      </c>
      <c r="D15" s="2866"/>
      <c r="E15" s="2867"/>
      <c r="F15" s="2869">
        <f>'数据-取费表'!B34</f>
        <v>0.03</v>
      </c>
      <c r="G15" s="2834" t="s">
        <v>480</v>
      </c>
      <c r="H15" s="2835"/>
      <c r="I15" s="2835"/>
      <c r="J15" s="2835"/>
      <c r="K15" s="2836"/>
    </row>
    <row r="16" spans="1:31" s="2114" customFormat="1" ht="13.5" customHeight="1">
      <c r="A16" s="2864" t="s">
        <v>1847</v>
      </c>
      <c r="B16" s="2865" t="s">
        <v>481</v>
      </c>
      <c r="C16" s="52">
        <f ca="1">ROUND(D16*E16/10000,0)</f>
        <v>6419</v>
      </c>
      <c r="D16" s="2866">
        <f ca="1">IF(B1="",'数据-汇总表'!E3,INDIRECT("'数据-取费表'!K"&amp;$K$1)+INDIRECT("'数据-取费表'!S"&amp;$K$1))</f>
        <v>320965.16000000003</v>
      </c>
      <c r="E16" s="52">
        <f>'数据-取费表'!B35</f>
        <v>200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1848</v>
      </c>
      <c r="B17" s="2865" t="s">
        <v>482</v>
      </c>
      <c r="C17" s="2870">
        <f ca="1">ROUND(C13*F17,0)</f>
        <v>1212</v>
      </c>
      <c r="D17" s="473"/>
      <c r="E17" s="2870"/>
      <c r="F17" s="2871">
        <f>'数据-取费表'!B36</f>
        <v>1.4999999999999999E-2</v>
      </c>
      <c r="G17" s="259" t="s">
        <v>483</v>
      </c>
      <c r="H17" s="2837"/>
      <c r="I17" s="2837"/>
      <c r="J17" s="2837"/>
      <c r="K17" s="277"/>
    </row>
    <row r="18" spans="1:14" s="2113" customFormat="1" ht="13.5" customHeight="1">
      <c r="A18" s="2872" t="s">
        <v>1849</v>
      </c>
      <c r="B18" s="2873" t="s">
        <v>484</v>
      </c>
      <c r="C18" s="2874">
        <f ca="1">SUM(C13:C17)</f>
        <v>92901</v>
      </c>
      <c r="D18" s="2875"/>
      <c r="E18" s="466"/>
      <c r="F18" s="466"/>
      <c r="G18" s="2838" t="s">
        <v>2429</v>
      </c>
      <c r="H18" s="2839"/>
      <c r="I18" s="2839"/>
      <c r="J18" s="2839"/>
      <c r="K18" s="2840"/>
    </row>
    <row r="19" spans="1:14" s="2113" customFormat="1" ht="13.5" customHeight="1">
      <c r="A19" s="2872" t="s">
        <v>1850</v>
      </c>
      <c r="B19" s="2873" t="s">
        <v>485</v>
      </c>
      <c r="C19" s="2830">
        <f ca="1">ROUND(D19*E19/10000,0)</f>
        <v>0</v>
      </c>
      <c r="D19" s="2876">
        <f ca="1">D16</f>
        <v>320965.16000000003</v>
      </c>
      <c r="E19" s="2830">
        <f>'数据-取费表'!B32</f>
        <v>0</v>
      </c>
      <c r="F19" s="466"/>
      <c r="G19" s="2834" t="s">
        <v>486</v>
      </c>
      <c r="H19" s="2835"/>
      <c r="I19" s="2839"/>
      <c r="J19" s="2839"/>
      <c r="K19" s="2840"/>
    </row>
    <row r="20" spans="1:14" s="2113" customFormat="1" ht="13.5" customHeight="1">
      <c r="A20" s="2872" t="s">
        <v>1851</v>
      </c>
      <c r="B20" s="2873" t="s">
        <v>487</v>
      </c>
      <c r="C20" s="2830">
        <f ca="1">C21+C22-IF(B1="",'数据-取费表'!B29,IF(G20="已全部缴纳",C21+C22,H20))</f>
        <v>4170</v>
      </c>
      <c r="D20" s="2876"/>
      <c r="E20" s="2830"/>
      <c r="F20" s="2877"/>
      <c r="G20" s="3111"/>
      <c r="H20" s="2832"/>
      <c r="I20" s="2833" t="s">
        <v>2652</v>
      </c>
      <c r="J20" s="2839"/>
      <c r="K20" s="2840"/>
    </row>
    <row r="21" spans="1:14" s="2113" customFormat="1" ht="13.5" customHeight="1">
      <c r="A21" s="2864" t="s">
        <v>1852</v>
      </c>
      <c r="B21" s="2865" t="s">
        <v>488</v>
      </c>
      <c r="C21" s="52">
        <f ca="1">ROUND(D21*E21/10000,0)</f>
        <v>2896</v>
      </c>
      <c r="D21" s="2866">
        <f ca="1">IF(B1="",'数据-汇总表'!E5,IF(INDIRECT("'数据-取费表'!c"&amp;$K$1)="住宅",INDIRECT("'数据-取费表'!k"&amp;$K$1),0))</f>
        <v>241349.54</v>
      </c>
      <c r="E21" s="52">
        <f>'数据-取费表'!B27</f>
        <v>120</v>
      </c>
      <c r="F21" s="2869"/>
      <c r="G21" s="25"/>
      <c r="H21" s="50"/>
      <c r="I21" s="50"/>
      <c r="J21" s="50"/>
      <c r="K21" s="2841"/>
    </row>
    <row r="22" spans="1:14" s="2113" customFormat="1" ht="13.5" customHeight="1">
      <c r="A22" s="2864" t="s">
        <v>1853</v>
      </c>
      <c r="B22" s="2865" t="s">
        <v>489</v>
      </c>
      <c r="C22" s="52">
        <f ca="1">ROUND(D22*E22/10000,0)</f>
        <v>1274</v>
      </c>
      <c r="D22" s="2866">
        <f ca="1">IF(B1="",'数据-汇总表'!E6,IF(INDIRECT("'数据-取费表'!c"&amp;$K$1)="住宅",INDIRECT("'数据-取费表'!s"&amp;$K$1),INDIRECT("'数据-取费表'!k"&amp;$K$1)+INDIRECT("'数据-取费表'!s"&amp;$K$1)))</f>
        <v>79615.620000000024</v>
      </c>
      <c r="E22" s="52">
        <f>'数据-取费表'!B28</f>
        <v>160</v>
      </c>
      <c r="F22" s="2869"/>
      <c r="G22" s="25"/>
      <c r="H22" s="50"/>
      <c r="I22" s="50"/>
      <c r="J22" s="50"/>
      <c r="K22" s="2841"/>
    </row>
    <row r="23" spans="1:14" s="2113" customFormat="1" ht="13.5" customHeight="1">
      <c r="A23" s="2872" t="s">
        <v>1854</v>
      </c>
      <c r="B23" s="3057" t="s">
        <v>2835</v>
      </c>
      <c r="C23" s="2874">
        <f ca="1">ROUND((C18+C19+C20)*F23,0)</f>
        <v>1456</v>
      </c>
      <c r="D23" s="466"/>
      <c r="E23" s="466"/>
      <c r="F23" s="2878">
        <f>'数据-取费表'!B37</f>
        <v>1.4999999999999999E-2</v>
      </c>
      <c r="G23" s="2834" t="s">
        <v>2430</v>
      </c>
      <c r="H23" s="2835"/>
      <c r="I23" s="2835"/>
      <c r="J23" s="2835"/>
      <c r="K23" s="2836"/>
      <c r="L23" s="2115"/>
      <c r="M23" s="2115"/>
      <c r="N23" s="2115"/>
    </row>
    <row r="24" spans="1:14" s="2113" customFormat="1" ht="13.5" customHeight="1">
      <c r="A24" s="2872" t="s">
        <v>1855</v>
      </c>
      <c r="B24" s="3057" t="s">
        <v>2838</v>
      </c>
      <c r="C24" s="2874">
        <f ca="1">ROUND(C6*F24,0)</f>
        <v>5340</v>
      </c>
      <c r="D24" s="473"/>
      <c r="E24" s="471"/>
      <c r="F24" s="2878">
        <f>'数据-取费表'!B38</f>
        <v>0.02</v>
      </c>
      <c r="G24" s="2843" t="s">
        <v>496</v>
      </c>
      <c r="H24" s="2837"/>
      <c r="I24" s="2837"/>
      <c r="J24" s="2837"/>
      <c r="K24" s="277"/>
      <c r="L24" s="2115"/>
      <c r="M24" s="2115"/>
      <c r="N24" s="2115"/>
    </row>
    <row r="25" spans="1:14" s="2116" customFormat="1" ht="13.5" customHeight="1">
      <c r="A25" s="2872" t="s">
        <v>1856</v>
      </c>
      <c r="B25" s="3057" t="s">
        <v>2836</v>
      </c>
      <c r="C25" s="465">
        <f>ROUND(F25/(1+'数据-取费表'!C42),4)</f>
        <v>3.8600000000000002E-2</v>
      </c>
      <c r="D25" s="460" t="s">
        <v>2830</v>
      </c>
      <c r="E25" s="467"/>
      <c r="F25" s="2878">
        <f>'数据-取费表'!B48+'数据-取费表'!B49</f>
        <v>4.0500000000000001E-2</v>
      </c>
      <c r="G25" s="2842" t="s">
        <v>2287</v>
      </c>
      <c r="H25" s="2835"/>
      <c r="I25" s="2835"/>
      <c r="J25" s="2835"/>
      <c r="K25" s="2836"/>
    </row>
    <row r="26" spans="1:14" s="2115" customFormat="1" ht="13.5" customHeight="1">
      <c r="A26" s="2872" t="s">
        <v>1857</v>
      </c>
      <c r="B26" s="3058" t="s">
        <v>2837</v>
      </c>
      <c r="C26" s="2879">
        <f ca="1">C28</f>
        <v>7488</v>
      </c>
      <c r="D26" s="465">
        <f ca="1">C27</f>
        <v>0.15509999999999999</v>
      </c>
      <c r="E26" s="467" t="s">
        <v>492</v>
      </c>
      <c r="F26" s="469">
        <f ca="1">'数据-取费表'!B40</f>
        <v>4.7500000000000001E-2</v>
      </c>
      <c r="G26" s="2592"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0" t="s">
        <v>1852</v>
      </c>
      <c r="B27" s="2880" t="s">
        <v>493</v>
      </c>
      <c r="C27" s="2881">
        <f ca="1">ROUND(IF('数据-取费表'!B22&lt;=1,(1+C25)*F26*'数据-取费表'!B24,(1+C25)*(POWER((1+F26),'数据-取费表'!B24)-1)),4)</f>
        <v>0.15509999999999999</v>
      </c>
      <c r="D27" s="470"/>
      <c r="E27" s="471"/>
      <c r="F27" s="472"/>
      <c r="G27" s="2592" t="str">
        <f>IF('数据-取费表'!B22&lt;=1,"（1+取得税费率/(1+5%)）×年利率×建设期","（1+取得税费率）/(1+5%)×((1+年利率)^建设期-1)")</f>
        <v>（1+取得税费率）/(1+5%)×((1+年利率)^建设期-1)</v>
      </c>
      <c r="H27" s="2837"/>
      <c r="I27" s="2837"/>
      <c r="J27" s="2837"/>
      <c r="K27" s="277"/>
    </row>
    <row r="28" spans="1:14" s="2117" customFormat="1" ht="13.5" customHeight="1">
      <c r="A28" s="800" t="s">
        <v>1853</v>
      </c>
      <c r="B28" s="2880" t="s">
        <v>2839</v>
      </c>
      <c r="C28" s="2882">
        <f ca="1">ROUND(IF('数据-取费表'!B22&lt;=1,(C18+C19+C20+C23+C24)*F26*'数据-取费表'!B24/2,(C18+C19+C20+C23+C24)*(POWER((1+F26),'数据-取费表'!B24/2)-1)),0)</f>
        <v>7488</v>
      </c>
      <c r="D28" s="470"/>
      <c r="E28" s="471"/>
      <c r="F28" s="472"/>
      <c r="G28" s="2592" t="str">
        <f>IF('数据-取费表'!B22&lt;=1,"（1）-（4）项×年利率×建设期÷2","（1）-（4）项×((1+年利率)^(建设期÷2)-1)")</f>
        <v>（1）-（4）项×((1+年利率)^(建设期÷2)-1)</v>
      </c>
      <c r="H28" s="2837"/>
      <c r="I28" s="2837"/>
      <c r="J28" s="2837"/>
      <c r="K28" s="277"/>
    </row>
    <row r="29" spans="1:14" s="2117" customFormat="1" ht="13.5" customHeight="1">
      <c r="A29" s="2883" t="s">
        <v>1858</v>
      </c>
      <c r="B29" s="2873" t="s">
        <v>494</v>
      </c>
      <c r="C29" s="2874">
        <f ca="1">ROUND(C6*F29/(1+'数据-取费表'!C42),0)</f>
        <v>14239</v>
      </c>
      <c r="D29" s="466"/>
      <c r="E29" s="466"/>
      <c r="F29" s="3059">
        <f>'数据-取费表'!B41</f>
        <v>5.6000000000000001E-2</v>
      </c>
      <c r="G29" s="2843" t="s">
        <v>495</v>
      </c>
      <c r="H29" s="2835"/>
      <c r="I29" s="2835"/>
      <c r="J29" s="2835"/>
      <c r="K29" s="2836"/>
    </row>
    <row r="30" spans="1:14" s="2118" customFormat="1" ht="13.5" customHeight="1">
      <c r="A30" s="1632" t="s">
        <v>1859</v>
      </c>
      <c r="B30" s="2884" t="s">
        <v>497</v>
      </c>
      <c r="C30" s="2879">
        <f ca="1">C31</f>
        <v>125594</v>
      </c>
      <c r="D30" s="475">
        <f ca="1">C32</f>
        <v>0.19370000000000001</v>
      </c>
      <c r="E30" s="467" t="s">
        <v>492</v>
      </c>
      <c r="F30" s="469"/>
      <c r="G30" s="2834" t="s">
        <v>498</v>
      </c>
      <c r="H30" s="2835"/>
      <c r="I30" s="2835"/>
      <c r="J30" s="2835"/>
      <c r="K30" s="2836"/>
    </row>
    <row r="31" spans="1:14" s="2117" customFormat="1" ht="13.5" customHeight="1">
      <c r="A31" s="800" t="s">
        <v>1852</v>
      </c>
      <c r="B31" s="2880"/>
      <c r="C31" s="448">
        <f ca="1">C18+C19+C20+C23+C24+C26+C29</f>
        <v>125594</v>
      </c>
      <c r="D31" s="470"/>
      <c r="E31" s="471"/>
      <c r="F31" s="472"/>
      <c r="G31" s="259"/>
      <c r="H31" s="2837"/>
      <c r="I31" s="2837"/>
      <c r="J31" s="2837"/>
      <c r="K31" s="277"/>
    </row>
    <row r="32" spans="1:14" s="2117" customFormat="1" ht="13.5" customHeight="1">
      <c r="A32" s="800" t="s">
        <v>1853</v>
      </c>
      <c r="B32" s="2880"/>
      <c r="C32" s="52">
        <f ca="1">ROUND(C25+D26,4)</f>
        <v>0.19370000000000001</v>
      </c>
      <c r="D32" s="470"/>
      <c r="E32" s="471"/>
      <c r="F32" s="472"/>
      <c r="G32" s="259"/>
      <c r="H32" s="2837"/>
      <c r="I32" s="2837"/>
      <c r="J32" s="2837"/>
      <c r="K32" s="277"/>
    </row>
    <row r="33" spans="1:11" s="2119" customFormat="1" ht="13.5" customHeight="1">
      <c r="A33" s="3056" t="s">
        <v>2834</v>
      </c>
      <c r="B33" s="3054" t="s">
        <v>2832</v>
      </c>
      <c r="C33" s="476">
        <f ca="1">C35</f>
        <v>15580</v>
      </c>
      <c r="D33" s="465">
        <f ca="1">C34</f>
        <v>0.15579999999999999</v>
      </c>
      <c r="E33" s="467" t="s">
        <v>492</v>
      </c>
      <c r="F33" s="477">
        <f ca="1">IF(B1="",'数据-取费表'!Q16,INDIRECT("'数据-取费表'!q"&amp;$K$1))</f>
        <v>0.15</v>
      </c>
      <c r="G33" s="2838"/>
      <c r="H33" s="2839"/>
      <c r="I33" s="2839"/>
      <c r="J33" s="2839"/>
      <c r="K33" s="2840"/>
    </row>
    <row r="34" spans="1:11" s="2120" customFormat="1" ht="13.5" customHeight="1">
      <c r="A34" s="373" t="s">
        <v>1852</v>
      </c>
      <c r="B34" s="2885" t="s">
        <v>499</v>
      </c>
      <c r="C34" s="470">
        <f ca="1">ROUND((1+C25)*F33,4)</f>
        <v>0.15579999999999999</v>
      </c>
      <c r="D34" s="470"/>
      <c r="E34" s="471"/>
      <c r="F34" s="478"/>
      <c r="G34" s="259" t="s">
        <v>2288</v>
      </c>
      <c r="H34" s="2837"/>
      <c r="I34" s="2837"/>
      <c r="J34" s="2837"/>
      <c r="K34" s="277"/>
    </row>
    <row r="35" spans="1:11" s="2120" customFormat="1" ht="13.5" customHeight="1" thickBot="1">
      <c r="A35" s="1633" t="s">
        <v>1853</v>
      </c>
      <c r="B35" s="3055" t="s">
        <v>2840</v>
      </c>
      <c r="C35" s="1625">
        <f ca="1">ROUND((C18+C19+C20+C23+C24)*F33,0)</f>
        <v>15580</v>
      </c>
      <c r="D35" s="1626"/>
      <c r="E35" s="2886"/>
      <c r="F35" s="1627"/>
      <c r="G35" s="2844"/>
      <c r="H35" s="2845"/>
      <c r="I35" s="2845"/>
      <c r="J35" s="2845"/>
      <c r="K35" s="2846"/>
    </row>
    <row r="36" spans="1:11" s="2082" customFormat="1" ht="13.5" customHeight="1" thickBot="1">
      <c r="A36" s="282" t="s">
        <v>1840</v>
      </c>
      <c r="B36" s="2848"/>
      <c r="C36" s="2887">
        <f ca="1">ROUND((C6-C30-C33)/(1+D30+D33),0)</f>
        <v>93222</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463</v>
      </c>
      <c r="B1" s="2831"/>
      <c r="C1" s="2101"/>
      <c r="D1" s="2101"/>
      <c r="E1" s="2101"/>
      <c r="F1" s="2101"/>
      <c r="G1" s="2101"/>
      <c r="H1" s="2101"/>
      <c r="I1" s="2101"/>
      <c r="J1" s="2101"/>
      <c r="K1" s="420">
        <f>MATCH(B1,'数据-取费表'!A6:A16,0)+5</f>
        <v>8</v>
      </c>
    </row>
    <row r="2" spans="1:41" s="2038" customFormat="1" ht="18" customHeight="1">
      <c r="A2" s="421" t="s">
        <v>464</v>
      </c>
      <c r="B2" s="422">
        <f ca="1">C32</f>
        <v>0</v>
      </c>
      <c r="C2" s="2101"/>
      <c r="D2" s="2101"/>
      <c r="E2" s="2101"/>
      <c r="F2" s="2101"/>
      <c r="G2" s="2101"/>
      <c r="H2" s="2101"/>
      <c r="I2" s="2101"/>
      <c r="J2" s="2101"/>
      <c r="K2" s="2101"/>
    </row>
    <row r="3" spans="1:41" s="2038" customFormat="1" ht="18" customHeight="1">
      <c r="A3" s="1376" t="s">
        <v>1680</v>
      </c>
      <c r="B3" s="423">
        <f ca="1">ROUND(B2*10000/IF(B1="",'数据-汇总表'!E3,INDIRECT("'数据-取费表'!K"&amp;$K$1)),0)</f>
        <v>0</v>
      </c>
      <c r="C3" s="2101"/>
      <c r="D3" s="2101"/>
      <c r="E3" s="2101"/>
      <c r="F3" s="2101"/>
      <c r="G3" s="2101"/>
      <c r="H3" s="2101"/>
      <c r="I3" s="2101"/>
      <c r="J3" s="2101"/>
      <c r="K3" s="2101"/>
    </row>
    <row r="4" spans="1:41" s="2038" customFormat="1" ht="18" customHeight="1">
      <c r="A4" s="424" t="s">
        <v>465</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466</v>
      </c>
      <c r="D5" s="2101"/>
      <c r="E5" s="2101"/>
      <c r="F5" s="2101"/>
      <c r="G5" s="2101"/>
      <c r="H5" s="2101"/>
      <c r="I5" s="2101"/>
      <c r="J5" s="2101"/>
      <c r="K5" s="2101"/>
    </row>
    <row r="6" spans="1:41" s="2108" customFormat="1" ht="16.5" customHeight="1">
      <c r="A6" s="430" t="s">
        <v>2653</v>
      </c>
      <c r="B6" s="431"/>
      <c r="C6" s="1620">
        <f>SUM(C10:K10)</f>
        <v>0</v>
      </c>
      <c r="D6" s="2106"/>
      <c r="E6" s="2106"/>
      <c r="F6" s="2106"/>
      <c r="G6" s="2106"/>
      <c r="H6" s="2106"/>
      <c r="I6" s="2106"/>
      <c r="J6" s="2106"/>
      <c r="K6" s="2107"/>
    </row>
    <row r="7" spans="1:41" s="2110" customFormat="1" ht="15">
      <c r="A7" s="432" t="s">
        <v>467</v>
      </c>
      <c r="B7" s="433" t="s">
        <v>468</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1841</v>
      </c>
      <c r="B8" s="436" t="s">
        <v>469</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1842</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1843</v>
      </c>
      <c r="B10" s="1621" t="s">
        <v>471</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1860</v>
      </c>
      <c r="B11" s="1618"/>
      <c r="C11" s="1618"/>
      <c r="D11" s="1618"/>
      <c r="E11" s="1618"/>
      <c r="F11" s="1618"/>
      <c r="G11" s="1618"/>
      <c r="H11" s="1618"/>
      <c r="I11" s="1618"/>
      <c r="J11" s="1618"/>
      <c r="K11" s="1619"/>
    </row>
    <row r="12" spans="1:41" s="2082" customFormat="1" ht="13.5" customHeight="1">
      <c r="A12" s="432" t="s">
        <v>467</v>
      </c>
      <c r="B12" s="442" t="s">
        <v>468</v>
      </c>
      <c r="C12" s="443" t="s">
        <v>472</v>
      </c>
      <c r="D12" s="444" t="s">
        <v>473</v>
      </c>
      <c r="E12" s="444" t="s">
        <v>474</v>
      </c>
      <c r="F12" s="444" t="s">
        <v>475</v>
      </c>
      <c r="G12" s="442"/>
      <c r="H12" s="445"/>
      <c r="I12" s="445"/>
      <c r="J12" s="445"/>
      <c r="K12" s="446"/>
    </row>
    <row r="13" spans="1:41" s="2113" customFormat="1" ht="13.5" customHeight="1">
      <c r="A13" s="1630" t="s">
        <v>1844</v>
      </c>
      <c r="B13" s="447" t="s">
        <v>476</v>
      </c>
      <c r="C13" s="448">
        <f ca="1">IF(B1="",'数据-取费表'!M16,INDIRECT("'数据-取费表'!M"&amp;$K$1)+INDIRECT("'数据-取费表'!t"&amp;$K$1))</f>
        <v>80818</v>
      </c>
      <c r="D13" s="449"/>
      <c r="E13" s="363"/>
      <c r="F13" s="450"/>
      <c r="G13" s="442"/>
      <c r="H13" s="445"/>
      <c r="I13" s="445"/>
      <c r="J13" s="445"/>
      <c r="K13" s="446"/>
    </row>
    <row r="14" spans="1:41" s="2113" customFormat="1" ht="13.5" customHeight="1">
      <c r="A14" s="1630" t="s">
        <v>1845</v>
      </c>
      <c r="B14" s="447" t="s">
        <v>477</v>
      </c>
      <c r="C14" s="52">
        <f ca="1">ROUND(C13*F14,0)</f>
        <v>2425</v>
      </c>
      <c r="D14" s="449"/>
      <c r="E14" s="363"/>
      <c r="F14" s="451">
        <f>'数据-取费表'!B33</f>
        <v>0.03</v>
      </c>
      <c r="G14" s="442" t="s">
        <v>500</v>
      </c>
      <c r="H14" s="445"/>
      <c r="I14" s="445"/>
      <c r="J14" s="445"/>
      <c r="K14" s="446"/>
    </row>
    <row r="15" spans="1:41" s="2113" customFormat="1" ht="13.5" customHeight="1">
      <c r="A15" s="1630" t="s">
        <v>1846</v>
      </c>
      <c r="B15" s="447" t="s">
        <v>479</v>
      </c>
      <c r="C15" s="52">
        <f ca="1">ROUND(IF(B1="",SUMIF('数据-取费表'!C:C,"住宅",'数据-取费表'!M:M)*F15,IF(INDIRECT("'数据-取费表'!c"&amp;$K$1)="住宅",INDIRECT("'数据-取费表'!M"&amp;$K$1)*F15,0)),0)</f>
        <v>2027</v>
      </c>
      <c r="D15" s="449"/>
      <c r="E15" s="363"/>
      <c r="F15" s="451">
        <f>'数据-取费表'!B34</f>
        <v>0.03</v>
      </c>
      <c r="G15" s="442" t="s">
        <v>500</v>
      </c>
      <c r="H15" s="445"/>
      <c r="I15" s="445"/>
      <c r="J15" s="445"/>
      <c r="K15" s="446"/>
    </row>
    <row r="16" spans="1:41" s="2114" customFormat="1" ht="13.5" customHeight="1">
      <c r="A16" s="1630" t="s">
        <v>1847</v>
      </c>
      <c r="B16" s="447" t="s">
        <v>481</v>
      </c>
      <c r="C16" s="52">
        <f ca="1">ROUND(D16*E16/10000,0)</f>
        <v>6419</v>
      </c>
      <c r="D16" s="449">
        <f ca="1">IF(B1="",'数据-汇总表'!E3,INDIRECT("'数据-取费表'!K"&amp;$K$1)+INDIRECT("'数据-取费表'!S"&amp;$K$1))</f>
        <v>320965.16000000003</v>
      </c>
      <c r="E16" s="52">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1848</v>
      </c>
      <c r="B17" s="447" t="s">
        <v>482</v>
      </c>
      <c r="C17" s="452">
        <f ca="1">ROUND(C13*F17,0)</f>
        <v>1212</v>
      </c>
      <c r="D17" s="453"/>
      <c r="E17" s="452"/>
      <c r="F17" s="454">
        <f>'数据-取费表'!B36</f>
        <v>1.4999999999999999E-2</v>
      </c>
      <c r="G17" s="442" t="s">
        <v>500</v>
      </c>
      <c r="H17" s="455"/>
      <c r="I17" s="455"/>
      <c r="J17" s="455"/>
      <c r="K17" s="456"/>
    </row>
    <row r="18" spans="1:14" s="2116" customFormat="1" ht="13.5" customHeight="1">
      <c r="A18" s="1631" t="s">
        <v>1849</v>
      </c>
      <c r="B18" s="457" t="s">
        <v>484</v>
      </c>
      <c r="C18" s="458">
        <f ca="1">SUM(C13:C17)</f>
        <v>92901</v>
      </c>
      <c r="D18" s="459"/>
      <c r="E18" s="460"/>
      <c r="F18" s="460"/>
      <c r="G18" s="1324" t="s">
        <v>2431</v>
      </c>
      <c r="H18" s="445"/>
      <c r="I18" s="445"/>
      <c r="J18" s="445"/>
      <c r="K18" s="446"/>
    </row>
    <row r="19" spans="1:14" s="2116" customFormat="1" ht="13.5" customHeight="1">
      <c r="A19" s="1631" t="s">
        <v>1850</v>
      </c>
      <c r="B19" s="457" t="s">
        <v>490</v>
      </c>
      <c r="C19" s="458">
        <f ca="1">ROUND(C18*F19,0)</f>
        <v>1394</v>
      </c>
      <c r="D19" s="460"/>
      <c r="E19" s="460"/>
      <c r="F19" s="464">
        <f>'数据-取费表'!B37</f>
        <v>1.4999999999999999E-2</v>
      </c>
      <c r="G19" s="442" t="s">
        <v>501</v>
      </c>
      <c r="H19" s="445"/>
      <c r="I19" s="445"/>
      <c r="J19" s="445"/>
      <c r="K19" s="446"/>
      <c r="L19" s="2118"/>
      <c r="M19" s="2118"/>
      <c r="N19" s="2118"/>
    </row>
    <row r="20" spans="1:14" s="2116" customFormat="1" ht="13.5" customHeight="1">
      <c r="A20" s="1631" t="s">
        <v>1851</v>
      </c>
      <c r="B20" s="457" t="s">
        <v>502</v>
      </c>
      <c r="C20" s="3052">
        <f>F20</f>
        <v>0.02</v>
      </c>
      <c r="D20" s="467" t="s">
        <v>503</v>
      </c>
      <c r="E20" s="467"/>
      <c r="F20" s="484">
        <f>'数据-取费表'!B38</f>
        <v>0.02</v>
      </c>
      <c r="G20" s="1324" t="s">
        <v>504</v>
      </c>
      <c r="H20" s="445"/>
      <c r="I20" s="445"/>
      <c r="J20" s="445"/>
      <c r="K20" s="446"/>
      <c r="L20" s="2118"/>
      <c r="M20" s="2118"/>
      <c r="N20" s="2118"/>
    </row>
    <row r="21" spans="1:14" s="2118" customFormat="1" ht="13.5" customHeight="1">
      <c r="A21" s="1631" t="s">
        <v>1854</v>
      </c>
      <c r="B21" s="459" t="s">
        <v>491</v>
      </c>
      <c r="C21" s="468">
        <f ca="1">C22</f>
        <v>6798</v>
      </c>
      <c r="D21" s="465">
        <f ca="1">C23</f>
        <v>1.4E-3</v>
      </c>
      <c r="E21" s="467" t="s">
        <v>505</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5" t="s">
        <v>2452</v>
      </c>
    </row>
    <row r="22" spans="1:14" s="2117" customFormat="1" ht="13.5" customHeight="1">
      <c r="A22" s="1630" t="s">
        <v>1844</v>
      </c>
      <c r="B22" s="1325" t="s">
        <v>2434</v>
      </c>
      <c r="C22" s="485">
        <f ca="1">ROUND(IF('数据-取费表'!B22&lt;=1,(C18+C19)*F21*'数据-取费表'!B20/2,(C18+C19)*(POWER((1+F21),'数据-取费表'!B20/2)-1)),0)</f>
        <v>6798</v>
      </c>
      <c r="D22" s="470"/>
      <c r="E22" s="471"/>
      <c r="F22" s="472"/>
      <c r="G22" s="2587" t="str">
        <f>IF('数据-取费表'!B22&lt;=1,"((1)+(2))×年利率×建设期÷2","((1)+(2))×((1+年利率)^(建设期÷2)-1)")</f>
        <v>((1)+(2))×((1+年利率)^(建设期÷2)-1)</v>
      </c>
      <c r="H22" s="455"/>
      <c r="I22" s="455"/>
      <c r="J22" s="455"/>
      <c r="K22" s="456"/>
    </row>
    <row r="23" spans="1:14" s="2117" customFormat="1" ht="13.5" customHeight="1">
      <c r="A23" s="1630" t="s">
        <v>1845</v>
      </c>
      <c r="B23" s="1325" t="s">
        <v>506</v>
      </c>
      <c r="C23" s="486">
        <f ca="1">ROUND(IF('数据-取费表'!B22&lt;=1,F20*F21*'数据-取费表'!B20/2,F20*(POWER((1+F21),'数据-取费表'!B20/2)-1)),4)</f>
        <v>1.4E-3</v>
      </c>
      <c r="D23" s="470"/>
      <c r="E23" s="471"/>
      <c r="F23" s="472"/>
      <c r="G23" s="2587" t="str">
        <f>IF('数据-取费表'!B22&lt;=1,"销售费用率×年利率×建设期÷2","销售费用率×((1+年利率)^(建设期÷2)-1)")</f>
        <v>销售费用率×((1+年利率)^(建设期÷2)-1)</v>
      </c>
      <c r="H23" s="455"/>
      <c r="I23" s="455"/>
      <c r="J23" s="455"/>
      <c r="K23" s="456"/>
    </row>
    <row r="24" spans="1:14" s="2117" customFormat="1" ht="13.5" customHeight="1">
      <c r="A24" s="1631" t="s">
        <v>1855</v>
      </c>
      <c r="B24" s="3054" t="s">
        <v>2833</v>
      </c>
      <c r="C24" s="476">
        <f ca="1">C25</f>
        <v>14144</v>
      </c>
      <c r="D24" s="487">
        <f ca="1">C26</f>
        <v>3.0000000000000001E-3</v>
      </c>
      <c r="E24" s="467" t="s">
        <v>505</v>
      </c>
      <c r="F24" s="477">
        <f ca="1">IF(B1="",'数据-取费表'!Q16,INDIRECT("'数据-取费表'!q"&amp;$K$1))</f>
        <v>0.15</v>
      </c>
      <c r="G24" s="442"/>
      <c r="H24" s="445"/>
      <c r="I24" s="445"/>
      <c r="J24" s="445"/>
      <c r="K24" s="446"/>
    </row>
    <row r="25" spans="1:14" s="2117" customFormat="1" ht="13.5" customHeight="1">
      <c r="A25" s="1630" t="s">
        <v>1844</v>
      </c>
      <c r="B25" s="1325" t="s">
        <v>2435</v>
      </c>
      <c r="C25" s="488">
        <f ca="1">ROUND((C18+C19)*F24,0)</f>
        <v>14144</v>
      </c>
      <c r="D25" s="470"/>
      <c r="E25" s="471"/>
      <c r="F25" s="478"/>
      <c r="G25" s="1323" t="s">
        <v>2432</v>
      </c>
      <c r="H25" s="455"/>
      <c r="I25" s="455"/>
      <c r="J25" s="455"/>
      <c r="K25" s="456"/>
    </row>
    <row r="26" spans="1:14" s="2117" customFormat="1" ht="13.5" customHeight="1">
      <c r="A26" s="1630" t="s">
        <v>1845</v>
      </c>
      <c r="B26" s="1325" t="s">
        <v>507</v>
      </c>
      <c r="C26" s="489">
        <f ca="1">ROUND(F20*F24,4)</f>
        <v>3.0000000000000001E-3</v>
      </c>
      <c r="D26" s="470"/>
      <c r="E26" s="479"/>
      <c r="F26" s="478"/>
      <c r="G26" s="1323" t="s">
        <v>508</v>
      </c>
      <c r="H26" s="455"/>
      <c r="I26" s="455"/>
      <c r="J26" s="455"/>
      <c r="K26" s="456"/>
    </row>
    <row r="27" spans="1:14" s="2117" customFormat="1" ht="13.5" customHeight="1">
      <c r="A27" s="1634" t="s">
        <v>1863</v>
      </c>
      <c r="B27" s="457" t="s">
        <v>509</v>
      </c>
      <c r="C27" s="3053">
        <f>ROUND(F27/(1+'数据-取费表'!C42),4)</f>
        <v>5.33E-2</v>
      </c>
      <c r="D27" s="460" t="s">
        <v>2831</v>
      </c>
      <c r="E27" s="460"/>
      <c r="F27" s="464">
        <f>'数据-取费表'!B41</f>
        <v>5.6000000000000001E-2</v>
      </c>
      <c r="G27" s="1957" t="s">
        <v>2289</v>
      </c>
      <c r="H27" s="445"/>
      <c r="I27" s="445"/>
      <c r="J27" s="445"/>
      <c r="K27" s="446"/>
    </row>
    <row r="28" spans="1:14" s="2118" customFormat="1" ht="13.5" customHeight="1">
      <c r="A28" s="1634" t="s">
        <v>1864</v>
      </c>
      <c r="B28" s="474" t="s">
        <v>510</v>
      </c>
      <c r="C28" s="468">
        <f ca="1">ROUND((C18+C19+C21+C24)/(1-C20-D21-D24-C27),0)</f>
        <v>124945</v>
      </c>
      <c r="D28" s="475"/>
      <c r="E28" s="467"/>
      <c r="F28" s="469"/>
      <c r="G28" s="1324" t="s">
        <v>2433</v>
      </c>
      <c r="H28" s="445"/>
      <c r="I28" s="445"/>
      <c r="J28" s="445"/>
      <c r="K28" s="446"/>
    </row>
    <row r="29" spans="1:14" s="2118" customFormat="1" ht="13.5" customHeight="1">
      <c r="A29" s="1634" t="s">
        <v>1865</v>
      </c>
      <c r="B29" s="474" t="s">
        <v>511</v>
      </c>
      <c r="C29" s="490">
        <f ca="1">IF(B1="",'数据-取费表'!N16,INDIRECT("'数据-取费表'!N"&amp;$K$1))</f>
        <v>0</v>
      </c>
      <c r="D29" s="491"/>
      <c r="E29" s="492"/>
      <c r="F29" s="493"/>
      <c r="G29" s="442"/>
      <c r="H29" s="445"/>
      <c r="I29" s="445"/>
      <c r="J29" s="445"/>
      <c r="K29" s="446"/>
    </row>
    <row r="30" spans="1:14" s="2118" customFormat="1" ht="13.5" customHeight="1">
      <c r="A30" s="441">
        <v>2</v>
      </c>
      <c r="B30" s="474" t="s">
        <v>512</v>
      </c>
      <c r="C30" s="495">
        <f ca="1">ROUND(C28*C29,0)</f>
        <v>0</v>
      </c>
      <c r="D30" s="491"/>
      <c r="E30" s="496"/>
      <c r="F30" s="497"/>
      <c r="G30" s="1326" t="s">
        <v>513</v>
      </c>
      <c r="H30" s="494"/>
      <c r="I30" s="494"/>
      <c r="J30" s="445"/>
      <c r="K30" s="446"/>
    </row>
    <row r="31" spans="1:14" s="2123" customFormat="1" ht="13.5" customHeight="1">
      <c r="A31" s="2502" t="s">
        <v>1861</v>
      </c>
      <c r="B31" s="1327"/>
      <c r="C31" s="498">
        <f>ROUND(C6*F31/(1+'数据-取费表'!C42),0)</f>
        <v>0</v>
      </c>
      <c r="D31" s="1328"/>
      <c r="E31" s="1328"/>
      <c r="F31" s="499">
        <f>'数据-取费表'!B41</f>
        <v>5.6000000000000001E-2</v>
      </c>
      <c r="G31" s="1329"/>
      <c r="H31" s="1329"/>
      <c r="I31" s="1329"/>
      <c r="J31" s="1330"/>
      <c r="K31" s="1331"/>
    </row>
    <row r="32" spans="1:14" s="2082"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503"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1" customWidth="1"/>
    <col min="2" max="2" width="6.25" style="2961" customWidth="1"/>
    <col min="3" max="3" width="13.875" style="2961" customWidth="1"/>
    <col min="4" max="4" width="7.875" style="2961" customWidth="1"/>
    <col min="5" max="5" width="37" style="2961" customWidth="1"/>
    <col min="6" max="6" width="7.875" style="2961" customWidth="1"/>
    <col min="7" max="8" width="13.875" style="2961" customWidth="1"/>
    <col min="9" max="9" width="18" style="2961" customWidth="1"/>
    <col min="10" max="10" width="14.375" style="2961" customWidth="1"/>
    <col min="11" max="11" width="38" style="2961" customWidth="1"/>
    <col min="12" max="13" width="10.625" style="2961" customWidth="1"/>
    <col min="14" max="14" width="16" style="2961" customWidth="1"/>
    <col min="15" max="15" width="14.375" style="2961" customWidth="1"/>
    <col min="16" max="16" width="6.25" style="2961" customWidth="1"/>
    <col min="17" max="17" width="16.125" style="2961" customWidth="1"/>
    <col min="18" max="256" width="9" style="2961"/>
    <col min="257" max="257" width="37" style="2961" customWidth="1"/>
    <col min="258" max="258" width="6.25" style="2961" customWidth="1"/>
    <col min="259" max="259" width="13.875" style="2961" customWidth="1"/>
    <col min="260" max="260" width="7.875" style="2961" customWidth="1"/>
    <col min="261" max="261" width="37" style="2961" customWidth="1"/>
    <col min="262" max="262" width="7.875" style="2961" customWidth="1"/>
    <col min="263" max="264" width="13.875" style="2961" customWidth="1"/>
    <col min="265" max="265" width="12.875" style="2961" customWidth="1"/>
    <col min="266" max="266" width="9" style="2961" customWidth="1"/>
    <col min="267" max="267" width="38" style="2961" customWidth="1"/>
    <col min="268" max="269" width="10.625" style="2961" customWidth="1"/>
    <col min="270" max="270" width="16" style="2961" customWidth="1"/>
    <col min="271" max="271" width="14.375" style="2961" customWidth="1"/>
    <col min="272" max="272" width="6.25" style="2961" customWidth="1"/>
    <col min="273" max="273" width="16.125" style="2961" customWidth="1"/>
    <col min="274" max="512" width="9" style="2961"/>
    <col min="513" max="513" width="37" style="2961" customWidth="1"/>
    <col min="514" max="514" width="6.25" style="2961" customWidth="1"/>
    <col min="515" max="515" width="13.875" style="2961" customWidth="1"/>
    <col min="516" max="516" width="7.875" style="2961" customWidth="1"/>
    <col min="517" max="517" width="37" style="2961" customWidth="1"/>
    <col min="518" max="518" width="7.875" style="2961" customWidth="1"/>
    <col min="519" max="520" width="13.875" style="2961" customWidth="1"/>
    <col min="521" max="521" width="12.875" style="2961" customWidth="1"/>
    <col min="522" max="522" width="9" style="2961" customWidth="1"/>
    <col min="523" max="523" width="38" style="2961" customWidth="1"/>
    <col min="524" max="525" width="10.625" style="2961" customWidth="1"/>
    <col min="526" max="526" width="16" style="2961" customWidth="1"/>
    <col min="527" max="527" width="14.375" style="2961" customWidth="1"/>
    <col min="528" max="528" width="6.25" style="2961" customWidth="1"/>
    <col min="529" max="529" width="16.125" style="2961" customWidth="1"/>
    <col min="530" max="768" width="9" style="2961"/>
    <col min="769" max="769" width="37" style="2961" customWidth="1"/>
    <col min="770" max="770" width="6.25" style="2961" customWidth="1"/>
    <col min="771" max="771" width="13.875" style="2961" customWidth="1"/>
    <col min="772" max="772" width="7.875" style="2961" customWidth="1"/>
    <col min="773" max="773" width="37" style="2961" customWidth="1"/>
    <col min="774" max="774" width="7.875" style="2961" customWidth="1"/>
    <col min="775" max="776" width="13.875" style="2961" customWidth="1"/>
    <col min="777" max="777" width="12.875" style="2961" customWidth="1"/>
    <col min="778" max="778" width="9" style="2961" customWidth="1"/>
    <col min="779" max="779" width="38" style="2961" customWidth="1"/>
    <col min="780" max="781" width="10.625" style="2961" customWidth="1"/>
    <col min="782" max="782" width="16" style="2961" customWidth="1"/>
    <col min="783" max="783" width="14.375" style="2961" customWidth="1"/>
    <col min="784" max="784" width="6.25" style="2961" customWidth="1"/>
    <col min="785" max="785" width="16.125" style="2961" customWidth="1"/>
    <col min="786" max="1024" width="9" style="2961"/>
    <col min="1025" max="1025" width="37" style="2961" customWidth="1"/>
    <col min="1026" max="1026" width="6.25" style="2961" customWidth="1"/>
    <col min="1027" max="1027" width="13.875" style="2961" customWidth="1"/>
    <col min="1028" max="1028" width="7.875" style="2961" customWidth="1"/>
    <col min="1029" max="1029" width="37" style="2961" customWidth="1"/>
    <col min="1030" max="1030" width="7.875" style="2961" customWidth="1"/>
    <col min="1031" max="1032" width="13.875" style="2961" customWidth="1"/>
    <col min="1033" max="1033" width="12.875" style="2961" customWidth="1"/>
    <col min="1034" max="1034" width="9" style="2961" customWidth="1"/>
    <col min="1035" max="1035" width="38" style="2961" customWidth="1"/>
    <col min="1036" max="1037" width="10.625" style="2961" customWidth="1"/>
    <col min="1038" max="1038" width="16" style="2961" customWidth="1"/>
    <col min="1039" max="1039" width="14.375" style="2961" customWidth="1"/>
    <col min="1040" max="1040" width="6.25" style="2961" customWidth="1"/>
    <col min="1041" max="1041" width="16.125" style="2961" customWidth="1"/>
    <col min="1042" max="1280" width="9" style="2961"/>
    <col min="1281" max="1281" width="37" style="2961" customWidth="1"/>
    <col min="1282" max="1282" width="6.25" style="2961" customWidth="1"/>
    <col min="1283" max="1283" width="13.875" style="2961" customWidth="1"/>
    <col min="1284" max="1284" width="7.875" style="2961" customWidth="1"/>
    <col min="1285" max="1285" width="37" style="2961" customWidth="1"/>
    <col min="1286" max="1286" width="7.875" style="2961" customWidth="1"/>
    <col min="1287" max="1288" width="13.875" style="2961" customWidth="1"/>
    <col min="1289" max="1289" width="12.875" style="2961" customWidth="1"/>
    <col min="1290" max="1290" width="9" style="2961" customWidth="1"/>
    <col min="1291" max="1291" width="38" style="2961" customWidth="1"/>
    <col min="1292" max="1293" width="10.625" style="2961" customWidth="1"/>
    <col min="1294" max="1294" width="16" style="2961" customWidth="1"/>
    <col min="1295" max="1295" width="14.375" style="2961" customWidth="1"/>
    <col min="1296" max="1296" width="6.25" style="2961" customWidth="1"/>
    <col min="1297" max="1297" width="16.125" style="2961" customWidth="1"/>
    <col min="1298" max="1536" width="9" style="2961"/>
    <col min="1537" max="1537" width="37" style="2961" customWidth="1"/>
    <col min="1538" max="1538" width="6.25" style="2961" customWidth="1"/>
    <col min="1539" max="1539" width="13.875" style="2961" customWidth="1"/>
    <col min="1540" max="1540" width="7.875" style="2961" customWidth="1"/>
    <col min="1541" max="1541" width="37" style="2961" customWidth="1"/>
    <col min="1542" max="1542" width="7.875" style="2961" customWidth="1"/>
    <col min="1543" max="1544" width="13.875" style="2961" customWidth="1"/>
    <col min="1545" max="1545" width="12.875" style="2961" customWidth="1"/>
    <col min="1546" max="1546" width="9" style="2961" customWidth="1"/>
    <col min="1547" max="1547" width="38" style="2961" customWidth="1"/>
    <col min="1548" max="1549" width="10.625" style="2961" customWidth="1"/>
    <col min="1550" max="1550" width="16" style="2961" customWidth="1"/>
    <col min="1551" max="1551" width="14.375" style="2961" customWidth="1"/>
    <col min="1552" max="1552" width="6.25" style="2961" customWidth="1"/>
    <col min="1553" max="1553" width="16.125" style="2961" customWidth="1"/>
    <col min="1554" max="1792" width="9" style="2961"/>
    <col min="1793" max="1793" width="37" style="2961" customWidth="1"/>
    <col min="1794" max="1794" width="6.25" style="2961" customWidth="1"/>
    <col min="1795" max="1795" width="13.875" style="2961" customWidth="1"/>
    <col min="1796" max="1796" width="7.875" style="2961" customWidth="1"/>
    <col min="1797" max="1797" width="37" style="2961" customWidth="1"/>
    <col min="1798" max="1798" width="7.875" style="2961" customWidth="1"/>
    <col min="1799" max="1800" width="13.875" style="2961" customWidth="1"/>
    <col min="1801" max="1801" width="12.875" style="2961" customWidth="1"/>
    <col min="1802" max="1802" width="9" style="2961" customWidth="1"/>
    <col min="1803" max="1803" width="38" style="2961" customWidth="1"/>
    <col min="1804" max="1805" width="10.625" style="2961" customWidth="1"/>
    <col min="1806" max="1806" width="16" style="2961" customWidth="1"/>
    <col min="1807" max="1807" width="14.375" style="2961" customWidth="1"/>
    <col min="1808" max="1808" width="6.25" style="2961" customWidth="1"/>
    <col min="1809" max="1809" width="16.125" style="2961" customWidth="1"/>
    <col min="1810" max="2048" width="9" style="2961"/>
    <col min="2049" max="2049" width="37" style="2961" customWidth="1"/>
    <col min="2050" max="2050" width="6.25" style="2961" customWidth="1"/>
    <col min="2051" max="2051" width="13.875" style="2961" customWidth="1"/>
    <col min="2052" max="2052" width="7.875" style="2961" customWidth="1"/>
    <col min="2053" max="2053" width="37" style="2961" customWidth="1"/>
    <col min="2054" max="2054" width="7.875" style="2961" customWidth="1"/>
    <col min="2055" max="2056" width="13.875" style="2961" customWidth="1"/>
    <col min="2057" max="2057" width="12.875" style="2961" customWidth="1"/>
    <col min="2058" max="2058" width="9" style="2961" customWidth="1"/>
    <col min="2059" max="2059" width="38" style="2961" customWidth="1"/>
    <col min="2060" max="2061" width="10.625" style="2961" customWidth="1"/>
    <col min="2062" max="2062" width="16" style="2961" customWidth="1"/>
    <col min="2063" max="2063" width="14.375" style="2961" customWidth="1"/>
    <col min="2064" max="2064" width="6.25" style="2961" customWidth="1"/>
    <col min="2065" max="2065" width="16.125" style="2961" customWidth="1"/>
    <col min="2066" max="2304" width="9" style="2961"/>
    <col min="2305" max="2305" width="37" style="2961" customWidth="1"/>
    <col min="2306" max="2306" width="6.25" style="2961" customWidth="1"/>
    <col min="2307" max="2307" width="13.875" style="2961" customWidth="1"/>
    <col min="2308" max="2308" width="7.875" style="2961" customWidth="1"/>
    <col min="2309" max="2309" width="37" style="2961" customWidth="1"/>
    <col min="2310" max="2310" width="7.875" style="2961" customWidth="1"/>
    <col min="2311" max="2312" width="13.875" style="2961" customWidth="1"/>
    <col min="2313" max="2313" width="12.875" style="2961" customWidth="1"/>
    <col min="2314" max="2314" width="9" style="2961" customWidth="1"/>
    <col min="2315" max="2315" width="38" style="2961" customWidth="1"/>
    <col min="2316" max="2317" width="10.625" style="2961" customWidth="1"/>
    <col min="2318" max="2318" width="16" style="2961" customWidth="1"/>
    <col min="2319" max="2319" width="14.375" style="2961" customWidth="1"/>
    <col min="2320" max="2320" width="6.25" style="2961" customWidth="1"/>
    <col min="2321" max="2321" width="16.125" style="2961" customWidth="1"/>
    <col min="2322" max="2560" width="9" style="2961"/>
    <col min="2561" max="2561" width="37" style="2961" customWidth="1"/>
    <col min="2562" max="2562" width="6.25" style="2961" customWidth="1"/>
    <col min="2563" max="2563" width="13.875" style="2961" customWidth="1"/>
    <col min="2564" max="2564" width="7.875" style="2961" customWidth="1"/>
    <col min="2565" max="2565" width="37" style="2961" customWidth="1"/>
    <col min="2566" max="2566" width="7.875" style="2961" customWidth="1"/>
    <col min="2567" max="2568" width="13.875" style="2961" customWidth="1"/>
    <col min="2569" max="2569" width="12.875" style="2961" customWidth="1"/>
    <col min="2570" max="2570" width="9" style="2961" customWidth="1"/>
    <col min="2571" max="2571" width="38" style="2961" customWidth="1"/>
    <col min="2572" max="2573" width="10.625" style="2961" customWidth="1"/>
    <col min="2574" max="2574" width="16" style="2961" customWidth="1"/>
    <col min="2575" max="2575" width="14.375" style="2961" customWidth="1"/>
    <col min="2576" max="2576" width="6.25" style="2961" customWidth="1"/>
    <col min="2577" max="2577" width="16.125" style="2961" customWidth="1"/>
    <col min="2578" max="2816" width="9" style="2961"/>
    <col min="2817" max="2817" width="37" style="2961" customWidth="1"/>
    <col min="2818" max="2818" width="6.25" style="2961" customWidth="1"/>
    <col min="2819" max="2819" width="13.875" style="2961" customWidth="1"/>
    <col min="2820" max="2820" width="7.875" style="2961" customWidth="1"/>
    <col min="2821" max="2821" width="37" style="2961" customWidth="1"/>
    <col min="2822" max="2822" width="7.875" style="2961" customWidth="1"/>
    <col min="2823" max="2824" width="13.875" style="2961" customWidth="1"/>
    <col min="2825" max="2825" width="12.875" style="2961" customWidth="1"/>
    <col min="2826" max="2826" width="9" style="2961" customWidth="1"/>
    <col min="2827" max="2827" width="38" style="2961" customWidth="1"/>
    <col min="2828" max="2829" width="10.625" style="2961" customWidth="1"/>
    <col min="2830" max="2830" width="16" style="2961" customWidth="1"/>
    <col min="2831" max="2831" width="14.375" style="2961" customWidth="1"/>
    <col min="2832" max="2832" width="6.25" style="2961" customWidth="1"/>
    <col min="2833" max="2833" width="16.125" style="2961" customWidth="1"/>
    <col min="2834" max="3072" width="9" style="2961"/>
    <col min="3073" max="3073" width="37" style="2961" customWidth="1"/>
    <col min="3074" max="3074" width="6.25" style="2961" customWidth="1"/>
    <col min="3075" max="3075" width="13.875" style="2961" customWidth="1"/>
    <col min="3076" max="3076" width="7.875" style="2961" customWidth="1"/>
    <col min="3077" max="3077" width="37" style="2961" customWidth="1"/>
    <col min="3078" max="3078" width="7.875" style="2961" customWidth="1"/>
    <col min="3079" max="3080" width="13.875" style="2961" customWidth="1"/>
    <col min="3081" max="3081" width="12.875" style="2961" customWidth="1"/>
    <col min="3082" max="3082" width="9" style="2961" customWidth="1"/>
    <col min="3083" max="3083" width="38" style="2961" customWidth="1"/>
    <col min="3084" max="3085" width="10.625" style="2961" customWidth="1"/>
    <col min="3086" max="3086" width="16" style="2961" customWidth="1"/>
    <col min="3087" max="3087" width="14.375" style="2961" customWidth="1"/>
    <col min="3088" max="3088" width="6.25" style="2961" customWidth="1"/>
    <col min="3089" max="3089" width="16.125" style="2961" customWidth="1"/>
    <col min="3090" max="3328" width="9" style="2961"/>
    <col min="3329" max="3329" width="37" style="2961" customWidth="1"/>
    <col min="3330" max="3330" width="6.25" style="2961" customWidth="1"/>
    <col min="3331" max="3331" width="13.875" style="2961" customWidth="1"/>
    <col min="3332" max="3332" width="7.875" style="2961" customWidth="1"/>
    <col min="3333" max="3333" width="37" style="2961" customWidth="1"/>
    <col min="3334" max="3334" width="7.875" style="2961" customWidth="1"/>
    <col min="3335" max="3336" width="13.875" style="2961" customWidth="1"/>
    <col min="3337" max="3337" width="12.875" style="2961" customWidth="1"/>
    <col min="3338" max="3338" width="9" style="2961" customWidth="1"/>
    <col min="3339" max="3339" width="38" style="2961" customWidth="1"/>
    <col min="3340" max="3341" width="10.625" style="2961" customWidth="1"/>
    <col min="3342" max="3342" width="16" style="2961" customWidth="1"/>
    <col min="3343" max="3343" width="14.375" style="2961" customWidth="1"/>
    <col min="3344" max="3344" width="6.25" style="2961" customWidth="1"/>
    <col min="3345" max="3345" width="16.125" style="2961" customWidth="1"/>
    <col min="3346" max="3584" width="9" style="2961"/>
    <col min="3585" max="3585" width="37" style="2961" customWidth="1"/>
    <col min="3586" max="3586" width="6.25" style="2961" customWidth="1"/>
    <col min="3587" max="3587" width="13.875" style="2961" customWidth="1"/>
    <col min="3588" max="3588" width="7.875" style="2961" customWidth="1"/>
    <col min="3589" max="3589" width="37" style="2961" customWidth="1"/>
    <col min="3590" max="3590" width="7.875" style="2961" customWidth="1"/>
    <col min="3591" max="3592" width="13.875" style="2961" customWidth="1"/>
    <col min="3593" max="3593" width="12.875" style="2961" customWidth="1"/>
    <col min="3594" max="3594" width="9" style="2961" customWidth="1"/>
    <col min="3595" max="3595" width="38" style="2961" customWidth="1"/>
    <col min="3596" max="3597" width="10.625" style="2961" customWidth="1"/>
    <col min="3598" max="3598" width="16" style="2961" customWidth="1"/>
    <col min="3599" max="3599" width="14.375" style="2961" customWidth="1"/>
    <col min="3600" max="3600" width="6.25" style="2961" customWidth="1"/>
    <col min="3601" max="3601" width="16.125" style="2961" customWidth="1"/>
    <col min="3602" max="3840" width="9" style="2961"/>
    <col min="3841" max="3841" width="37" style="2961" customWidth="1"/>
    <col min="3842" max="3842" width="6.25" style="2961" customWidth="1"/>
    <col min="3843" max="3843" width="13.875" style="2961" customWidth="1"/>
    <col min="3844" max="3844" width="7.875" style="2961" customWidth="1"/>
    <col min="3845" max="3845" width="37" style="2961" customWidth="1"/>
    <col min="3846" max="3846" width="7.875" style="2961" customWidth="1"/>
    <col min="3847" max="3848" width="13.875" style="2961" customWidth="1"/>
    <col min="3849" max="3849" width="12.875" style="2961" customWidth="1"/>
    <col min="3850" max="3850" width="9" style="2961" customWidth="1"/>
    <col min="3851" max="3851" width="38" style="2961" customWidth="1"/>
    <col min="3852" max="3853" width="10.625" style="2961" customWidth="1"/>
    <col min="3854" max="3854" width="16" style="2961" customWidth="1"/>
    <col min="3855" max="3855" width="14.375" style="2961" customWidth="1"/>
    <col min="3856" max="3856" width="6.25" style="2961" customWidth="1"/>
    <col min="3857" max="3857" width="16.125" style="2961" customWidth="1"/>
    <col min="3858" max="4096" width="9" style="2961"/>
    <col min="4097" max="4097" width="37" style="2961" customWidth="1"/>
    <col min="4098" max="4098" width="6.25" style="2961" customWidth="1"/>
    <col min="4099" max="4099" width="13.875" style="2961" customWidth="1"/>
    <col min="4100" max="4100" width="7.875" style="2961" customWidth="1"/>
    <col min="4101" max="4101" width="37" style="2961" customWidth="1"/>
    <col min="4102" max="4102" width="7.875" style="2961" customWidth="1"/>
    <col min="4103" max="4104" width="13.875" style="2961" customWidth="1"/>
    <col min="4105" max="4105" width="12.875" style="2961" customWidth="1"/>
    <col min="4106" max="4106" width="9" style="2961" customWidth="1"/>
    <col min="4107" max="4107" width="38" style="2961" customWidth="1"/>
    <col min="4108" max="4109" width="10.625" style="2961" customWidth="1"/>
    <col min="4110" max="4110" width="16" style="2961" customWidth="1"/>
    <col min="4111" max="4111" width="14.375" style="2961" customWidth="1"/>
    <col min="4112" max="4112" width="6.25" style="2961" customWidth="1"/>
    <col min="4113" max="4113" width="16.125" style="2961" customWidth="1"/>
    <col min="4114" max="4352" width="9" style="2961"/>
    <col min="4353" max="4353" width="37" style="2961" customWidth="1"/>
    <col min="4354" max="4354" width="6.25" style="2961" customWidth="1"/>
    <col min="4355" max="4355" width="13.875" style="2961" customWidth="1"/>
    <col min="4356" max="4356" width="7.875" style="2961" customWidth="1"/>
    <col min="4357" max="4357" width="37" style="2961" customWidth="1"/>
    <col min="4358" max="4358" width="7.875" style="2961" customWidth="1"/>
    <col min="4359" max="4360" width="13.875" style="2961" customWidth="1"/>
    <col min="4361" max="4361" width="12.875" style="2961" customWidth="1"/>
    <col min="4362" max="4362" width="9" style="2961" customWidth="1"/>
    <col min="4363" max="4363" width="38" style="2961" customWidth="1"/>
    <col min="4364" max="4365" width="10.625" style="2961" customWidth="1"/>
    <col min="4366" max="4366" width="16" style="2961" customWidth="1"/>
    <col min="4367" max="4367" width="14.375" style="2961" customWidth="1"/>
    <col min="4368" max="4368" width="6.25" style="2961" customWidth="1"/>
    <col min="4369" max="4369" width="16.125" style="2961" customWidth="1"/>
    <col min="4370" max="4608" width="9" style="2961"/>
    <col min="4609" max="4609" width="37" style="2961" customWidth="1"/>
    <col min="4610" max="4610" width="6.25" style="2961" customWidth="1"/>
    <col min="4611" max="4611" width="13.875" style="2961" customWidth="1"/>
    <col min="4612" max="4612" width="7.875" style="2961" customWidth="1"/>
    <col min="4613" max="4613" width="37" style="2961" customWidth="1"/>
    <col min="4614" max="4614" width="7.875" style="2961" customWidth="1"/>
    <col min="4615" max="4616" width="13.875" style="2961" customWidth="1"/>
    <col min="4617" max="4617" width="12.875" style="2961" customWidth="1"/>
    <col min="4618" max="4618" width="9" style="2961" customWidth="1"/>
    <col min="4619" max="4619" width="38" style="2961" customWidth="1"/>
    <col min="4620" max="4621" width="10.625" style="2961" customWidth="1"/>
    <col min="4622" max="4622" width="16" style="2961" customWidth="1"/>
    <col min="4623" max="4623" width="14.375" style="2961" customWidth="1"/>
    <col min="4624" max="4624" width="6.25" style="2961" customWidth="1"/>
    <col min="4625" max="4625" width="16.125" style="2961" customWidth="1"/>
    <col min="4626" max="4864" width="9" style="2961"/>
    <col min="4865" max="4865" width="37" style="2961" customWidth="1"/>
    <col min="4866" max="4866" width="6.25" style="2961" customWidth="1"/>
    <col min="4867" max="4867" width="13.875" style="2961" customWidth="1"/>
    <col min="4868" max="4868" width="7.875" style="2961" customWidth="1"/>
    <col min="4869" max="4869" width="37" style="2961" customWidth="1"/>
    <col min="4870" max="4870" width="7.875" style="2961" customWidth="1"/>
    <col min="4871" max="4872" width="13.875" style="2961" customWidth="1"/>
    <col min="4873" max="4873" width="12.875" style="2961" customWidth="1"/>
    <col min="4874" max="4874" width="9" style="2961" customWidth="1"/>
    <col min="4875" max="4875" width="38" style="2961" customWidth="1"/>
    <col min="4876" max="4877" width="10.625" style="2961" customWidth="1"/>
    <col min="4878" max="4878" width="16" style="2961" customWidth="1"/>
    <col min="4879" max="4879" width="14.375" style="2961" customWidth="1"/>
    <col min="4880" max="4880" width="6.25" style="2961" customWidth="1"/>
    <col min="4881" max="4881" width="16.125" style="2961" customWidth="1"/>
    <col min="4882" max="5120" width="9" style="2961"/>
    <col min="5121" max="5121" width="37" style="2961" customWidth="1"/>
    <col min="5122" max="5122" width="6.25" style="2961" customWidth="1"/>
    <col min="5123" max="5123" width="13.875" style="2961" customWidth="1"/>
    <col min="5124" max="5124" width="7.875" style="2961" customWidth="1"/>
    <col min="5125" max="5125" width="37" style="2961" customWidth="1"/>
    <col min="5126" max="5126" width="7.875" style="2961" customWidth="1"/>
    <col min="5127" max="5128" width="13.875" style="2961" customWidth="1"/>
    <col min="5129" max="5129" width="12.875" style="2961" customWidth="1"/>
    <col min="5130" max="5130" width="9" style="2961" customWidth="1"/>
    <col min="5131" max="5131" width="38" style="2961" customWidth="1"/>
    <col min="5132" max="5133" width="10.625" style="2961" customWidth="1"/>
    <col min="5134" max="5134" width="16" style="2961" customWidth="1"/>
    <col min="5135" max="5135" width="14.375" style="2961" customWidth="1"/>
    <col min="5136" max="5136" width="6.25" style="2961" customWidth="1"/>
    <col min="5137" max="5137" width="16.125" style="2961" customWidth="1"/>
    <col min="5138" max="5376" width="9" style="2961"/>
    <col min="5377" max="5377" width="37" style="2961" customWidth="1"/>
    <col min="5378" max="5378" width="6.25" style="2961" customWidth="1"/>
    <col min="5379" max="5379" width="13.875" style="2961" customWidth="1"/>
    <col min="5380" max="5380" width="7.875" style="2961" customWidth="1"/>
    <col min="5381" max="5381" width="37" style="2961" customWidth="1"/>
    <col min="5382" max="5382" width="7.875" style="2961" customWidth="1"/>
    <col min="5383" max="5384" width="13.875" style="2961" customWidth="1"/>
    <col min="5385" max="5385" width="12.875" style="2961" customWidth="1"/>
    <col min="5386" max="5386" width="9" style="2961" customWidth="1"/>
    <col min="5387" max="5387" width="38" style="2961" customWidth="1"/>
    <col min="5388" max="5389" width="10.625" style="2961" customWidth="1"/>
    <col min="5390" max="5390" width="16" style="2961" customWidth="1"/>
    <col min="5391" max="5391" width="14.375" style="2961" customWidth="1"/>
    <col min="5392" max="5392" width="6.25" style="2961" customWidth="1"/>
    <col min="5393" max="5393" width="16.125" style="2961" customWidth="1"/>
    <col min="5394" max="5632" width="9" style="2961"/>
    <col min="5633" max="5633" width="37" style="2961" customWidth="1"/>
    <col min="5634" max="5634" width="6.25" style="2961" customWidth="1"/>
    <col min="5635" max="5635" width="13.875" style="2961" customWidth="1"/>
    <col min="5636" max="5636" width="7.875" style="2961" customWidth="1"/>
    <col min="5637" max="5637" width="37" style="2961" customWidth="1"/>
    <col min="5638" max="5638" width="7.875" style="2961" customWidth="1"/>
    <col min="5639" max="5640" width="13.875" style="2961" customWidth="1"/>
    <col min="5641" max="5641" width="12.875" style="2961" customWidth="1"/>
    <col min="5642" max="5642" width="9" style="2961" customWidth="1"/>
    <col min="5643" max="5643" width="38" style="2961" customWidth="1"/>
    <col min="5644" max="5645" width="10.625" style="2961" customWidth="1"/>
    <col min="5646" max="5646" width="16" style="2961" customWidth="1"/>
    <col min="5647" max="5647" width="14.375" style="2961" customWidth="1"/>
    <col min="5648" max="5648" width="6.25" style="2961" customWidth="1"/>
    <col min="5649" max="5649" width="16.125" style="2961" customWidth="1"/>
    <col min="5650" max="5888" width="9" style="2961"/>
    <col min="5889" max="5889" width="37" style="2961" customWidth="1"/>
    <col min="5890" max="5890" width="6.25" style="2961" customWidth="1"/>
    <col min="5891" max="5891" width="13.875" style="2961" customWidth="1"/>
    <col min="5892" max="5892" width="7.875" style="2961" customWidth="1"/>
    <col min="5893" max="5893" width="37" style="2961" customWidth="1"/>
    <col min="5894" max="5894" width="7.875" style="2961" customWidth="1"/>
    <col min="5895" max="5896" width="13.875" style="2961" customWidth="1"/>
    <col min="5897" max="5897" width="12.875" style="2961" customWidth="1"/>
    <col min="5898" max="5898" width="9" style="2961" customWidth="1"/>
    <col min="5899" max="5899" width="38" style="2961" customWidth="1"/>
    <col min="5900" max="5901" width="10.625" style="2961" customWidth="1"/>
    <col min="5902" max="5902" width="16" style="2961" customWidth="1"/>
    <col min="5903" max="5903" width="14.375" style="2961" customWidth="1"/>
    <col min="5904" max="5904" width="6.25" style="2961" customWidth="1"/>
    <col min="5905" max="5905" width="16.125" style="2961" customWidth="1"/>
    <col min="5906" max="6144" width="9" style="2961"/>
    <col min="6145" max="6145" width="37" style="2961" customWidth="1"/>
    <col min="6146" max="6146" width="6.25" style="2961" customWidth="1"/>
    <col min="6147" max="6147" width="13.875" style="2961" customWidth="1"/>
    <col min="6148" max="6148" width="7.875" style="2961" customWidth="1"/>
    <col min="6149" max="6149" width="37" style="2961" customWidth="1"/>
    <col min="6150" max="6150" width="7.875" style="2961" customWidth="1"/>
    <col min="6151" max="6152" width="13.875" style="2961" customWidth="1"/>
    <col min="6153" max="6153" width="12.875" style="2961" customWidth="1"/>
    <col min="6154" max="6154" width="9" style="2961" customWidth="1"/>
    <col min="6155" max="6155" width="38" style="2961" customWidth="1"/>
    <col min="6156" max="6157" width="10.625" style="2961" customWidth="1"/>
    <col min="6158" max="6158" width="16" style="2961" customWidth="1"/>
    <col min="6159" max="6159" width="14.375" style="2961" customWidth="1"/>
    <col min="6160" max="6160" width="6.25" style="2961" customWidth="1"/>
    <col min="6161" max="6161" width="16.125" style="2961" customWidth="1"/>
    <col min="6162" max="6400" width="9" style="2961"/>
    <col min="6401" max="6401" width="37" style="2961" customWidth="1"/>
    <col min="6402" max="6402" width="6.25" style="2961" customWidth="1"/>
    <col min="6403" max="6403" width="13.875" style="2961" customWidth="1"/>
    <col min="6404" max="6404" width="7.875" style="2961" customWidth="1"/>
    <col min="6405" max="6405" width="37" style="2961" customWidth="1"/>
    <col min="6406" max="6406" width="7.875" style="2961" customWidth="1"/>
    <col min="6407" max="6408" width="13.875" style="2961" customWidth="1"/>
    <col min="6409" max="6409" width="12.875" style="2961" customWidth="1"/>
    <col min="6410" max="6410" width="9" style="2961" customWidth="1"/>
    <col min="6411" max="6411" width="38" style="2961" customWidth="1"/>
    <col min="6412" max="6413" width="10.625" style="2961" customWidth="1"/>
    <col min="6414" max="6414" width="16" style="2961" customWidth="1"/>
    <col min="6415" max="6415" width="14.375" style="2961" customWidth="1"/>
    <col min="6416" max="6416" width="6.25" style="2961" customWidth="1"/>
    <col min="6417" max="6417" width="16.125" style="2961" customWidth="1"/>
    <col min="6418" max="6656" width="9" style="2961"/>
    <col min="6657" max="6657" width="37" style="2961" customWidth="1"/>
    <col min="6658" max="6658" width="6.25" style="2961" customWidth="1"/>
    <col min="6659" max="6659" width="13.875" style="2961" customWidth="1"/>
    <col min="6660" max="6660" width="7.875" style="2961" customWidth="1"/>
    <col min="6661" max="6661" width="37" style="2961" customWidth="1"/>
    <col min="6662" max="6662" width="7.875" style="2961" customWidth="1"/>
    <col min="6663" max="6664" width="13.875" style="2961" customWidth="1"/>
    <col min="6665" max="6665" width="12.875" style="2961" customWidth="1"/>
    <col min="6666" max="6666" width="9" style="2961" customWidth="1"/>
    <col min="6667" max="6667" width="38" style="2961" customWidth="1"/>
    <col min="6668" max="6669" width="10.625" style="2961" customWidth="1"/>
    <col min="6670" max="6670" width="16" style="2961" customWidth="1"/>
    <col min="6671" max="6671" width="14.375" style="2961" customWidth="1"/>
    <col min="6672" max="6672" width="6.25" style="2961" customWidth="1"/>
    <col min="6673" max="6673" width="16.125" style="2961" customWidth="1"/>
    <col min="6674" max="6912" width="9" style="2961"/>
    <col min="6913" max="6913" width="37" style="2961" customWidth="1"/>
    <col min="6914" max="6914" width="6.25" style="2961" customWidth="1"/>
    <col min="6915" max="6915" width="13.875" style="2961" customWidth="1"/>
    <col min="6916" max="6916" width="7.875" style="2961" customWidth="1"/>
    <col min="6917" max="6917" width="37" style="2961" customWidth="1"/>
    <col min="6918" max="6918" width="7.875" style="2961" customWidth="1"/>
    <col min="6919" max="6920" width="13.875" style="2961" customWidth="1"/>
    <col min="6921" max="6921" width="12.875" style="2961" customWidth="1"/>
    <col min="6922" max="6922" width="9" style="2961" customWidth="1"/>
    <col min="6923" max="6923" width="38" style="2961" customWidth="1"/>
    <col min="6924" max="6925" width="10.625" style="2961" customWidth="1"/>
    <col min="6926" max="6926" width="16" style="2961" customWidth="1"/>
    <col min="6927" max="6927" width="14.375" style="2961" customWidth="1"/>
    <col min="6928" max="6928" width="6.25" style="2961" customWidth="1"/>
    <col min="6929" max="6929" width="16.125" style="2961" customWidth="1"/>
    <col min="6930" max="7168" width="9" style="2961"/>
    <col min="7169" max="7169" width="37" style="2961" customWidth="1"/>
    <col min="7170" max="7170" width="6.25" style="2961" customWidth="1"/>
    <col min="7171" max="7171" width="13.875" style="2961" customWidth="1"/>
    <col min="7172" max="7172" width="7.875" style="2961" customWidth="1"/>
    <col min="7173" max="7173" width="37" style="2961" customWidth="1"/>
    <col min="7174" max="7174" width="7.875" style="2961" customWidth="1"/>
    <col min="7175" max="7176" width="13.875" style="2961" customWidth="1"/>
    <col min="7177" max="7177" width="12.875" style="2961" customWidth="1"/>
    <col min="7178" max="7178" width="9" style="2961" customWidth="1"/>
    <col min="7179" max="7179" width="38" style="2961" customWidth="1"/>
    <col min="7180" max="7181" width="10.625" style="2961" customWidth="1"/>
    <col min="7182" max="7182" width="16" style="2961" customWidth="1"/>
    <col min="7183" max="7183" width="14.375" style="2961" customWidth="1"/>
    <col min="7184" max="7184" width="6.25" style="2961" customWidth="1"/>
    <col min="7185" max="7185" width="16.125" style="2961" customWidth="1"/>
    <col min="7186" max="7424" width="9" style="2961"/>
    <col min="7425" max="7425" width="37" style="2961" customWidth="1"/>
    <col min="7426" max="7426" width="6.25" style="2961" customWidth="1"/>
    <col min="7427" max="7427" width="13.875" style="2961" customWidth="1"/>
    <col min="7428" max="7428" width="7.875" style="2961" customWidth="1"/>
    <col min="7429" max="7429" width="37" style="2961" customWidth="1"/>
    <col min="7430" max="7430" width="7.875" style="2961" customWidth="1"/>
    <col min="7431" max="7432" width="13.875" style="2961" customWidth="1"/>
    <col min="7433" max="7433" width="12.875" style="2961" customWidth="1"/>
    <col min="7434" max="7434" width="9" style="2961" customWidth="1"/>
    <col min="7435" max="7435" width="38" style="2961" customWidth="1"/>
    <col min="7436" max="7437" width="10.625" style="2961" customWidth="1"/>
    <col min="7438" max="7438" width="16" style="2961" customWidth="1"/>
    <col min="7439" max="7439" width="14.375" style="2961" customWidth="1"/>
    <col min="7440" max="7440" width="6.25" style="2961" customWidth="1"/>
    <col min="7441" max="7441" width="16.125" style="2961" customWidth="1"/>
    <col min="7442" max="7680" width="9" style="2961"/>
    <col min="7681" max="7681" width="37" style="2961" customWidth="1"/>
    <col min="7682" max="7682" width="6.25" style="2961" customWidth="1"/>
    <col min="7683" max="7683" width="13.875" style="2961" customWidth="1"/>
    <col min="7684" max="7684" width="7.875" style="2961" customWidth="1"/>
    <col min="7685" max="7685" width="37" style="2961" customWidth="1"/>
    <col min="7686" max="7686" width="7.875" style="2961" customWidth="1"/>
    <col min="7687" max="7688" width="13.875" style="2961" customWidth="1"/>
    <col min="7689" max="7689" width="12.875" style="2961" customWidth="1"/>
    <col min="7690" max="7690" width="9" style="2961" customWidth="1"/>
    <col min="7691" max="7691" width="38" style="2961" customWidth="1"/>
    <col min="7692" max="7693" width="10.625" style="2961" customWidth="1"/>
    <col min="7694" max="7694" width="16" style="2961" customWidth="1"/>
    <col min="7695" max="7695" width="14.375" style="2961" customWidth="1"/>
    <col min="7696" max="7696" width="6.25" style="2961" customWidth="1"/>
    <col min="7697" max="7697" width="16.125" style="2961" customWidth="1"/>
    <col min="7698" max="7936" width="9" style="2961"/>
    <col min="7937" max="7937" width="37" style="2961" customWidth="1"/>
    <col min="7938" max="7938" width="6.25" style="2961" customWidth="1"/>
    <col min="7939" max="7939" width="13.875" style="2961" customWidth="1"/>
    <col min="7940" max="7940" width="7.875" style="2961" customWidth="1"/>
    <col min="7941" max="7941" width="37" style="2961" customWidth="1"/>
    <col min="7942" max="7942" width="7.875" style="2961" customWidth="1"/>
    <col min="7943" max="7944" width="13.875" style="2961" customWidth="1"/>
    <col min="7945" max="7945" width="12.875" style="2961" customWidth="1"/>
    <col min="7946" max="7946" width="9" style="2961" customWidth="1"/>
    <col min="7947" max="7947" width="38" style="2961" customWidth="1"/>
    <col min="7948" max="7949" width="10.625" style="2961" customWidth="1"/>
    <col min="7950" max="7950" width="16" style="2961" customWidth="1"/>
    <col min="7951" max="7951" width="14.375" style="2961" customWidth="1"/>
    <col min="7952" max="7952" width="6.25" style="2961" customWidth="1"/>
    <col min="7953" max="7953" width="16.125" style="2961" customWidth="1"/>
    <col min="7954" max="8192" width="9" style="2961"/>
    <col min="8193" max="8193" width="37" style="2961" customWidth="1"/>
    <col min="8194" max="8194" width="6.25" style="2961" customWidth="1"/>
    <col min="8195" max="8195" width="13.875" style="2961" customWidth="1"/>
    <col min="8196" max="8196" width="7.875" style="2961" customWidth="1"/>
    <col min="8197" max="8197" width="37" style="2961" customWidth="1"/>
    <col min="8198" max="8198" width="7.875" style="2961" customWidth="1"/>
    <col min="8199" max="8200" width="13.875" style="2961" customWidth="1"/>
    <col min="8201" max="8201" width="12.875" style="2961" customWidth="1"/>
    <col min="8202" max="8202" width="9" style="2961" customWidth="1"/>
    <col min="8203" max="8203" width="38" style="2961" customWidth="1"/>
    <col min="8204" max="8205" width="10.625" style="2961" customWidth="1"/>
    <col min="8206" max="8206" width="16" style="2961" customWidth="1"/>
    <col min="8207" max="8207" width="14.375" style="2961" customWidth="1"/>
    <col min="8208" max="8208" width="6.25" style="2961" customWidth="1"/>
    <col min="8209" max="8209" width="16.125" style="2961" customWidth="1"/>
    <col min="8210" max="8448" width="9" style="2961"/>
    <col min="8449" max="8449" width="37" style="2961" customWidth="1"/>
    <col min="8450" max="8450" width="6.25" style="2961" customWidth="1"/>
    <col min="8451" max="8451" width="13.875" style="2961" customWidth="1"/>
    <col min="8452" max="8452" width="7.875" style="2961" customWidth="1"/>
    <col min="8453" max="8453" width="37" style="2961" customWidth="1"/>
    <col min="8454" max="8454" width="7.875" style="2961" customWidth="1"/>
    <col min="8455" max="8456" width="13.875" style="2961" customWidth="1"/>
    <col min="8457" max="8457" width="12.875" style="2961" customWidth="1"/>
    <col min="8458" max="8458" width="9" style="2961" customWidth="1"/>
    <col min="8459" max="8459" width="38" style="2961" customWidth="1"/>
    <col min="8460" max="8461" width="10.625" style="2961" customWidth="1"/>
    <col min="8462" max="8462" width="16" style="2961" customWidth="1"/>
    <col min="8463" max="8463" width="14.375" style="2961" customWidth="1"/>
    <col min="8464" max="8464" width="6.25" style="2961" customWidth="1"/>
    <col min="8465" max="8465" width="16.125" style="2961" customWidth="1"/>
    <col min="8466" max="8704" width="9" style="2961"/>
    <col min="8705" max="8705" width="37" style="2961" customWidth="1"/>
    <col min="8706" max="8706" width="6.25" style="2961" customWidth="1"/>
    <col min="8707" max="8707" width="13.875" style="2961" customWidth="1"/>
    <col min="8708" max="8708" width="7.875" style="2961" customWidth="1"/>
    <col min="8709" max="8709" width="37" style="2961" customWidth="1"/>
    <col min="8710" max="8710" width="7.875" style="2961" customWidth="1"/>
    <col min="8711" max="8712" width="13.875" style="2961" customWidth="1"/>
    <col min="8713" max="8713" width="12.875" style="2961" customWidth="1"/>
    <col min="8714" max="8714" width="9" style="2961" customWidth="1"/>
    <col min="8715" max="8715" width="38" style="2961" customWidth="1"/>
    <col min="8716" max="8717" width="10.625" style="2961" customWidth="1"/>
    <col min="8718" max="8718" width="16" style="2961" customWidth="1"/>
    <col min="8719" max="8719" width="14.375" style="2961" customWidth="1"/>
    <col min="8720" max="8720" width="6.25" style="2961" customWidth="1"/>
    <col min="8721" max="8721" width="16.125" style="2961" customWidth="1"/>
    <col min="8722" max="8960" width="9" style="2961"/>
    <col min="8961" max="8961" width="37" style="2961" customWidth="1"/>
    <col min="8962" max="8962" width="6.25" style="2961" customWidth="1"/>
    <col min="8963" max="8963" width="13.875" style="2961" customWidth="1"/>
    <col min="8964" max="8964" width="7.875" style="2961" customWidth="1"/>
    <col min="8965" max="8965" width="37" style="2961" customWidth="1"/>
    <col min="8966" max="8966" width="7.875" style="2961" customWidth="1"/>
    <col min="8967" max="8968" width="13.875" style="2961" customWidth="1"/>
    <col min="8969" max="8969" width="12.875" style="2961" customWidth="1"/>
    <col min="8970" max="8970" width="9" style="2961" customWidth="1"/>
    <col min="8971" max="8971" width="38" style="2961" customWidth="1"/>
    <col min="8972" max="8973" width="10.625" style="2961" customWidth="1"/>
    <col min="8974" max="8974" width="16" style="2961" customWidth="1"/>
    <col min="8975" max="8975" width="14.375" style="2961" customWidth="1"/>
    <col min="8976" max="8976" width="6.25" style="2961" customWidth="1"/>
    <col min="8977" max="8977" width="16.125" style="2961" customWidth="1"/>
    <col min="8978" max="9216" width="9" style="2961"/>
    <col min="9217" max="9217" width="37" style="2961" customWidth="1"/>
    <col min="9218" max="9218" width="6.25" style="2961" customWidth="1"/>
    <col min="9219" max="9219" width="13.875" style="2961" customWidth="1"/>
    <col min="9220" max="9220" width="7.875" style="2961" customWidth="1"/>
    <col min="9221" max="9221" width="37" style="2961" customWidth="1"/>
    <col min="9222" max="9222" width="7.875" style="2961" customWidth="1"/>
    <col min="9223" max="9224" width="13.875" style="2961" customWidth="1"/>
    <col min="9225" max="9225" width="12.875" style="2961" customWidth="1"/>
    <col min="9226" max="9226" width="9" style="2961" customWidth="1"/>
    <col min="9227" max="9227" width="38" style="2961" customWidth="1"/>
    <col min="9228" max="9229" width="10.625" style="2961" customWidth="1"/>
    <col min="9230" max="9230" width="16" style="2961" customWidth="1"/>
    <col min="9231" max="9231" width="14.375" style="2961" customWidth="1"/>
    <col min="9232" max="9232" width="6.25" style="2961" customWidth="1"/>
    <col min="9233" max="9233" width="16.125" style="2961" customWidth="1"/>
    <col min="9234" max="9472" width="9" style="2961"/>
    <col min="9473" max="9473" width="37" style="2961" customWidth="1"/>
    <col min="9474" max="9474" width="6.25" style="2961" customWidth="1"/>
    <col min="9475" max="9475" width="13.875" style="2961" customWidth="1"/>
    <col min="9476" max="9476" width="7.875" style="2961" customWidth="1"/>
    <col min="9477" max="9477" width="37" style="2961" customWidth="1"/>
    <col min="9478" max="9478" width="7.875" style="2961" customWidth="1"/>
    <col min="9479" max="9480" width="13.875" style="2961" customWidth="1"/>
    <col min="9481" max="9481" width="12.875" style="2961" customWidth="1"/>
    <col min="9482" max="9482" width="9" style="2961" customWidth="1"/>
    <col min="9483" max="9483" width="38" style="2961" customWidth="1"/>
    <col min="9484" max="9485" width="10.625" style="2961" customWidth="1"/>
    <col min="9486" max="9486" width="16" style="2961" customWidth="1"/>
    <col min="9487" max="9487" width="14.375" style="2961" customWidth="1"/>
    <col min="9488" max="9488" width="6.25" style="2961" customWidth="1"/>
    <col min="9489" max="9489" width="16.125" style="2961" customWidth="1"/>
    <col min="9490" max="9728" width="9" style="2961"/>
    <col min="9729" max="9729" width="37" style="2961" customWidth="1"/>
    <col min="9730" max="9730" width="6.25" style="2961" customWidth="1"/>
    <col min="9731" max="9731" width="13.875" style="2961" customWidth="1"/>
    <col min="9732" max="9732" width="7.875" style="2961" customWidth="1"/>
    <col min="9733" max="9733" width="37" style="2961" customWidth="1"/>
    <col min="9734" max="9734" width="7.875" style="2961" customWidth="1"/>
    <col min="9735" max="9736" width="13.875" style="2961" customWidth="1"/>
    <col min="9737" max="9737" width="12.875" style="2961" customWidth="1"/>
    <col min="9738" max="9738" width="9" style="2961" customWidth="1"/>
    <col min="9739" max="9739" width="38" style="2961" customWidth="1"/>
    <col min="9740" max="9741" width="10.625" style="2961" customWidth="1"/>
    <col min="9742" max="9742" width="16" style="2961" customWidth="1"/>
    <col min="9743" max="9743" width="14.375" style="2961" customWidth="1"/>
    <col min="9744" max="9744" width="6.25" style="2961" customWidth="1"/>
    <col min="9745" max="9745" width="16.125" style="2961" customWidth="1"/>
    <col min="9746" max="9984" width="9" style="2961"/>
    <col min="9985" max="9985" width="37" style="2961" customWidth="1"/>
    <col min="9986" max="9986" width="6.25" style="2961" customWidth="1"/>
    <col min="9987" max="9987" width="13.875" style="2961" customWidth="1"/>
    <col min="9988" max="9988" width="7.875" style="2961" customWidth="1"/>
    <col min="9989" max="9989" width="37" style="2961" customWidth="1"/>
    <col min="9990" max="9990" width="7.875" style="2961" customWidth="1"/>
    <col min="9991" max="9992" width="13.875" style="2961" customWidth="1"/>
    <col min="9993" max="9993" width="12.875" style="2961" customWidth="1"/>
    <col min="9994" max="9994" width="9" style="2961" customWidth="1"/>
    <col min="9995" max="9995" width="38" style="2961" customWidth="1"/>
    <col min="9996" max="9997" width="10.625" style="2961" customWidth="1"/>
    <col min="9998" max="9998" width="16" style="2961" customWidth="1"/>
    <col min="9999" max="9999" width="14.375" style="2961" customWidth="1"/>
    <col min="10000" max="10000" width="6.25" style="2961" customWidth="1"/>
    <col min="10001" max="10001" width="16.125" style="2961" customWidth="1"/>
    <col min="10002" max="10240" width="9" style="2961"/>
    <col min="10241" max="10241" width="37" style="2961" customWidth="1"/>
    <col min="10242" max="10242" width="6.25" style="2961" customWidth="1"/>
    <col min="10243" max="10243" width="13.875" style="2961" customWidth="1"/>
    <col min="10244" max="10244" width="7.875" style="2961" customWidth="1"/>
    <col min="10245" max="10245" width="37" style="2961" customWidth="1"/>
    <col min="10246" max="10246" width="7.875" style="2961" customWidth="1"/>
    <col min="10247" max="10248" width="13.875" style="2961" customWidth="1"/>
    <col min="10249" max="10249" width="12.875" style="2961" customWidth="1"/>
    <col min="10250" max="10250" width="9" style="2961" customWidth="1"/>
    <col min="10251" max="10251" width="38" style="2961" customWidth="1"/>
    <col min="10252" max="10253" width="10.625" style="2961" customWidth="1"/>
    <col min="10254" max="10254" width="16" style="2961" customWidth="1"/>
    <col min="10255" max="10255" width="14.375" style="2961" customWidth="1"/>
    <col min="10256" max="10256" width="6.25" style="2961" customWidth="1"/>
    <col min="10257" max="10257" width="16.125" style="2961" customWidth="1"/>
    <col min="10258" max="10496" width="9" style="2961"/>
    <col min="10497" max="10497" width="37" style="2961" customWidth="1"/>
    <col min="10498" max="10498" width="6.25" style="2961" customWidth="1"/>
    <col min="10499" max="10499" width="13.875" style="2961" customWidth="1"/>
    <col min="10500" max="10500" width="7.875" style="2961" customWidth="1"/>
    <col min="10501" max="10501" width="37" style="2961" customWidth="1"/>
    <col min="10502" max="10502" width="7.875" style="2961" customWidth="1"/>
    <col min="10503" max="10504" width="13.875" style="2961" customWidth="1"/>
    <col min="10505" max="10505" width="12.875" style="2961" customWidth="1"/>
    <col min="10506" max="10506" width="9" style="2961" customWidth="1"/>
    <col min="10507" max="10507" width="38" style="2961" customWidth="1"/>
    <col min="10508" max="10509" width="10.625" style="2961" customWidth="1"/>
    <col min="10510" max="10510" width="16" style="2961" customWidth="1"/>
    <col min="10511" max="10511" width="14.375" style="2961" customWidth="1"/>
    <col min="10512" max="10512" width="6.25" style="2961" customWidth="1"/>
    <col min="10513" max="10513" width="16.125" style="2961" customWidth="1"/>
    <col min="10514" max="10752" width="9" style="2961"/>
    <col min="10753" max="10753" width="37" style="2961" customWidth="1"/>
    <col min="10754" max="10754" width="6.25" style="2961" customWidth="1"/>
    <col min="10755" max="10755" width="13.875" style="2961" customWidth="1"/>
    <col min="10756" max="10756" width="7.875" style="2961" customWidth="1"/>
    <col min="10757" max="10757" width="37" style="2961" customWidth="1"/>
    <col min="10758" max="10758" width="7.875" style="2961" customWidth="1"/>
    <col min="10759" max="10760" width="13.875" style="2961" customWidth="1"/>
    <col min="10761" max="10761" width="12.875" style="2961" customWidth="1"/>
    <col min="10762" max="10762" width="9" style="2961" customWidth="1"/>
    <col min="10763" max="10763" width="38" style="2961" customWidth="1"/>
    <col min="10764" max="10765" width="10.625" style="2961" customWidth="1"/>
    <col min="10766" max="10766" width="16" style="2961" customWidth="1"/>
    <col min="10767" max="10767" width="14.375" style="2961" customWidth="1"/>
    <col min="10768" max="10768" width="6.25" style="2961" customWidth="1"/>
    <col min="10769" max="10769" width="16.125" style="2961" customWidth="1"/>
    <col min="10770" max="11008" width="9" style="2961"/>
    <col min="11009" max="11009" width="37" style="2961" customWidth="1"/>
    <col min="11010" max="11010" width="6.25" style="2961" customWidth="1"/>
    <col min="11011" max="11011" width="13.875" style="2961" customWidth="1"/>
    <col min="11012" max="11012" width="7.875" style="2961" customWidth="1"/>
    <col min="11013" max="11013" width="37" style="2961" customWidth="1"/>
    <col min="11014" max="11014" width="7.875" style="2961" customWidth="1"/>
    <col min="11015" max="11016" width="13.875" style="2961" customWidth="1"/>
    <col min="11017" max="11017" width="12.875" style="2961" customWidth="1"/>
    <col min="11018" max="11018" width="9" style="2961" customWidth="1"/>
    <col min="11019" max="11019" width="38" style="2961" customWidth="1"/>
    <col min="11020" max="11021" width="10.625" style="2961" customWidth="1"/>
    <col min="11022" max="11022" width="16" style="2961" customWidth="1"/>
    <col min="11023" max="11023" width="14.375" style="2961" customWidth="1"/>
    <col min="11024" max="11024" width="6.25" style="2961" customWidth="1"/>
    <col min="11025" max="11025" width="16.125" style="2961" customWidth="1"/>
    <col min="11026" max="11264" width="9" style="2961"/>
    <col min="11265" max="11265" width="37" style="2961" customWidth="1"/>
    <col min="11266" max="11266" width="6.25" style="2961" customWidth="1"/>
    <col min="11267" max="11267" width="13.875" style="2961" customWidth="1"/>
    <col min="11268" max="11268" width="7.875" style="2961" customWidth="1"/>
    <col min="11269" max="11269" width="37" style="2961" customWidth="1"/>
    <col min="11270" max="11270" width="7.875" style="2961" customWidth="1"/>
    <col min="11271" max="11272" width="13.875" style="2961" customWidth="1"/>
    <col min="11273" max="11273" width="12.875" style="2961" customWidth="1"/>
    <col min="11274" max="11274" width="9" style="2961" customWidth="1"/>
    <col min="11275" max="11275" width="38" style="2961" customWidth="1"/>
    <col min="11276" max="11277" width="10.625" style="2961" customWidth="1"/>
    <col min="11278" max="11278" width="16" style="2961" customWidth="1"/>
    <col min="11279" max="11279" width="14.375" style="2961" customWidth="1"/>
    <col min="11280" max="11280" width="6.25" style="2961" customWidth="1"/>
    <col min="11281" max="11281" width="16.125" style="2961" customWidth="1"/>
    <col min="11282" max="11520" width="9" style="2961"/>
    <col min="11521" max="11521" width="37" style="2961" customWidth="1"/>
    <col min="11522" max="11522" width="6.25" style="2961" customWidth="1"/>
    <col min="11523" max="11523" width="13.875" style="2961" customWidth="1"/>
    <col min="11524" max="11524" width="7.875" style="2961" customWidth="1"/>
    <col min="11525" max="11525" width="37" style="2961" customWidth="1"/>
    <col min="11526" max="11526" width="7.875" style="2961" customWidth="1"/>
    <col min="11527" max="11528" width="13.875" style="2961" customWidth="1"/>
    <col min="11529" max="11529" width="12.875" style="2961" customWidth="1"/>
    <col min="11530" max="11530" width="9" style="2961" customWidth="1"/>
    <col min="11531" max="11531" width="38" style="2961" customWidth="1"/>
    <col min="11532" max="11533" width="10.625" style="2961" customWidth="1"/>
    <col min="11534" max="11534" width="16" style="2961" customWidth="1"/>
    <col min="11535" max="11535" width="14.375" style="2961" customWidth="1"/>
    <col min="11536" max="11536" width="6.25" style="2961" customWidth="1"/>
    <col min="11537" max="11537" width="16.125" style="2961" customWidth="1"/>
    <col min="11538" max="11776" width="9" style="2961"/>
    <col min="11777" max="11777" width="37" style="2961" customWidth="1"/>
    <col min="11778" max="11778" width="6.25" style="2961" customWidth="1"/>
    <col min="11779" max="11779" width="13.875" style="2961" customWidth="1"/>
    <col min="11780" max="11780" width="7.875" style="2961" customWidth="1"/>
    <col min="11781" max="11781" width="37" style="2961" customWidth="1"/>
    <col min="11782" max="11782" width="7.875" style="2961" customWidth="1"/>
    <col min="11783" max="11784" width="13.875" style="2961" customWidth="1"/>
    <col min="11785" max="11785" width="12.875" style="2961" customWidth="1"/>
    <col min="11786" max="11786" width="9" style="2961" customWidth="1"/>
    <col min="11787" max="11787" width="38" style="2961" customWidth="1"/>
    <col min="11788" max="11789" width="10.625" style="2961" customWidth="1"/>
    <col min="11790" max="11790" width="16" style="2961" customWidth="1"/>
    <col min="11791" max="11791" width="14.375" style="2961" customWidth="1"/>
    <col min="11792" max="11792" width="6.25" style="2961" customWidth="1"/>
    <col min="11793" max="11793" width="16.125" style="2961" customWidth="1"/>
    <col min="11794" max="12032" width="9" style="2961"/>
    <col min="12033" max="12033" width="37" style="2961" customWidth="1"/>
    <col min="12034" max="12034" width="6.25" style="2961" customWidth="1"/>
    <col min="12035" max="12035" width="13.875" style="2961" customWidth="1"/>
    <col min="12036" max="12036" width="7.875" style="2961" customWidth="1"/>
    <col min="12037" max="12037" width="37" style="2961" customWidth="1"/>
    <col min="12038" max="12038" width="7.875" style="2961" customWidth="1"/>
    <col min="12039" max="12040" width="13.875" style="2961" customWidth="1"/>
    <col min="12041" max="12041" width="12.875" style="2961" customWidth="1"/>
    <col min="12042" max="12042" width="9" style="2961" customWidth="1"/>
    <col min="12043" max="12043" width="38" style="2961" customWidth="1"/>
    <col min="12044" max="12045" width="10.625" style="2961" customWidth="1"/>
    <col min="12046" max="12046" width="16" style="2961" customWidth="1"/>
    <col min="12047" max="12047" width="14.375" style="2961" customWidth="1"/>
    <col min="12048" max="12048" width="6.25" style="2961" customWidth="1"/>
    <col min="12049" max="12049" width="16.125" style="2961" customWidth="1"/>
    <col min="12050" max="12288" width="9" style="2961"/>
    <col min="12289" max="12289" width="37" style="2961" customWidth="1"/>
    <col min="12290" max="12290" width="6.25" style="2961" customWidth="1"/>
    <col min="12291" max="12291" width="13.875" style="2961" customWidth="1"/>
    <col min="12292" max="12292" width="7.875" style="2961" customWidth="1"/>
    <col min="12293" max="12293" width="37" style="2961" customWidth="1"/>
    <col min="12294" max="12294" width="7.875" style="2961" customWidth="1"/>
    <col min="12295" max="12296" width="13.875" style="2961" customWidth="1"/>
    <col min="12297" max="12297" width="12.875" style="2961" customWidth="1"/>
    <col min="12298" max="12298" width="9" style="2961" customWidth="1"/>
    <col min="12299" max="12299" width="38" style="2961" customWidth="1"/>
    <col min="12300" max="12301" width="10.625" style="2961" customWidth="1"/>
    <col min="12302" max="12302" width="16" style="2961" customWidth="1"/>
    <col min="12303" max="12303" width="14.375" style="2961" customWidth="1"/>
    <col min="12304" max="12304" width="6.25" style="2961" customWidth="1"/>
    <col min="12305" max="12305" width="16.125" style="2961" customWidth="1"/>
    <col min="12306" max="12544" width="9" style="2961"/>
    <col min="12545" max="12545" width="37" style="2961" customWidth="1"/>
    <col min="12546" max="12546" width="6.25" style="2961" customWidth="1"/>
    <col min="12547" max="12547" width="13.875" style="2961" customWidth="1"/>
    <col min="12548" max="12548" width="7.875" style="2961" customWidth="1"/>
    <col min="12549" max="12549" width="37" style="2961" customWidth="1"/>
    <col min="12550" max="12550" width="7.875" style="2961" customWidth="1"/>
    <col min="12551" max="12552" width="13.875" style="2961" customWidth="1"/>
    <col min="12553" max="12553" width="12.875" style="2961" customWidth="1"/>
    <col min="12554" max="12554" width="9" style="2961" customWidth="1"/>
    <col min="12555" max="12555" width="38" style="2961" customWidth="1"/>
    <col min="12556" max="12557" width="10.625" style="2961" customWidth="1"/>
    <col min="12558" max="12558" width="16" style="2961" customWidth="1"/>
    <col min="12559" max="12559" width="14.375" style="2961" customWidth="1"/>
    <col min="12560" max="12560" width="6.25" style="2961" customWidth="1"/>
    <col min="12561" max="12561" width="16.125" style="2961" customWidth="1"/>
    <col min="12562" max="12800" width="9" style="2961"/>
    <col min="12801" max="12801" width="37" style="2961" customWidth="1"/>
    <col min="12802" max="12802" width="6.25" style="2961" customWidth="1"/>
    <col min="12803" max="12803" width="13.875" style="2961" customWidth="1"/>
    <col min="12804" max="12804" width="7.875" style="2961" customWidth="1"/>
    <col min="12805" max="12805" width="37" style="2961" customWidth="1"/>
    <col min="12806" max="12806" width="7.875" style="2961" customWidth="1"/>
    <col min="12807" max="12808" width="13.875" style="2961" customWidth="1"/>
    <col min="12809" max="12809" width="12.875" style="2961" customWidth="1"/>
    <col min="12810" max="12810" width="9" style="2961" customWidth="1"/>
    <col min="12811" max="12811" width="38" style="2961" customWidth="1"/>
    <col min="12812" max="12813" width="10.625" style="2961" customWidth="1"/>
    <col min="12814" max="12814" width="16" style="2961" customWidth="1"/>
    <col min="12815" max="12815" width="14.375" style="2961" customWidth="1"/>
    <col min="12816" max="12816" width="6.25" style="2961" customWidth="1"/>
    <col min="12817" max="12817" width="16.125" style="2961" customWidth="1"/>
    <col min="12818" max="13056" width="9" style="2961"/>
    <col min="13057" max="13057" width="37" style="2961" customWidth="1"/>
    <col min="13058" max="13058" width="6.25" style="2961" customWidth="1"/>
    <col min="13059" max="13059" width="13.875" style="2961" customWidth="1"/>
    <col min="13060" max="13060" width="7.875" style="2961" customWidth="1"/>
    <col min="13061" max="13061" width="37" style="2961" customWidth="1"/>
    <col min="13062" max="13062" width="7.875" style="2961" customWidth="1"/>
    <col min="13063" max="13064" width="13.875" style="2961" customWidth="1"/>
    <col min="13065" max="13065" width="12.875" style="2961" customWidth="1"/>
    <col min="13066" max="13066" width="9" style="2961" customWidth="1"/>
    <col min="13067" max="13067" width="38" style="2961" customWidth="1"/>
    <col min="13068" max="13069" width="10.625" style="2961" customWidth="1"/>
    <col min="13070" max="13070" width="16" style="2961" customWidth="1"/>
    <col min="13071" max="13071" width="14.375" style="2961" customWidth="1"/>
    <col min="13072" max="13072" width="6.25" style="2961" customWidth="1"/>
    <col min="13073" max="13073" width="16.125" style="2961" customWidth="1"/>
    <col min="13074" max="13312" width="9" style="2961"/>
    <col min="13313" max="13313" width="37" style="2961" customWidth="1"/>
    <col min="13314" max="13314" width="6.25" style="2961" customWidth="1"/>
    <col min="13315" max="13315" width="13.875" style="2961" customWidth="1"/>
    <col min="13316" max="13316" width="7.875" style="2961" customWidth="1"/>
    <col min="13317" max="13317" width="37" style="2961" customWidth="1"/>
    <col min="13318" max="13318" width="7.875" style="2961" customWidth="1"/>
    <col min="13319" max="13320" width="13.875" style="2961" customWidth="1"/>
    <col min="13321" max="13321" width="12.875" style="2961" customWidth="1"/>
    <col min="13322" max="13322" width="9" style="2961" customWidth="1"/>
    <col min="13323" max="13323" width="38" style="2961" customWidth="1"/>
    <col min="13324" max="13325" width="10.625" style="2961" customWidth="1"/>
    <col min="13326" max="13326" width="16" style="2961" customWidth="1"/>
    <col min="13327" max="13327" width="14.375" style="2961" customWidth="1"/>
    <col min="13328" max="13328" width="6.25" style="2961" customWidth="1"/>
    <col min="13329" max="13329" width="16.125" style="2961" customWidth="1"/>
    <col min="13330" max="13568" width="9" style="2961"/>
    <col min="13569" max="13569" width="37" style="2961" customWidth="1"/>
    <col min="13570" max="13570" width="6.25" style="2961" customWidth="1"/>
    <col min="13571" max="13571" width="13.875" style="2961" customWidth="1"/>
    <col min="13572" max="13572" width="7.875" style="2961" customWidth="1"/>
    <col min="13573" max="13573" width="37" style="2961" customWidth="1"/>
    <col min="13574" max="13574" width="7.875" style="2961" customWidth="1"/>
    <col min="13575" max="13576" width="13.875" style="2961" customWidth="1"/>
    <col min="13577" max="13577" width="12.875" style="2961" customWidth="1"/>
    <col min="13578" max="13578" width="9" style="2961" customWidth="1"/>
    <col min="13579" max="13579" width="38" style="2961" customWidth="1"/>
    <col min="13580" max="13581" width="10.625" style="2961" customWidth="1"/>
    <col min="13582" max="13582" width="16" style="2961" customWidth="1"/>
    <col min="13583" max="13583" width="14.375" style="2961" customWidth="1"/>
    <col min="13584" max="13584" width="6.25" style="2961" customWidth="1"/>
    <col min="13585" max="13585" width="16.125" style="2961" customWidth="1"/>
    <col min="13586" max="13824" width="9" style="2961"/>
    <col min="13825" max="13825" width="37" style="2961" customWidth="1"/>
    <col min="13826" max="13826" width="6.25" style="2961" customWidth="1"/>
    <col min="13827" max="13827" width="13.875" style="2961" customWidth="1"/>
    <col min="13828" max="13828" width="7.875" style="2961" customWidth="1"/>
    <col min="13829" max="13829" width="37" style="2961" customWidth="1"/>
    <col min="13830" max="13830" width="7.875" style="2961" customWidth="1"/>
    <col min="13831" max="13832" width="13.875" style="2961" customWidth="1"/>
    <col min="13833" max="13833" width="12.875" style="2961" customWidth="1"/>
    <col min="13834" max="13834" width="9" style="2961" customWidth="1"/>
    <col min="13835" max="13835" width="38" style="2961" customWidth="1"/>
    <col min="13836" max="13837" width="10.625" style="2961" customWidth="1"/>
    <col min="13838" max="13838" width="16" style="2961" customWidth="1"/>
    <col min="13839" max="13839" width="14.375" style="2961" customWidth="1"/>
    <col min="13840" max="13840" width="6.25" style="2961" customWidth="1"/>
    <col min="13841" max="13841" width="16.125" style="2961" customWidth="1"/>
    <col min="13842" max="14080" width="9" style="2961"/>
    <col min="14081" max="14081" width="37" style="2961" customWidth="1"/>
    <col min="14082" max="14082" width="6.25" style="2961" customWidth="1"/>
    <col min="14083" max="14083" width="13.875" style="2961" customWidth="1"/>
    <col min="14084" max="14084" width="7.875" style="2961" customWidth="1"/>
    <col min="14085" max="14085" width="37" style="2961" customWidth="1"/>
    <col min="14086" max="14086" width="7.875" style="2961" customWidth="1"/>
    <col min="14087" max="14088" width="13.875" style="2961" customWidth="1"/>
    <col min="14089" max="14089" width="12.875" style="2961" customWidth="1"/>
    <col min="14090" max="14090" width="9" style="2961" customWidth="1"/>
    <col min="14091" max="14091" width="38" style="2961" customWidth="1"/>
    <col min="14092" max="14093" width="10.625" style="2961" customWidth="1"/>
    <col min="14094" max="14094" width="16" style="2961" customWidth="1"/>
    <col min="14095" max="14095" width="14.375" style="2961" customWidth="1"/>
    <col min="14096" max="14096" width="6.25" style="2961" customWidth="1"/>
    <col min="14097" max="14097" width="16.125" style="2961" customWidth="1"/>
    <col min="14098" max="14336" width="9" style="2961"/>
    <col min="14337" max="14337" width="37" style="2961" customWidth="1"/>
    <col min="14338" max="14338" width="6.25" style="2961" customWidth="1"/>
    <col min="14339" max="14339" width="13.875" style="2961" customWidth="1"/>
    <col min="14340" max="14340" width="7.875" style="2961" customWidth="1"/>
    <col min="14341" max="14341" width="37" style="2961" customWidth="1"/>
    <col min="14342" max="14342" width="7.875" style="2961" customWidth="1"/>
    <col min="14343" max="14344" width="13.875" style="2961" customWidth="1"/>
    <col min="14345" max="14345" width="12.875" style="2961" customWidth="1"/>
    <col min="14346" max="14346" width="9" style="2961" customWidth="1"/>
    <col min="14347" max="14347" width="38" style="2961" customWidth="1"/>
    <col min="14348" max="14349" width="10.625" style="2961" customWidth="1"/>
    <col min="14350" max="14350" width="16" style="2961" customWidth="1"/>
    <col min="14351" max="14351" width="14.375" style="2961" customWidth="1"/>
    <col min="14352" max="14352" width="6.25" style="2961" customWidth="1"/>
    <col min="14353" max="14353" width="16.125" style="2961" customWidth="1"/>
    <col min="14354" max="14592" width="9" style="2961"/>
    <col min="14593" max="14593" width="37" style="2961" customWidth="1"/>
    <col min="14594" max="14594" width="6.25" style="2961" customWidth="1"/>
    <col min="14595" max="14595" width="13.875" style="2961" customWidth="1"/>
    <col min="14596" max="14596" width="7.875" style="2961" customWidth="1"/>
    <col min="14597" max="14597" width="37" style="2961" customWidth="1"/>
    <col min="14598" max="14598" width="7.875" style="2961" customWidth="1"/>
    <col min="14599" max="14600" width="13.875" style="2961" customWidth="1"/>
    <col min="14601" max="14601" width="12.875" style="2961" customWidth="1"/>
    <col min="14602" max="14602" width="9" style="2961" customWidth="1"/>
    <col min="14603" max="14603" width="38" style="2961" customWidth="1"/>
    <col min="14604" max="14605" width="10.625" style="2961" customWidth="1"/>
    <col min="14606" max="14606" width="16" style="2961" customWidth="1"/>
    <col min="14607" max="14607" width="14.375" style="2961" customWidth="1"/>
    <col min="14608" max="14608" width="6.25" style="2961" customWidth="1"/>
    <col min="14609" max="14609" width="16.125" style="2961" customWidth="1"/>
    <col min="14610" max="14848" width="9" style="2961"/>
    <col min="14849" max="14849" width="37" style="2961" customWidth="1"/>
    <col min="14850" max="14850" width="6.25" style="2961" customWidth="1"/>
    <col min="14851" max="14851" width="13.875" style="2961" customWidth="1"/>
    <col min="14852" max="14852" width="7.875" style="2961" customWidth="1"/>
    <col min="14853" max="14853" width="37" style="2961" customWidth="1"/>
    <col min="14854" max="14854" width="7.875" style="2961" customWidth="1"/>
    <col min="14855" max="14856" width="13.875" style="2961" customWidth="1"/>
    <col min="14857" max="14857" width="12.875" style="2961" customWidth="1"/>
    <col min="14858" max="14858" width="9" style="2961" customWidth="1"/>
    <col min="14859" max="14859" width="38" style="2961" customWidth="1"/>
    <col min="14860" max="14861" width="10.625" style="2961" customWidth="1"/>
    <col min="14862" max="14862" width="16" style="2961" customWidth="1"/>
    <col min="14863" max="14863" width="14.375" style="2961" customWidth="1"/>
    <col min="14864" max="14864" width="6.25" style="2961" customWidth="1"/>
    <col min="14865" max="14865" width="16.125" style="2961" customWidth="1"/>
    <col min="14866" max="15104" width="9" style="2961"/>
    <col min="15105" max="15105" width="37" style="2961" customWidth="1"/>
    <col min="15106" max="15106" width="6.25" style="2961" customWidth="1"/>
    <col min="15107" max="15107" width="13.875" style="2961" customWidth="1"/>
    <col min="15108" max="15108" width="7.875" style="2961" customWidth="1"/>
    <col min="15109" max="15109" width="37" style="2961" customWidth="1"/>
    <col min="15110" max="15110" width="7.875" style="2961" customWidth="1"/>
    <col min="15111" max="15112" width="13.875" style="2961" customWidth="1"/>
    <col min="15113" max="15113" width="12.875" style="2961" customWidth="1"/>
    <col min="15114" max="15114" width="9" style="2961" customWidth="1"/>
    <col min="15115" max="15115" width="38" style="2961" customWidth="1"/>
    <col min="15116" max="15117" width="10.625" style="2961" customWidth="1"/>
    <col min="15118" max="15118" width="16" style="2961" customWidth="1"/>
    <col min="15119" max="15119" width="14.375" style="2961" customWidth="1"/>
    <col min="15120" max="15120" width="6.25" style="2961" customWidth="1"/>
    <col min="15121" max="15121" width="16.125" style="2961" customWidth="1"/>
    <col min="15122" max="15360" width="9" style="2961"/>
    <col min="15361" max="15361" width="37" style="2961" customWidth="1"/>
    <col min="15362" max="15362" width="6.25" style="2961" customWidth="1"/>
    <col min="15363" max="15363" width="13.875" style="2961" customWidth="1"/>
    <col min="15364" max="15364" width="7.875" style="2961" customWidth="1"/>
    <col min="15365" max="15365" width="37" style="2961" customWidth="1"/>
    <col min="15366" max="15366" width="7.875" style="2961" customWidth="1"/>
    <col min="15367" max="15368" width="13.875" style="2961" customWidth="1"/>
    <col min="15369" max="15369" width="12.875" style="2961" customWidth="1"/>
    <col min="15370" max="15370" width="9" style="2961" customWidth="1"/>
    <col min="15371" max="15371" width="38" style="2961" customWidth="1"/>
    <col min="15372" max="15373" width="10.625" style="2961" customWidth="1"/>
    <col min="15374" max="15374" width="16" style="2961" customWidth="1"/>
    <col min="15375" max="15375" width="14.375" style="2961" customWidth="1"/>
    <col min="15376" max="15376" width="6.25" style="2961" customWidth="1"/>
    <col min="15377" max="15377" width="16.125" style="2961" customWidth="1"/>
    <col min="15378" max="15616" width="9" style="2961"/>
    <col min="15617" max="15617" width="37" style="2961" customWidth="1"/>
    <col min="15618" max="15618" width="6.25" style="2961" customWidth="1"/>
    <col min="15619" max="15619" width="13.875" style="2961" customWidth="1"/>
    <col min="15620" max="15620" width="7.875" style="2961" customWidth="1"/>
    <col min="15621" max="15621" width="37" style="2961" customWidth="1"/>
    <col min="15622" max="15622" width="7.875" style="2961" customWidth="1"/>
    <col min="15623" max="15624" width="13.875" style="2961" customWidth="1"/>
    <col min="15625" max="15625" width="12.875" style="2961" customWidth="1"/>
    <col min="15626" max="15626" width="9" style="2961" customWidth="1"/>
    <col min="15627" max="15627" width="38" style="2961" customWidth="1"/>
    <col min="15628" max="15629" width="10.625" style="2961" customWidth="1"/>
    <col min="15630" max="15630" width="16" style="2961" customWidth="1"/>
    <col min="15631" max="15631" width="14.375" style="2961" customWidth="1"/>
    <col min="15632" max="15632" width="6.25" style="2961" customWidth="1"/>
    <col min="15633" max="15633" width="16.125" style="2961" customWidth="1"/>
    <col min="15634" max="15872" width="9" style="2961"/>
    <col min="15873" max="15873" width="37" style="2961" customWidth="1"/>
    <col min="15874" max="15874" width="6.25" style="2961" customWidth="1"/>
    <col min="15875" max="15875" width="13.875" style="2961" customWidth="1"/>
    <col min="15876" max="15876" width="7.875" style="2961" customWidth="1"/>
    <col min="15877" max="15877" width="37" style="2961" customWidth="1"/>
    <col min="15878" max="15878" width="7.875" style="2961" customWidth="1"/>
    <col min="15879" max="15880" width="13.875" style="2961" customWidth="1"/>
    <col min="15881" max="15881" width="12.875" style="2961" customWidth="1"/>
    <col min="15882" max="15882" width="9" style="2961" customWidth="1"/>
    <col min="15883" max="15883" width="38" style="2961" customWidth="1"/>
    <col min="15884" max="15885" width="10.625" style="2961" customWidth="1"/>
    <col min="15886" max="15886" width="16" style="2961" customWidth="1"/>
    <col min="15887" max="15887" width="14.375" style="2961" customWidth="1"/>
    <col min="15888" max="15888" width="6.25" style="2961" customWidth="1"/>
    <col min="15889" max="15889" width="16.125" style="2961" customWidth="1"/>
    <col min="15890" max="16128" width="9" style="2961"/>
    <col min="16129" max="16129" width="37" style="2961" customWidth="1"/>
    <col min="16130" max="16130" width="6.25" style="2961" customWidth="1"/>
    <col min="16131" max="16131" width="13.875" style="2961" customWidth="1"/>
    <col min="16132" max="16132" width="7.875" style="2961" customWidth="1"/>
    <col min="16133" max="16133" width="37" style="2961" customWidth="1"/>
    <col min="16134" max="16134" width="7.875" style="2961" customWidth="1"/>
    <col min="16135" max="16136" width="13.875" style="2961" customWidth="1"/>
    <col min="16137" max="16137" width="12.875" style="2961" customWidth="1"/>
    <col min="16138" max="16138" width="9" style="2961" customWidth="1"/>
    <col min="16139" max="16139" width="38" style="2961" customWidth="1"/>
    <col min="16140" max="16141" width="10.625" style="2961" customWidth="1"/>
    <col min="16142" max="16142" width="16" style="2961" customWidth="1"/>
    <col min="16143" max="16143" width="14.375" style="2961" customWidth="1"/>
    <col min="16144" max="16144" width="6.25" style="2961" customWidth="1"/>
    <col min="16145" max="16145" width="16.125" style="2961" customWidth="1"/>
    <col min="16146" max="16384" width="9" style="2961"/>
  </cols>
  <sheetData>
    <row r="1" spans="1:17">
      <c r="A1" s="2961" t="s">
        <v>2983</v>
      </c>
      <c r="B1" s="2961" t="s">
        <v>2984</v>
      </c>
      <c r="C1" s="2961" t="s">
        <v>2985</v>
      </c>
      <c r="D1" s="2961" t="s">
        <v>2986</v>
      </c>
      <c r="E1" s="2961" t="s">
        <v>2987</v>
      </c>
      <c r="F1" s="2961" t="s">
        <v>2988</v>
      </c>
      <c r="G1" s="2961" t="s">
        <v>2989</v>
      </c>
      <c r="H1" s="2961" t="s">
        <v>2990</v>
      </c>
      <c r="I1" s="2961" t="s">
        <v>2030</v>
      </c>
      <c r="J1" s="2961" t="s">
        <v>2991</v>
      </c>
      <c r="K1" s="2961" t="s">
        <v>2992</v>
      </c>
      <c r="L1" s="2961" t="s">
        <v>2993</v>
      </c>
      <c r="M1" s="2961" t="s">
        <v>2994</v>
      </c>
      <c r="N1" s="2961" t="s">
        <v>2995</v>
      </c>
      <c r="O1" s="2961" t="s">
        <v>2996</v>
      </c>
      <c r="P1" s="2961" t="s">
        <v>2997</v>
      </c>
      <c r="Q1" s="2961" t="s">
        <v>2998</v>
      </c>
    </row>
    <row r="4" spans="1:17">
      <c r="A4" s="2961" t="s">
        <v>3006</v>
      </c>
      <c r="B4" s="2961" t="s">
        <v>2999</v>
      </c>
      <c r="C4" s="2961" t="s">
        <v>3000</v>
      </c>
      <c r="D4" s="2961" t="s">
        <v>3004</v>
      </c>
      <c r="E4" s="2961" t="s">
        <v>3006</v>
      </c>
      <c r="F4" s="2961" t="s">
        <v>3002</v>
      </c>
      <c r="G4" s="2961">
        <v>99166.8</v>
      </c>
      <c r="H4" s="2961">
        <v>198333.6</v>
      </c>
      <c r="I4" s="2961" t="s">
        <v>3007</v>
      </c>
      <c r="J4" s="2961" t="s">
        <v>3008</v>
      </c>
      <c r="K4" s="2961" t="s">
        <v>3009</v>
      </c>
      <c r="L4" s="2961">
        <v>35750</v>
      </c>
      <c r="M4" s="2961">
        <v>125350</v>
      </c>
      <c r="N4" s="2961">
        <v>842.69</v>
      </c>
      <c r="O4" s="2961">
        <v>6320.15</v>
      </c>
      <c r="P4" s="2961">
        <v>250.63</v>
      </c>
      <c r="Q4" s="2961" t="s">
        <v>3003</v>
      </c>
    </row>
    <row r="5" spans="1:17">
      <c r="A5" s="2961" t="s">
        <v>3010</v>
      </c>
      <c r="B5" s="2961" t="s">
        <v>2999</v>
      </c>
      <c r="C5" s="2961" t="s">
        <v>3011</v>
      </c>
      <c r="D5" s="2961" t="s">
        <v>3004</v>
      </c>
      <c r="E5" s="2961" t="s">
        <v>3010</v>
      </c>
      <c r="F5" s="2961" t="s">
        <v>3002</v>
      </c>
      <c r="G5" s="2961">
        <v>63533.3</v>
      </c>
      <c r="H5" s="2961">
        <v>92123.29</v>
      </c>
      <c r="I5" s="2961" t="s">
        <v>3012</v>
      </c>
      <c r="J5" s="2961" t="s">
        <v>3013</v>
      </c>
      <c r="K5" s="2961" t="s">
        <v>3014</v>
      </c>
      <c r="L5" s="2961">
        <v>11200</v>
      </c>
      <c r="M5" s="2961">
        <v>55100</v>
      </c>
      <c r="N5" s="2961">
        <v>578.16999999999996</v>
      </c>
      <c r="O5" s="2961">
        <v>5981.11</v>
      </c>
      <c r="P5" s="2961">
        <v>391.96</v>
      </c>
      <c r="Q5" s="2961" t="s">
        <v>3015</v>
      </c>
    </row>
    <row r="6" spans="1:17">
      <c r="A6" s="2961" t="s">
        <v>3016</v>
      </c>
      <c r="B6" s="2961" t="s">
        <v>2999</v>
      </c>
      <c r="C6" s="2961" t="s">
        <v>3000</v>
      </c>
      <c r="D6" s="2961" t="s">
        <v>3017</v>
      </c>
      <c r="E6" s="2961" t="s">
        <v>3016</v>
      </c>
      <c r="F6" s="2961" t="s">
        <v>3002</v>
      </c>
      <c r="G6" s="2961">
        <v>82540</v>
      </c>
      <c r="H6" s="2961">
        <v>82540</v>
      </c>
      <c r="I6" s="2961" t="s">
        <v>3018</v>
      </c>
      <c r="J6" s="2961" t="s">
        <v>3019</v>
      </c>
      <c r="K6" s="2961" t="s">
        <v>3020</v>
      </c>
      <c r="L6" s="2961">
        <v>47787</v>
      </c>
      <c r="M6" s="2961">
        <v>47787</v>
      </c>
      <c r="N6" s="2961">
        <v>385.97</v>
      </c>
      <c r="O6" s="2961">
        <v>5789.56</v>
      </c>
      <c r="P6" s="2961">
        <v>0</v>
      </c>
      <c r="Q6" s="2961" t="s">
        <v>3021</v>
      </c>
    </row>
    <row r="7" spans="1:17">
      <c r="A7" s="2961" t="s">
        <v>3022</v>
      </c>
      <c r="B7" s="2961" t="s">
        <v>2999</v>
      </c>
      <c r="C7" s="2961" t="s">
        <v>3000</v>
      </c>
      <c r="D7" s="2961" t="s">
        <v>3004</v>
      </c>
      <c r="E7" s="2961" t="s">
        <v>3022</v>
      </c>
      <c r="F7" s="2961" t="s">
        <v>3002</v>
      </c>
      <c r="G7" s="2961">
        <v>26206.2</v>
      </c>
      <c r="H7" s="2961">
        <v>52412.4</v>
      </c>
      <c r="I7" s="2961" t="s">
        <v>3007</v>
      </c>
      <c r="J7" s="2961" t="s">
        <v>3008</v>
      </c>
      <c r="K7" s="2961" t="s">
        <v>3023</v>
      </c>
      <c r="L7" s="2961">
        <v>9480</v>
      </c>
      <c r="M7" s="2961">
        <v>30280</v>
      </c>
      <c r="N7" s="2961">
        <v>770.3</v>
      </c>
      <c r="O7" s="2961">
        <v>5777.26</v>
      </c>
      <c r="P7" s="2961">
        <v>219.41</v>
      </c>
      <c r="Q7" s="2961" t="s">
        <v>3003</v>
      </c>
    </row>
    <row r="8" spans="1:17">
      <c r="A8" s="2961" t="s">
        <v>3024</v>
      </c>
      <c r="B8" s="2961" t="s">
        <v>2999</v>
      </c>
      <c r="C8" s="2961" t="s">
        <v>3000</v>
      </c>
      <c r="D8" s="2961" t="s">
        <v>3004</v>
      </c>
      <c r="E8" s="2961" t="s">
        <v>3024</v>
      </c>
      <c r="F8" s="2961" t="s">
        <v>3002</v>
      </c>
      <c r="G8" s="2961">
        <v>35894.9</v>
      </c>
      <c r="H8" s="2961">
        <v>78609.83</v>
      </c>
      <c r="I8" s="2961" t="s">
        <v>3025</v>
      </c>
      <c r="J8" s="2961" t="s">
        <v>3008</v>
      </c>
      <c r="K8" s="2961" t="s">
        <v>3026</v>
      </c>
      <c r="L8" s="2961">
        <v>14180</v>
      </c>
      <c r="M8" s="2961">
        <v>39980</v>
      </c>
      <c r="N8" s="2961">
        <v>742.54</v>
      </c>
      <c r="O8" s="2961">
        <v>5085.88</v>
      </c>
      <c r="P8" s="2961">
        <v>181.95</v>
      </c>
      <c r="Q8" s="2961" t="s">
        <v>3003</v>
      </c>
    </row>
    <row r="9" spans="1:17">
      <c r="A9" s="2961" t="s">
        <v>3027</v>
      </c>
      <c r="B9" s="2961" t="s">
        <v>2999</v>
      </c>
      <c r="C9" s="2961" t="s">
        <v>3000</v>
      </c>
      <c r="D9" s="2961" t="s">
        <v>3001</v>
      </c>
      <c r="E9" s="2961" t="s">
        <v>3027</v>
      </c>
      <c r="F9" s="2961" t="s">
        <v>3002</v>
      </c>
      <c r="G9" s="2961">
        <v>1606.8</v>
      </c>
      <c r="H9" s="2961">
        <v>857.5</v>
      </c>
      <c r="I9" s="2961" t="s">
        <v>3028</v>
      </c>
      <c r="J9" s="2961" t="s">
        <v>3029</v>
      </c>
      <c r="K9" s="2961" t="s">
        <v>3030</v>
      </c>
      <c r="L9" s="2961">
        <v>245</v>
      </c>
      <c r="M9" s="2961">
        <v>401</v>
      </c>
      <c r="N9" s="2961">
        <v>166.38</v>
      </c>
      <c r="O9" s="2961">
        <v>4676.38</v>
      </c>
      <c r="P9" s="2961">
        <v>63.67</v>
      </c>
      <c r="Q9" s="2961" t="s">
        <v>3003</v>
      </c>
    </row>
    <row r="10" spans="1:17">
      <c r="A10" s="2961" t="s">
        <v>3031</v>
      </c>
      <c r="B10" s="2961" t="s">
        <v>2999</v>
      </c>
      <c r="C10" s="2961" t="s">
        <v>3000</v>
      </c>
      <c r="D10" s="2961" t="s">
        <v>3004</v>
      </c>
      <c r="E10" s="2961" t="s">
        <v>3031</v>
      </c>
      <c r="F10" s="2961" t="s">
        <v>3002</v>
      </c>
      <c r="G10" s="2961">
        <v>31182</v>
      </c>
      <c r="H10" s="2961">
        <v>74836.800000000003</v>
      </c>
      <c r="I10" s="2961" t="s">
        <v>3032</v>
      </c>
      <c r="J10" s="2961" t="s">
        <v>3033</v>
      </c>
      <c r="K10" s="2961" t="s">
        <v>3034</v>
      </c>
      <c r="L10" s="2961">
        <v>9334</v>
      </c>
      <c r="M10" s="2961">
        <v>34734</v>
      </c>
      <c r="N10" s="2961">
        <v>742.61</v>
      </c>
      <c r="O10" s="2961">
        <v>4641.3</v>
      </c>
      <c r="P10" s="2961">
        <v>272.12</v>
      </c>
      <c r="Q10" s="2961" t="s">
        <v>3003</v>
      </c>
    </row>
    <row r="11" spans="1:17">
      <c r="A11" s="2961" t="s">
        <v>3035</v>
      </c>
      <c r="B11" s="2961" t="s">
        <v>2999</v>
      </c>
      <c r="C11" s="2961" t="s">
        <v>3000</v>
      </c>
      <c r="D11" s="2961" t="s">
        <v>3017</v>
      </c>
      <c r="E11" s="2961" t="s">
        <v>3035</v>
      </c>
      <c r="F11" s="2961" t="s">
        <v>3002</v>
      </c>
      <c r="G11" s="2961">
        <v>10714</v>
      </c>
      <c r="H11" s="2961">
        <v>26785</v>
      </c>
      <c r="I11" s="2961" t="s">
        <v>3036</v>
      </c>
      <c r="J11" s="2961" t="s">
        <v>3037</v>
      </c>
      <c r="K11" s="2961" t="s">
        <v>3038</v>
      </c>
      <c r="L11" s="2961">
        <v>2926</v>
      </c>
      <c r="M11" s="2961">
        <v>12226</v>
      </c>
      <c r="N11" s="2961">
        <v>760.75</v>
      </c>
      <c r="O11" s="2961">
        <v>4564.5</v>
      </c>
      <c r="P11" s="2961">
        <v>317.83999999999997</v>
      </c>
      <c r="Q11" s="2961" t="s">
        <v>3003</v>
      </c>
    </row>
    <row r="12" spans="1:17">
      <c r="A12" s="2961" t="s">
        <v>3039</v>
      </c>
      <c r="B12" s="2961" t="s">
        <v>2999</v>
      </c>
      <c r="C12" s="2961" t="s">
        <v>3011</v>
      </c>
      <c r="D12" s="2961" t="s">
        <v>3004</v>
      </c>
      <c r="E12" s="2961" t="s">
        <v>3039</v>
      </c>
      <c r="F12" s="2961" t="s">
        <v>3002</v>
      </c>
      <c r="G12" s="2961">
        <v>75586.100000000006</v>
      </c>
      <c r="H12" s="2961">
        <v>133787.4</v>
      </c>
      <c r="I12" s="2961" t="s">
        <v>3040</v>
      </c>
      <c r="J12" s="2961" t="s">
        <v>3013</v>
      </c>
      <c r="K12" s="2961" t="s">
        <v>3014</v>
      </c>
      <c r="L12" s="2961">
        <v>14350</v>
      </c>
      <c r="M12" s="2961">
        <v>60350</v>
      </c>
      <c r="N12" s="2961">
        <v>532.28</v>
      </c>
      <c r="O12" s="2961">
        <v>4510.8900000000003</v>
      </c>
      <c r="P12" s="2961">
        <v>320.56</v>
      </c>
      <c r="Q12" s="2961" t="s">
        <v>3015</v>
      </c>
    </row>
    <row r="13" spans="1:17">
      <c r="A13" s="2961" t="s">
        <v>3041</v>
      </c>
      <c r="B13" s="2961" t="s">
        <v>2999</v>
      </c>
      <c r="C13" s="2961" t="s">
        <v>3000</v>
      </c>
      <c r="D13" s="2961" t="s">
        <v>3042</v>
      </c>
      <c r="E13" s="2961" t="s">
        <v>3041</v>
      </c>
      <c r="F13" s="2961" t="s">
        <v>3002</v>
      </c>
      <c r="G13" s="2961">
        <v>69992.87</v>
      </c>
      <c r="H13" s="2961">
        <v>153982.39999999999</v>
      </c>
      <c r="I13" s="2961" t="s">
        <v>3043</v>
      </c>
      <c r="J13" s="2961" t="s">
        <v>3013</v>
      </c>
      <c r="K13" s="2961" t="s">
        <v>3044</v>
      </c>
      <c r="L13" s="2961">
        <v>18323.900000000001</v>
      </c>
      <c r="M13" s="2961">
        <v>67913.91</v>
      </c>
      <c r="N13" s="2961">
        <v>646.87</v>
      </c>
      <c r="O13" s="2961">
        <v>4410.5</v>
      </c>
      <c r="P13" s="2961">
        <v>270.63</v>
      </c>
      <c r="Q13" s="2961" t="s">
        <v>3003</v>
      </c>
    </row>
    <row r="14" spans="1:17">
      <c r="A14" s="2961" t="s">
        <v>3045</v>
      </c>
      <c r="B14" s="2961" t="s">
        <v>2999</v>
      </c>
      <c r="C14" s="2961" t="s">
        <v>3000</v>
      </c>
      <c r="D14" s="2961" t="s">
        <v>3046</v>
      </c>
      <c r="E14" s="2961" t="s">
        <v>3045</v>
      </c>
      <c r="F14" s="2961" t="s">
        <v>3002</v>
      </c>
      <c r="G14" s="2961">
        <v>20250</v>
      </c>
      <c r="H14" s="2961">
        <v>78975</v>
      </c>
      <c r="I14" s="2961" t="s">
        <v>3047</v>
      </c>
      <c r="J14" s="2961" t="s">
        <v>3048</v>
      </c>
      <c r="K14" s="2961" t="s">
        <v>3049</v>
      </c>
      <c r="L14" s="2961">
        <v>7158.17</v>
      </c>
      <c r="M14" s="2961">
        <v>32658.16</v>
      </c>
      <c r="N14" s="2961">
        <v>1075.17</v>
      </c>
      <c r="O14" s="2961">
        <v>4135.25</v>
      </c>
      <c r="P14" s="2961">
        <v>356.24</v>
      </c>
      <c r="Q14" s="2961" t="s">
        <v>3003</v>
      </c>
    </row>
    <row r="15" spans="1:17">
      <c r="A15" s="2961" t="s">
        <v>3050</v>
      </c>
      <c r="B15" s="2961" t="s">
        <v>2999</v>
      </c>
      <c r="C15" s="2961" t="s">
        <v>3000</v>
      </c>
      <c r="D15" s="2961" t="s">
        <v>3042</v>
      </c>
      <c r="E15" s="2961" t="s">
        <v>3050</v>
      </c>
      <c r="F15" s="2961" t="s">
        <v>3002</v>
      </c>
      <c r="G15" s="2961">
        <v>38791.97</v>
      </c>
      <c r="H15" s="2961">
        <v>96979.92</v>
      </c>
      <c r="I15" s="2961" t="s">
        <v>3036</v>
      </c>
      <c r="J15" s="2961" t="s">
        <v>3051</v>
      </c>
      <c r="K15" s="2961" t="s">
        <v>3052</v>
      </c>
      <c r="L15" s="2961">
        <v>8390.7000000000007</v>
      </c>
      <c r="M15" s="2961">
        <v>39160.69</v>
      </c>
      <c r="N15" s="2961">
        <v>673</v>
      </c>
      <c r="O15" s="2961">
        <v>4038.01</v>
      </c>
      <c r="P15" s="2961">
        <v>366.72</v>
      </c>
      <c r="Q15" s="2961" t="s">
        <v>3003</v>
      </c>
    </row>
    <row r="16" spans="1:17">
      <c r="A16" s="2961" t="s">
        <v>3053</v>
      </c>
      <c r="B16" s="2961" t="s">
        <v>2999</v>
      </c>
      <c r="C16" s="2961" t="s">
        <v>3000</v>
      </c>
      <c r="D16" s="2961" t="s">
        <v>3001</v>
      </c>
      <c r="E16" s="2961" t="s">
        <v>3053</v>
      </c>
      <c r="F16" s="2961" t="s">
        <v>3002</v>
      </c>
      <c r="G16" s="2961">
        <v>51589.99</v>
      </c>
      <c r="H16" s="2961">
        <v>103180</v>
      </c>
      <c r="I16" s="2961" t="s">
        <v>3007</v>
      </c>
      <c r="J16" s="2961" t="s">
        <v>3054</v>
      </c>
      <c r="K16" s="2961" t="s">
        <v>3055</v>
      </c>
      <c r="L16" s="2961">
        <v>6088</v>
      </c>
      <c r="M16" s="2961">
        <v>39208</v>
      </c>
      <c r="N16" s="2961">
        <v>506.66</v>
      </c>
      <c r="O16" s="2961">
        <v>3799.96</v>
      </c>
      <c r="P16" s="2961">
        <v>544.02</v>
      </c>
      <c r="Q16" s="2961" t="s">
        <v>3003</v>
      </c>
    </row>
    <row r="17" spans="1:17">
      <c r="A17" s="2961" t="s">
        <v>3041</v>
      </c>
      <c r="B17" s="2961" t="s">
        <v>2999</v>
      </c>
      <c r="C17" s="2961" t="s">
        <v>3000</v>
      </c>
      <c r="D17" s="2961" t="s">
        <v>3042</v>
      </c>
      <c r="E17" s="2961" t="s">
        <v>3041</v>
      </c>
      <c r="F17" s="2961" t="s">
        <v>3002</v>
      </c>
      <c r="G17" s="2961">
        <v>38015.31</v>
      </c>
      <c r="H17" s="2961">
        <v>83633.679999999993</v>
      </c>
      <c r="I17" s="2961" t="s">
        <v>3043</v>
      </c>
      <c r="J17" s="2961" t="s">
        <v>3013</v>
      </c>
      <c r="K17" s="2961" t="s">
        <v>3044</v>
      </c>
      <c r="L17" s="2961">
        <v>9684.7000000000007</v>
      </c>
      <c r="M17" s="2961">
        <v>29884.7</v>
      </c>
      <c r="N17" s="2961">
        <v>524.08000000000004</v>
      </c>
      <c r="O17" s="2961">
        <v>3573.28</v>
      </c>
      <c r="P17" s="2961">
        <v>208.58</v>
      </c>
      <c r="Q17" s="2961" t="s">
        <v>3003</v>
      </c>
    </row>
    <row r="18" spans="1:17">
      <c r="A18" s="2961" t="s">
        <v>3056</v>
      </c>
      <c r="B18" s="2961" t="s">
        <v>2999</v>
      </c>
      <c r="C18" s="2961" t="s">
        <v>3011</v>
      </c>
      <c r="D18" s="2961" t="s">
        <v>3004</v>
      </c>
      <c r="E18" s="2961" t="s">
        <v>3056</v>
      </c>
      <c r="F18" s="2961" t="s">
        <v>3002</v>
      </c>
      <c r="G18" s="2961">
        <v>19469.400000000001</v>
      </c>
      <c r="H18" s="2961">
        <v>54514.32</v>
      </c>
      <c r="I18" s="2961" t="s">
        <v>3057</v>
      </c>
      <c r="J18" s="2961" t="s">
        <v>3013</v>
      </c>
      <c r="K18" s="2961" t="s">
        <v>3014</v>
      </c>
      <c r="L18" s="2961">
        <v>5600</v>
      </c>
      <c r="M18" s="2961">
        <v>18400</v>
      </c>
      <c r="N18" s="2961">
        <v>630.04999999999995</v>
      </c>
      <c r="O18" s="2961">
        <v>3375.26</v>
      </c>
      <c r="P18" s="2961">
        <v>228.57</v>
      </c>
      <c r="Q18" s="2961" t="s">
        <v>3015</v>
      </c>
    </row>
    <row r="19" spans="1:17" s="3166" customFormat="1">
      <c r="A19" s="3166" t="s">
        <v>3058</v>
      </c>
      <c r="B19" s="3166" t="s">
        <v>2999</v>
      </c>
      <c r="C19" s="3166" t="s">
        <v>3011</v>
      </c>
      <c r="D19" s="3166" t="s">
        <v>3004</v>
      </c>
      <c r="E19" s="3166" t="s">
        <v>3058</v>
      </c>
      <c r="F19" s="3166" t="s">
        <v>3002</v>
      </c>
      <c r="G19" s="3166">
        <v>22381.200000000001</v>
      </c>
      <c r="H19" s="3166">
        <v>66420</v>
      </c>
      <c r="I19" s="3166" t="s">
        <v>3043</v>
      </c>
      <c r="J19" s="3166" t="s">
        <v>3059</v>
      </c>
      <c r="K19" s="3166" t="s">
        <v>3060</v>
      </c>
      <c r="L19" s="3166">
        <v>7500</v>
      </c>
      <c r="M19" s="3166">
        <v>21900</v>
      </c>
      <c r="N19" s="3166">
        <v>652.33000000000004</v>
      </c>
      <c r="O19" s="3166">
        <v>3297.19</v>
      </c>
      <c r="P19" s="3166">
        <v>192</v>
      </c>
      <c r="Q19" s="3166" t="s">
        <v>3061</v>
      </c>
    </row>
    <row r="20" spans="1:17">
      <c r="A20" s="2961" t="s">
        <v>3062</v>
      </c>
      <c r="B20" s="2961" t="s">
        <v>2999</v>
      </c>
      <c r="C20" s="2961" t="s">
        <v>3000</v>
      </c>
      <c r="D20" s="2961" t="s">
        <v>3004</v>
      </c>
      <c r="E20" s="2961" t="s">
        <v>3062</v>
      </c>
      <c r="F20" s="2961" t="s">
        <v>3002</v>
      </c>
      <c r="G20" s="2961">
        <v>5986</v>
      </c>
      <c r="H20" s="2961">
        <v>14965</v>
      </c>
      <c r="I20" s="2961" t="s">
        <v>3036</v>
      </c>
      <c r="J20" s="2961" t="s">
        <v>3063</v>
      </c>
      <c r="K20" s="2961" t="s">
        <v>3064</v>
      </c>
      <c r="L20" s="2961">
        <v>1781</v>
      </c>
      <c r="M20" s="2961">
        <v>4881</v>
      </c>
      <c r="N20" s="2961">
        <v>543.6</v>
      </c>
      <c r="O20" s="2961">
        <v>3261.61</v>
      </c>
      <c r="P20" s="2961">
        <v>174.06</v>
      </c>
      <c r="Q20" s="2961" t="s">
        <v>3003</v>
      </c>
    </row>
    <row r="21" spans="1:17" s="3165" customFormat="1">
      <c r="A21" s="3165" t="s">
        <v>3065</v>
      </c>
      <c r="B21" s="3165" t="s">
        <v>2999</v>
      </c>
      <c r="C21" s="3165" t="s">
        <v>3011</v>
      </c>
      <c r="D21" s="3165" t="s">
        <v>3042</v>
      </c>
      <c r="E21" s="3165" t="s">
        <v>3065</v>
      </c>
      <c r="F21" s="3165" t="s">
        <v>3002</v>
      </c>
      <c r="G21" s="3165">
        <v>23389.64</v>
      </c>
      <c r="H21" s="3165">
        <v>58472.5</v>
      </c>
      <c r="I21" s="3165" t="s">
        <v>3066</v>
      </c>
      <c r="J21" s="3165" t="s">
        <v>3067</v>
      </c>
      <c r="K21" s="3165" t="s">
        <v>3068</v>
      </c>
      <c r="L21" s="3165">
        <v>6835.43</v>
      </c>
      <c r="M21" s="3165">
        <v>18735.43</v>
      </c>
      <c r="N21" s="3165">
        <v>534.01</v>
      </c>
      <c r="O21" s="3165">
        <v>3204.15</v>
      </c>
      <c r="P21" s="3165">
        <v>174.09</v>
      </c>
      <c r="Q21" s="3165" t="s">
        <v>3069</v>
      </c>
    </row>
    <row r="22" spans="1:17" s="3164" customFormat="1">
      <c r="A22" s="3164" t="s">
        <v>3261</v>
      </c>
      <c r="B22" s="3164" t="s">
        <v>2999</v>
      </c>
      <c r="C22" s="3164" t="s">
        <v>3000</v>
      </c>
      <c r="D22" s="3164" t="s">
        <v>3017</v>
      </c>
      <c r="E22" s="3164" t="s">
        <v>3070</v>
      </c>
      <c r="F22" s="3164" t="s">
        <v>3002</v>
      </c>
      <c r="G22" s="3164">
        <v>25207</v>
      </c>
      <c r="H22" s="3164">
        <v>44124.800000000003</v>
      </c>
      <c r="I22" s="3164" t="s">
        <v>3005</v>
      </c>
      <c r="J22" s="3164" t="s">
        <v>3071</v>
      </c>
      <c r="K22" s="3164" t="s">
        <v>3072</v>
      </c>
      <c r="L22" s="3164">
        <v>13789</v>
      </c>
      <c r="M22" s="3164">
        <v>13939</v>
      </c>
      <c r="N22" s="3164">
        <v>368.65</v>
      </c>
      <c r="O22" s="3164">
        <v>3158.98</v>
      </c>
      <c r="P22" s="3164">
        <v>1.0900000000000001</v>
      </c>
      <c r="Q22" s="3164" t="s">
        <v>3003</v>
      </c>
    </row>
    <row r="23" spans="1:17" s="3164" customFormat="1">
      <c r="A23" s="3164" t="s">
        <v>3077</v>
      </c>
      <c r="B23" s="3164" t="s">
        <v>2999</v>
      </c>
      <c r="C23" s="3164" t="s">
        <v>3011</v>
      </c>
      <c r="D23" s="3164" t="s">
        <v>3078</v>
      </c>
      <c r="E23" s="3164" t="s">
        <v>3262</v>
      </c>
      <c r="F23" s="3164" t="s">
        <v>3002</v>
      </c>
      <c r="G23" s="3164">
        <v>26206</v>
      </c>
      <c r="H23" s="3164">
        <v>86479.8</v>
      </c>
      <c r="I23" s="3164" t="s">
        <v>3079</v>
      </c>
      <c r="J23" s="3164" t="s">
        <v>3080</v>
      </c>
      <c r="K23" s="3164" t="s">
        <v>3076</v>
      </c>
      <c r="L23" s="3164">
        <v>5780</v>
      </c>
      <c r="M23" s="3164">
        <v>25080</v>
      </c>
      <c r="N23" s="3164">
        <v>638.02</v>
      </c>
      <c r="O23" s="3164">
        <v>2900.09</v>
      </c>
      <c r="P23" s="3164">
        <v>333.91</v>
      </c>
      <c r="Q23" s="3164" t="s">
        <v>3069</v>
      </c>
    </row>
    <row r="24" spans="1:17">
      <c r="A24" s="2961" t="s">
        <v>3073</v>
      </c>
      <c r="B24" s="2961" t="s">
        <v>2999</v>
      </c>
      <c r="C24" s="2961" t="s">
        <v>3000</v>
      </c>
      <c r="D24" s="2961" t="s">
        <v>3004</v>
      </c>
      <c r="E24" s="3163" t="s">
        <v>3260</v>
      </c>
      <c r="F24" s="2961" t="s">
        <v>3002</v>
      </c>
      <c r="G24" s="2961">
        <v>26206</v>
      </c>
      <c r="H24" s="2961">
        <v>86479.8</v>
      </c>
      <c r="I24" s="2961" t="s">
        <v>3074</v>
      </c>
      <c r="J24" s="2961" t="s">
        <v>3075</v>
      </c>
      <c r="K24" s="2961" t="s">
        <v>3076</v>
      </c>
      <c r="L24" s="2961" t="s">
        <v>2819</v>
      </c>
      <c r="M24" s="2961">
        <v>25080</v>
      </c>
      <c r="N24" s="2961">
        <v>638.02</v>
      </c>
      <c r="O24" s="2961">
        <v>2900.09</v>
      </c>
      <c r="P24" s="2961" t="s">
        <v>2819</v>
      </c>
      <c r="Q24" s="2961" t="s">
        <v>3003</v>
      </c>
    </row>
    <row r="25" spans="1:17">
      <c r="A25" s="2961" t="s">
        <v>3081</v>
      </c>
      <c r="B25" s="2961" t="s">
        <v>2999</v>
      </c>
      <c r="C25" s="2961" t="s">
        <v>3000</v>
      </c>
      <c r="D25" s="2961" t="s">
        <v>3046</v>
      </c>
      <c r="E25" s="2961" t="s">
        <v>3081</v>
      </c>
      <c r="F25" s="2961" t="s">
        <v>3002</v>
      </c>
      <c r="G25" s="2961">
        <v>4668</v>
      </c>
      <c r="H25" s="2961">
        <v>5005</v>
      </c>
      <c r="I25" s="2961" t="s">
        <v>3028</v>
      </c>
      <c r="J25" s="2961" t="s">
        <v>3082</v>
      </c>
      <c r="K25" s="2961" t="s">
        <v>3083</v>
      </c>
      <c r="L25" s="2961">
        <v>1430</v>
      </c>
      <c r="M25" s="2961">
        <v>1430</v>
      </c>
      <c r="N25" s="2961">
        <v>204.23</v>
      </c>
      <c r="O25" s="2961">
        <v>2857.13</v>
      </c>
      <c r="P25" s="2961">
        <v>0</v>
      </c>
      <c r="Q25" s="2961" t="s">
        <v>3003</v>
      </c>
    </row>
    <row r="26" spans="1:17">
      <c r="A26" s="2961" t="s">
        <v>3084</v>
      </c>
      <c r="B26" s="2961" t="s">
        <v>2999</v>
      </c>
      <c r="C26" s="2961" t="s">
        <v>3011</v>
      </c>
      <c r="D26" s="2961" t="s">
        <v>3042</v>
      </c>
      <c r="E26" s="2961" t="s">
        <v>3084</v>
      </c>
      <c r="F26" s="2961" t="s">
        <v>3002</v>
      </c>
      <c r="G26" s="2961">
        <v>69784.91</v>
      </c>
      <c r="H26" s="2961">
        <v>125604</v>
      </c>
      <c r="I26" s="2961" t="s">
        <v>3085</v>
      </c>
      <c r="J26" s="2961" t="s">
        <v>3086</v>
      </c>
      <c r="K26" s="2961" t="s">
        <v>3087</v>
      </c>
      <c r="L26" s="2961">
        <v>13901.14</v>
      </c>
      <c r="M26" s="2961">
        <v>35181.15</v>
      </c>
      <c r="N26" s="2961">
        <v>336.09</v>
      </c>
      <c r="O26" s="2961">
        <v>2800.96</v>
      </c>
      <c r="P26" s="2961">
        <v>153.08000000000001</v>
      </c>
      <c r="Q26" s="2961" t="s">
        <v>3069</v>
      </c>
    </row>
    <row r="27" spans="1:17">
      <c r="A27" s="2961" t="s">
        <v>3088</v>
      </c>
      <c r="B27" s="2961" t="s">
        <v>2999</v>
      </c>
      <c r="C27" s="2961" t="s">
        <v>3000</v>
      </c>
      <c r="D27" s="2961" t="s">
        <v>3004</v>
      </c>
      <c r="E27" s="2961" t="s">
        <v>3088</v>
      </c>
      <c r="F27" s="2961" t="s">
        <v>3002</v>
      </c>
      <c r="G27" s="2961">
        <v>16199</v>
      </c>
      <c r="H27" s="2961">
        <v>64796</v>
      </c>
      <c r="I27" s="2961" t="s">
        <v>3089</v>
      </c>
      <c r="J27" s="2961" t="s">
        <v>3082</v>
      </c>
      <c r="K27" s="2961" t="s">
        <v>3090</v>
      </c>
      <c r="L27" s="2961">
        <v>5297</v>
      </c>
      <c r="M27" s="2961">
        <v>18147</v>
      </c>
      <c r="N27" s="2961">
        <v>746.84</v>
      </c>
      <c r="O27" s="2961">
        <v>2800.63</v>
      </c>
      <c r="P27" s="2961">
        <v>242.59</v>
      </c>
      <c r="Q27" s="2961" t="s">
        <v>3003</v>
      </c>
    </row>
    <row r="28" spans="1:17">
      <c r="A28" s="2961" t="s">
        <v>3091</v>
      </c>
      <c r="B28" s="2961" t="s">
        <v>2999</v>
      </c>
      <c r="C28" s="2961" t="s">
        <v>3000</v>
      </c>
      <c r="D28" s="2961" t="s">
        <v>3042</v>
      </c>
      <c r="E28" s="2961" t="s">
        <v>3091</v>
      </c>
      <c r="F28" s="2961" t="s">
        <v>3002</v>
      </c>
      <c r="G28" s="2961">
        <v>43347.72</v>
      </c>
      <c r="H28" s="2961">
        <v>131343.59</v>
      </c>
      <c r="I28" s="2961" t="s">
        <v>3092</v>
      </c>
      <c r="J28" s="2961" t="s">
        <v>3093</v>
      </c>
      <c r="K28" s="2961" t="s">
        <v>3094</v>
      </c>
      <c r="L28" s="2961">
        <v>9046.67</v>
      </c>
      <c r="M28" s="2961">
        <v>36691.660000000003</v>
      </c>
      <c r="N28" s="2961">
        <v>564.29999999999995</v>
      </c>
      <c r="O28" s="2961">
        <v>2793.55</v>
      </c>
      <c r="P28" s="2961">
        <v>305.58</v>
      </c>
      <c r="Q28" s="2961" t="s">
        <v>3003</v>
      </c>
    </row>
    <row r="29" spans="1:17">
      <c r="A29" s="2961" t="s">
        <v>3095</v>
      </c>
      <c r="B29" s="2961" t="s">
        <v>2999</v>
      </c>
      <c r="C29" s="2961" t="s">
        <v>3000</v>
      </c>
      <c r="D29" s="2961" t="s">
        <v>3042</v>
      </c>
      <c r="E29" s="2961" t="s">
        <v>3095</v>
      </c>
      <c r="F29" s="2961" t="s">
        <v>3002</v>
      </c>
      <c r="G29" s="2961">
        <v>33357.199999999997</v>
      </c>
      <c r="H29" s="2961">
        <v>80057.279999999999</v>
      </c>
      <c r="I29" s="2961" t="s">
        <v>3032</v>
      </c>
      <c r="J29" s="2961" t="s">
        <v>3096</v>
      </c>
      <c r="K29" s="2961" t="s">
        <v>3097</v>
      </c>
      <c r="L29" s="2961">
        <v>9142.61</v>
      </c>
      <c r="M29" s="2961">
        <v>20447.61</v>
      </c>
      <c r="N29" s="2961">
        <v>408.66</v>
      </c>
      <c r="O29" s="2961">
        <v>2554.11</v>
      </c>
      <c r="P29" s="2961">
        <v>123.65</v>
      </c>
      <c r="Q29" s="2961" t="s">
        <v>3003</v>
      </c>
    </row>
    <row r="30" spans="1:17">
      <c r="A30" s="2961" t="s">
        <v>3098</v>
      </c>
      <c r="B30" s="2961" t="s">
        <v>2999</v>
      </c>
      <c r="C30" s="2961" t="s">
        <v>3000</v>
      </c>
      <c r="D30" s="2961" t="s">
        <v>3042</v>
      </c>
      <c r="E30" s="2961" t="s">
        <v>3098</v>
      </c>
      <c r="F30" s="2961" t="s">
        <v>3002</v>
      </c>
      <c r="G30" s="2961">
        <v>5280.7</v>
      </c>
      <c r="H30" s="2961">
        <v>5280.7</v>
      </c>
      <c r="I30" s="2961" t="s">
        <v>3007</v>
      </c>
      <c r="J30" s="2961" t="s">
        <v>3099</v>
      </c>
      <c r="K30" s="2961" t="s">
        <v>3100</v>
      </c>
      <c r="L30" s="2961">
        <v>976.39</v>
      </c>
      <c r="M30" s="2961">
        <v>1316.4</v>
      </c>
      <c r="N30" s="2961">
        <v>166.19</v>
      </c>
      <c r="O30" s="2961">
        <v>2492.84</v>
      </c>
      <c r="P30" s="2961">
        <v>34.82</v>
      </c>
      <c r="Q30" s="2961" t="s">
        <v>3021</v>
      </c>
    </row>
    <row r="31" spans="1:17">
      <c r="A31" s="2961" t="s">
        <v>3101</v>
      </c>
      <c r="B31" s="2961" t="s">
        <v>2999</v>
      </c>
      <c r="C31" s="2961" t="s">
        <v>3000</v>
      </c>
      <c r="D31" s="2961" t="s">
        <v>3004</v>
      </c>
      <c r="E31" s="2961" t="s">
        <v>3101</v>
      </c>
      <c r="F31" s="2961" t="s">
        <v>3002</v>
      </c>
      <c r="G31" s="2961">
        <v>13648</v>
      </c>
      <c r="H31" s="2961">
        <v>49132.800000000003</v>
      </c>
      <c r="I31" s="2961" t="s">
        <v>3102</v>
      </c>
      <c r="J31" s="2961" t="s">
        <v>3103</v>
      </c>
      <c r="K31" s="2961" t="s">
        <v>3104</v>
      </c>
      <c r="L31" s="2961">
        <v>2644</v>
      </c>
      <c r="M31" s="2961">
        <v>12044</v>
      </c>
      <c r="N31" s="2961">
        <v>588.32000000000005</v>
      </c>
      <c r="O31" s="2961">
        <v>2451.3200000000002</v>
      </c>
      <c r="P31" s="2961">
        <v>355.52</v>
      </c>
      <c r="Q31" s="2961" t="s">
        <v>3003</v>
      </c>
    </row>
    <row r="32" spans="1:17">
      <c r="A32" s="2961" t="s">
        <v>3105</v>
      </c>
      <c r="B32" s="2961" t="s">
        <v>2999</v>
      </c>
      <c r="C32" s="2961" t="s">
        <v>3000</v>
      </c>
      <c r="D32" s="2961" t="s">
        <v>3046</v>
      </c>
      <c r="E32" s="2961" t="s">
        <v>3105</v>
      </c>
      <c r="F32" s="2961" t="s">
        <v>3002</v>
      </c>
      <c r="G32" s="2961">
        <v>2709</v>
      </c>
      <c r="H32" s="2961">
        <v>5959.8</v>
      </c>
      <c r="I32" s="2961" t="s">
        <v>3106</v>
      </c>
      <c r="J32" s="2961" t="s">
        <v>3107</v>
      </c>
      <c r="K32" s="2961" t="s">
        <v>3108</v>
      </c>
      <c r="L32" s="2961">
        <v>1460.47</v>
      </c>
      <c r="M32" s="2961">
        <v>1460.47</v>
      </c>
      <c r="N32" s="2961">
        <v>359.41</v>
      </c>
      <c r="O32" s="2961">
        <v>2450.5300000000002</v>
      </c>
      <c r="P32" s="2961">
        <v>0</v>
      </c>
      <c r="Q32" s="2961" t="s">
        <v>3003</v>
      </c>
    </row>
    <row r="33" spans="1:17">
      <c r="A33" s="2961" t="s">
        <v>3109</v>
      </c>
      <c r="B33" s="2961" t="s">
        <v>2999</v>
      </c>
      <c r="C33" s="2961" t="s">
        <v>3000</v>
      </c>
      <c r="D33" s="2961" t="s">
        <v>3004</v>
      </c>
      <c r="E33" s="2961" t="s">
        <v>3109</v>
      </c>
      <c r="F33" s="2961" t="s">
        <v>3002</v>
      </c>
      <c r="G33" s="2961">
        <v>122724.1</v>
      </c>
      <c r="H33" s="2961">
        <v>250357.2</v>
      </c>
      <c r="I33" s="2961" t="s">
        <v>3110</v>
      </c>
      <c r="J33" s="2961" t="s">
        <v>3086</v>
      </c>
      <c r="K33" s="2961" t="s">
        <v>3111</v>
      </c>
      <c r="L33" s="2961">
        <v>26500</v>
      </c>
      <c r="M33" s="2961">
        <v>60300</v>
      </c>
      <c r="N33" s="2961">
        <v>327.56</v>
      </c>
      <c r="O33" s="2961">
        <v>2408.5500000000002</v>
      </c>
      <c r="P33" s="2961">
        <v>127.55</v>
      </c>
      <c r="Q33" s="2961" t="s">
        <v>3003</v>
      </c>
    </row>
    <row r="34" spans="1:17">
      <c r="A34" s="2961" t="s">
        <v>3112</v>
      </c>
      <c r="B34" s="2961" t="s">
        <v>2999</v>
      </c>
      <c r="C34" s="2961" t="s">
        <v>3000</v>
      </c>
      <c r="D34" s="2961" t="s">
        <v>3017</v>
      </c>
      <c r="E34" s="2961" t="s">
        <v>3112</v>
      </c>
      <c r="F34" s="2961" t="s">
        <v>3002</v>
      </c>
      <c r="G34" s="2961">
        <v>660</v>
      </c>
      <c r="H34" s="2961">
        <v>1650</v>
      </c>
      <c r="I34" s="2961" t="s">
        <v>3036</v>
      </c>
      <c r="J34" s="2961" t="s">
        <v>3054</v>
      </c>
      <c r="K34" s="2961" t="s">
        <v>3113</v>
      </c>
      <c r="L34" s="2961">
        <v>386</v>
      </c>
      <c r="M34" s="2961">
        <v>386</v>
      </c>
      <c r="N34" s="2961">
        <v>389.9</v>
      </c>
      <c r="O34" s="2961">
        <v>2339.38</v>
      </c>
      <c r="P34" s="2961">
        <v>0</v>
      </c>
      <c r="Q34" s="2961" t="s">
        <v>3003</v>
      </c>
    </row>
    <row r="35" spans="1:17">
      <c r="A35" s="2961" t="s">
        <v>3114</v>
      </c>
      <c r="B35" s="2961" t="s">
        <v>2999</v>
      </c>
      <c r="C35" s="2961" t="s">
        <v>3000</v>
      </c>
      <c r="D35" s="2961" t="s">
        <v>3046</v>
      </c>
      <c r="E35" s="2961" t="s">
        <v>3114</v>
      </c>
      <c r="F35" s="2961" t="s">
        <v>3002</v>
      </c>
      <c r="G35" s="2961">
        <v>5257</v>
      </c>
      <c r="H35" s="2961">
        <v>11565.4</v>
      </c>
      <c r="I35" s="2961" t="s">
        <v>3106</v>
      </c>
      <c r="J35" s="2961" t="s">
        <v>3115</v>
      </c>
      <c r="K35" s="2961" t="s">
        <v>3108</v>
      </c>
      <c r="L35" s="2961">
        <v>2696.76</v>
      </c>
      <c r="M35" s="2961">
        <v>2696.76</v>
      </c>
      <c r="N35" s="2961">
        <v>341.99</v>
      </c>
      <c r="O35" s="2961">
        <v>2331.75</v>
      </c>
      <c r="P35" s="2961">
        <v>0</v>
      </c>
      <c r="Q35" s="2961" t="s">
        <v>3003</v>
      </c>
    </row>
    <row r="36" spans="1:17">
      <c r="A36" s="2961" t="s">
        <v>3112</v>
      </c>
      <c r="B36" s="2961" t="s">
        <v>2999</v>
      </c>
      <c r="C36" s="2961" t="s">
        <v>3000</v>
      </c>
      <c r="D36" s="2961" t="s">
        <v>3017</v>
      </c>
      <c r="E36" s="2961" t="s">
        <v>3112</v>
      </c>
      <c r="F36" s="2961" t="s">
        <v>3002</v>
      </c>
      <c r="G36" s="2961">
        <v>2118</v>
      </c>
      <c r="H36" s="2961">
        <v>5295</v>
      </c>
      <c r="I36" s="2961" t="s">
        <v>3036</v>
      </c>
      <c r="J36" s="2961" t="s">
        <v>3054</v>
      </c>
      <c r="K36" s="2961" t="s">
        <v>3113</v>
      </c>
      <c r="L36" s="2961">
        <v>1230</v>
      </c>
      <c r="M36" s="2961">
        <v>1230</v>
      </c>
      <c r="N36" s="2961">
        <v>387.16</v>
      </c>
      <c r="O36" s="2961">
        <v>2322.94</v>
      </c>
      <c r="P36" s="2961">
        <v>0</v>
      </c>
      <c r="Q36" s="2961" t="s">
        <v>3003</v>
      </c>
    </row>
    <row r="37" spans="1:17">
      <c r="A37" s="2961" t="s">
        <v>3116</v>
      </c>
      <c r="B37" s="2961" t="s">
        <v>2999</v>
      </c>
      <c r="C37" s="2961" t="s">
        <v>3000</v>
      </c>
      <c r="D37" s="2961" t="s">
        <v>3004</v>
      </c>
      <c r="E37" s="2961" t="s">
        <v>3116</v>
      </c>
      <c r="F37" s="2961" t="s">
        <v>3002</v>
      </c>
      <c r="G37" s="2961">
        <v>72359.7</v>
      </c>
      <c r="H37" s="2961">
        <v>180896</v>
      </c>
      <c r="I37" s="2961" t="s">
        <v>3066</v>
      </c>
      <c r="J37" s="2961" t="s">
        <v>3117</v>
      </c>
      <c r="K37" s="2961" t="s">
        <v>3118</v>
      </c>
      <c r="L37" s="2961">
        <v>22780</v>
      </c>
      <c r="M37" s="2961">
        <v>41880</v>
      </c>
      <c r="N37" s="2961">
        <v>385.85</v>
      </c>
      <c r="O37" s="2961">
        <v>2315.13</v>
      </c>
      <c r="P37" s="2961">
        <v>83.85</v>
      </c>
      <c r="Q37" s="2961" t="s">
        <v>3119</v>
      </c>
    </row>
    <row r="38" spans="1:17">
      <c r="A38" s="2961" t="s">
        <v>3120</v>
      </c>
      <c r="B38" s="2961" t="s">
        <v>2999</v>
      </c>
      <c r="C38" s="2961" t="s">
        <v>3000</v>
      </c>
      <c r="D38" s="2961" t="s">
        <v>3017</v>
      </c>
      <c r="E38" s="2961" t="s">
        <v>3120</v>
      </c>
      <c r="F38" s="2961" t="s">
        <v>3002</v>
      </c>
      <c r="G38" s="2961">
        <v>5091.3</v>
      </c>
      <c r="H38" s="2961">
        <v>17819.55</v>
      </c>
      <c r="I38" s="2961" t="s">
        <v>3028</v>
      </c>
      <c r="J38" s="2961" t="s">
        <v>3121</v>
      </c>
      <c r="K38" s="2961" t="s">
        <v>3122</v>
      </c>
      <c r="L38" s="2961">
        <v>3974</v>
      </c>
      <c r="M38" s="2961">
        <v>3974</v>
      </c>
      <c r="N38" s="2961">
        <v>520.36</v>
      </c>
      <c r="O38" s="2961">
        <v>2230.13</v>
      </c>
      <c r="P38" s="2961">
        <v>0</v>
      </c>
      <c r="Q38" s="2961" t="s">
        <v>3003</v>
      </c>
    </row>
    <row r="39" spans="1:17">
      <c r="A39" s="2961" t="s">
        <v>3123</v>
      </c>
      <c r="B39" s="2961" t="s">
        <v>2999</v>
      </c>
      <c r="C39" s="2961" t="s">
        <v>3000</v>
      </c>
      <c r="D39" s="2961" t="s">
        <v>3004</v>
      </c>
      <c r="E39" s="2961" t="s">
        <v>3123</v>
      </c>
      <c r="F39" s="2961" t="s">
        <v>3002</v>
      </c>
      <c r="G39" s="2961">
        <v>1687</v>
      </c>
      <c r="H39" s="2961">
        <v>3880.1</v>
      </c>
      <c r="I39" s="2961" t="s">
        <v>2819</v>
      </c>
      <c r="J39" s="2961" t="s">
        <v>3124</v>
      </c>
      <c r="K39" s="2961" t="s">
        <v>3125</v>
      </c>
      <c r="L39" s="2961">
        <v>852</v>
      </c>
      <c r="M39" s="2961">
        <v>852</v>
      </c>
      <c r="N39" s="2961">
        <v>336.69</v>
      </c>
      <c r="O39" s="2961">
        <v>2195.8200000000002</v>
      </c>
      <c r="P39" s="2961">
        <v>0</v>
      </c>
      <c r="Q39" s="2961" t="s">
        <v>3003</v>
      </c>
    </row>
    <row r="40" spans="1:17">
      <c r="A40" s="2961" t="s">
        <v>3126</v>
      </c>
      <c r="B40" s="2961" t="s">
        <v>2999</v>
      </c>
      <c r="C40" s="2961" t="s">
        <v>3011</v>
      </c>
      <c r="D40" s="2961" t="s">
        <v>3046</v>
      </c>
      <c r="E40" s="2961" t="s">
        <v>3126</v>
      </c>
      <c r="F40" s="2961" t="s">
        <v>3002</v>
      </c>
      <c r="G40" s="2961">
        <v>37455</v>
      </c>
      <c r="H40" s="2961">
        <v>37455</v>
      </c>
      <c r="I40" s="2961" t="s">
        <v>3036</v>
      </c>
      <c r="J40" s="2961" t="s">
        <v>3127</v>
      </c>
      <c r="K40" s="2961" t="s">
        <v>3128</v>
      </c>
      <c r="L40" s="2961">
        <v>7900</v>
      </c>
      <c r="M40" s="2961">
        <v>7900</v>
      </c>
      <c r="N40" s="2961">
        <v>140.61000000000001</v>
      </c>
      <c r="O40" s="2961">
        <v>2109.19</v>
      </c>
      <c r="P40" s="2961">
        <v>0</v>
      </c>
      <c r="Q40" s="2961" t="s">
        <v>3015</v>
      </c>
    </row>
    <row r="41" spans="1:17">
      <c r="A41" s="2961" t="s">
        <v>3091</v>
      </c>
      <c r="B41" s="2961" t="s">
        <v>2999</v>
      </c>
      <c r="C41" s="2961" t="s">
        <v>3000</v>
      </c>
      <c r="D41" s="2961" t="s">
        <v>3042</v>
      </c>
      <c r="E41" s="2961" t="s">
        <v>3091</v>
      </c>
      <c r="F41" s="2961" t="s">
        <v>3002</v>
      </c>
      <c r="G41" s="2961">
        <v>6059.64</v>
      </c>
      <c r="H41" s="2961">
        <v>21208.74</v>
      </c>
      <c r="I41" s="2961" t="s">
        <v>3028</v>
      </c>
      <c r="J41" s="2961" t="s">
        <v>3093</v>
      </c>
      <c r="K41" s="2961" t="s">
        <v>3094</v>
      </c>
      <c r="L41" s="2961">
        <v>1386.45</v>
      </c>
      <c r="M41" s="2961">
        <v>4461.4399999999996</v>
      </c>
      <c r="N41" s="2961">
        <v>490.84</v>
      </c>
      <c r="O41" s="2961">
        <v>2103.59</v>
      </c>
      <c r="P41" s="2961">
        <v>221.79</v>
      </c>
      <c r="Q41" s="2961" t="s">
        <v>3003</v>
      </c>
    </row>
    <row r="42" spans="1:17">
      <c r="A42" s="2961" t="s">
        <v>3129</v>
      </c>
      <c r="B42" s="2961" t="s">
        <v>2999</v>
      </c>
      <c r="C42" s="2961" t="s">
        <v>3000</v>
      </c>
      <c r="D42" s="2961" t="s">
        <v>3017</v>
      </c>
      <c r="E42" s="2961" t="s">
        <v>3129</v>
      </c>
      <c r="F42" s="2961" t="s">
        <v>3002</v>
      </c>
      <c r="G42" s="2961">
        <v>4450</v>
      </c>
      <c r="H42" s="2961">
        <v>15575</v>
      </c>
      <c r="I42" s="2961" t="s">
        <v>3028</v>
      </c>
      <c r="J42" s="2961" t="s">
        <v>3130</v>
      </c>
      <c r="K42" s="2961" t="s">
        <v>3131</v>
      </c>
      <c r="L42" s="2961">
        <v>3191</v>
      </c>
      <c r="M42" s="2961">
        <v>3191</v>
      </c>
      <c r="N42" s="2961">
        <v>478.05</v>
      </c>
      <c r="O42" s="2961">
        <v>2048.8000000000002</v>
      </c>
      <c r="P42" s="2961">
        <v>0</v>
      </c>
      <c r="Q42" s="2961" t="s">
        <v>3003</v>
      </c>
    </row>
    <row r="43" spans="1:17">
      <c r="A43" s="2961" t="s">
        <v>3132</v>
      </c>
      <c r="B43" s="2961" t="s">
        <v>2999</v>
      </c>
      <c r="C43" s="2961" t="s">
        <v>3000</v>
      </c>
      <c r="D43" s="2961" t="s">
        <v>3046</v>
      </c>
      <c r="E43" s="2961" t="s">
        <v>3132</v>
      </c>
      <c r="F43" s="2961" t="s">
        <v>3002</v>
      </c>
      <c r="G43" s="2961">
        <v>15343</v>
      </c>
      <c r="H43" s="2961">
        <v>46029</v>
      </c>
      <c r="I43" s="2961" t="s">
        <v>3133</v>
      </c>
      <c r="J43" s="2961" t="s">
        <v>3134</v>
      </c>
      <c r="K43" s="2961" t="s">
        <v>3135</v>
      </c>
      <c r="L43" s="2961">
        <v>2540</v>
      </c>
      <c r="M43" s="2961">
        <v>9365</v>
      </c>
      <c r="N43" s="2961">
        <v>406.92</v>
      </c>
      <c r="O43" s="2961">
        <v>2034.58</v>
      </c>
      <c r="P43" s="2961">
        <v>268.7</v>
      </c>
      <c r="Q43" s="2961" t="s">
        <v>3003</v>
      </c>
    </row>
    <row r="44" spans="1:17">
      <c r="A44" s="2961" t="s">
        <v>3136</v>
      </c>
      <c r="B44" s="2961" t="s">
        <v>2999</v>
      </c>
      <c r="C44" s="2961" t="s">
        <v>3000</v>
      </c>
      <c r="D44" s="2961" t="s">
        <v>3078</v>
      </c>
      <c r="E44" s="2961" t="s">
        <v>3136</v>
      </c>
      <c r="F44" s="2961" t="s">
        <v>3002</v>
      </c>
      <c r="G44" s="2961">
        <v>48679</v>
      </c>
      <c r="H44" s="2961">
        <v>146037</v>
      </c>
      <c r="I44" s="2961" t="s">
        <v>3137</v>
      </c>
      <c r="J44" s="2961" t="s">
        <v>3138</v>
      </c>
      <c r="K44" s="2961" t="s">
        <v>3139</v>
      </c>
      <c r="L44" s="2961">
        <v>28201.09</v>
      </c>
      <c r="M44" s="2961">
        <v>28401.09</v>
      </c>
      <c r="N44" s="2961">
        <v>388.96</v>
      </c>
      <c r="O44" s="2961">
        <v>1944.78</v>
      </c>
      <c r="P44" s="2961">
        <v>0.71</v>
      </c>
      <c r="Q44" s="2961" t="s">
        <v>2819</v>
      </c>
    </row>
    <row r="45" spans="1:17">
      <c r="A45" s="2961" t="s">
        <v>3140</v>
      </c>
      <c r="B45" s="2961" t="s">
        <v>2999</v>
      </c>
      <c r="C45" s="2961" t="s">
        <v>3011</v>
      </c>
      <c r="D45" s="2961" t="s">
        <v>3017</v>
      </c>
      <c r="E45" s="2961" t="s">
        <v>3140</v>
      </c>
      <c r="F45" s="2961" t="s">
        <v>3002</v>
      </c>
      <c r="G45" s="2961">
        <v>49916</v>
      </c>
      <c r="H45" s="2961">
        <v>159731.20000000001</v>
      </c>
      <c r="I45" s="2961" t="s">
        <v>3141</v>
      </c>
      <c r="J45" s="2961" t="s">
        <v>3142</v>
      </c>
      <c r="K45" s="2961" t="s">
        <v>3143</v>
      </c>
      <c r="L45" s="2961">
        <v>30509</v>
      </c>
      <c r="M45" s="2961">
        <v>30509</v>
      </c>
      <c r="N45" s="2961">
        <v>407.47</v>
      </c>
      <c r="O45" s="2961">
        <v>1910.01</v>
      </c>
      <c r="P45" s="2961">
        <v>0</v>
      </c>
      <c r="Q45" s="2961" t="s">
        <v>3015</v>
      </c>
    </row>
    <row r="46" spans="1:17">
      <c r="A46" s="2961" t="s">
        <v>3144</v>
      </c>
      <c r="B46" s="2961" t="s">
        <v>2999</v>
      </c>
      <c r="C46" s="2961" t="s">
        <v>3000</v>
      </c>
      <c r="D46" s="2961" t="s">
        <v>3004</v>
      </c>
      <c r="E46" s="2961" t="s">
        <v>3144</v>
      </c>
      <c r="F46" s="2961" t="s">
        <v>3002</v>
      </c>
      <c r="G46" s="2961">
        <v>149353</v>
      </c>
      <c r="H46" s="2961">
        <v>167553</v>
      </c>
      <c r="I46" s="2961" t="s">
        <v>3137</v>
      </c>
      <c r="J46" s="2961" t="s">
        <v>3145</v>
      </c>
      <c r="K46" s="2961" t="s">
        <v>3146</v>
      </c>
      <c r="L46" s="2961">
        <v>7125.84</v>
      </c>
      <c r="M46" s="2961">
        <v>31125.84</v>
      </c>
      <c r="N46" s="2961">
        <v>138.94</v>
      </c>
      <c r="O46" s="2961">
        <v>1857.67</v>
      </c>
      <c r="P46" s="2961">
        <v>336.8</v>
      </c>
      <c r="Q46" s="2961" t="s">
        <v>3003</v>
      </c>
    </row>
    <row r="47" spans="1:17">
      <c r="A47" s="2961" t="s">
        <v>3147</v>
      </c>
      <c r="B47" s="2961" t="s">
        <v>2999</v>
      </c>
      <c r="C47" s="2961" t="s">
        <v>3000</v>
      </c>
      <c r="D47" s="2961" t="s">
        <v>3004</v>
      </c>
      <c r="E47" s="2961" t="s">
        <v>3147</v>
      </c>
      <c r="F47" s="2961" t="s">
        <v>3002</v>
      </c>
      <c r="G47" s="2961">
        <v>60357</v>
      </c>
      <c r="H47" s="2961">
        <v>54357</v>
      </c>
      <c r="I47" s="2961" t="s">
        <v>3148</v>
      </c>
      <c r="J47" s="2961" t="s">
        <v>3145</v>
      </c>
      <c r="K47" s="2961" t="s">
        <v>3149</v>
      </c>
      <c r="L47" s="2961">
        <v>2514.17</v>
      </c>
      <c r="M47" s="2961">
        <v>9764.18</v>
      </c>
      <c r="N47" s="2961">
        <v>107.85</v>
      </c>
      <c r="O47" s="2961">
        <v>1796.3</v>
      </c>
      <c r="P47" s="2961">
        <v>288.36</v>
      </c>
      <c r="Q47" s="2961" t="s">
        <v>3061</v>
      </c>
    </row>
    <row r="48" spans="1:17">
      <c r="A48" s="2961" t="s">
        <v>3150</v>
      </c>
      <c r="B48" s="2961" t="s">
        <v>2999</v>
      </c>
      <c r="C48" s="2961" t="s">
        <v>3000</v>
      </c>
      <c r="D48" s="2961" t="s">
        <v>3017</v>
      </c>
      <c r="E48" s="2961" t="s">
        <v>3150</v>
      </c>
      <c r="F48" s="2961" t="s">
        <v>3002</v>
      </c>
      <c r="G48" s="2961">
        <v>9800</v>
      </c>
      <c r="H48" s="2961">
        <v>34300</v>
      </c>
      <c r="I48" s="2961" t="s">
        <v>3028</v>
      </c>
      <c r="J48" s="2961" t="s">
        <v>3151</v>
      </c>
      <c r="K48" s="2961" t="s">
        <v>3152</v>
      </c>
      <c r="L48" s="2961">
        <v>6017</v>
      </c>
      <c r="M48" s="2961">
        <v>6077</v>
      </c>
      <c r="N48" s="2961">
        <v>413.4</v>
      </c>
      <c r="O48" s="2961">
        <v>1771.72</v>
      </c>
      <c r="P48" s="2961">
        <v>1</v>
      </c>
      <c r="Q48" s="2961" t="s">
        <v>3003</v>
      </c>
    </row>
    <row r="49" spans="1:17">
      <c r="A49" s="2961" t="s">
        <v>3153</v>
      </c>
      <c r="B49" s="2961" t="s">
        <v>2999</v>
      </c>
      <c r="C49" s="2961" t="s">
        <v>3000</v>
      </c>
      <c r="D49" s="2961" t="s">
        <v>3017</v>
      </c>
      <c r="E49" s="2961" t="s">
        <v>3153</v>
      </c>
      <c r="F49" s="2961" t="s">
        <v>3002</v>
      </c>
      <c r="G49" s="2961">
        <v>4006</v>
      </c>
      <c r="H49" s="2961">
        <v>8012</v>
      </c>
      <c r="I49" s="2961" t="s">
        <v>3007</v>
      </c>
      <c r="J49" s="2961" t="s">
        <v>3154</v>
      </c>
      <c r="K49" s="2961" t="s">
        <v>3155</v>
      </c>
      <c r="L49" s="2961">
        <v>1391</v>
      </c>
      <c r="M49" s="2961">
        <v>1391</v>
      </c>
      <c r="N49" s="2961">
        <v>231.49</v>
      </c>
      <c r="O49" s="2961">
        <v>1736.15</v>
      </c>
      <c r="P49" s="2961">
        <v>0</v>
      </c>
      <c r="Q49" s="2961" t="s">
        <v>3003</v>
      </c>
    </row>
    <row r="50" spans="1:17">
      <c r="A50" s="2961" t="s">
        <v>3156</v>
      </c>
      <c r="B50" s="2961" t="s">
        <v>2999</v>
      </c>
      <c r="C50" s="2961" t="s">
        <v>3000</v>
      </c>
      <c r="D50" s="2961" t="s">
        <v>3001</v>
      </c>
      <c r="E50" s="2961" t="s">
        <v>3156</v>
      </c>
      <c r="F50" s="2961" t="s">
        <v>3002</v>
      </c>
      <c r="G50" s="2961">
        <v>4255.5</v>
      </c>
      <c r="H50" s="2961">
        <v>6383.25</v>
      </c>
      <c r="I50" s="2961" t="s">
        <v>3157</v>
      </c>
      <c r="J50" s="2961" t="s">
        <v>3158</v>
      </c>
      <c r="K50" s="2961" t="s">
        <v>3159</v>
      </c>
      <c r="L50" s="2961">
        <v>1096</v>
      </c>
      <c r="M50" s="2961">
        <v>1096</v>
      </c>
      <c r="N50" s="2961">
        <v>171.7</v>
      </c>
      <c r="O50" s="2961">
        <v>1716.99</v>
      </c>
      <c r="P50" s="2961">
        <v>0</v>
      </c>
      <c r="Q50" s="2961" t="s">
        <v>3003</v>
      </c>
    </row>
    <row r="51" spans="1:17">
      <c r="A51" s="2961" t="s">
        <v>3070</v>
      </c>
      <c r="B51" s="2961" t="s">
        <v>2999</v>
      </c>
      <c r="C51" s="2961" t="s">
        <v>3000</v>
      </c>
      <c r="D51" s="2961" t="s">
        <v>3017</v>
      </c>
      <c r="E51" s="2961" t="s">
        <v>3070</v>
      </c>
      <c r="F51" s="2961" t="s">
        <v>3002</v>
      </c>
      <c r="G51" s="2961">
        <v>17781</v>
      </c>
      <c r="H51" s="2961">
        <v>56899.199999999997</v>
      </c>
      <c r="I51" s="2961" t="s">
        <v>3005</v>
      </c>
      <c r="J51" s="2961" t="s">
        <v>3160</v>
      </c>
      <c r="K51" s="2961" t="s">
        <v>3072</v>
      </c>
      <c r="L51" s="2961">
        <v>9739</v>
      </c>
      <c r="M51" s="2961">
        <v>9739</v>
      </c>
      <c r="N51" s="2961">
        <v>365.15</v>
      </c>
      <c r="O51" s="2961">
        <v>1711.61</v>
      </c>
      <c r="P51" s="2961">
        <v>0</v>
      </c>
      <c r="Q51" s="2961"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1" customWidth="1"/>
    <col min="2" max="2" width="6.25" style="2961" customWidth="1"/>
    <col min="3" max="3" width="13.875" style="2961" customWidth="1"/>
    <col min="4" max="4" width="7.875" style="2961" customWidth="1"/>
    <col min="5" max="5" width="27.125" style="2961" customWidth="1"/>
    <col min="6" max="6" width="7.875" style="2961" customWidth="1"/>
    <col min="7" max="8" width="13.875" style="2961" customWidth="1"/>
    <col min="9" max="9" width="19.125" style="2961" customWidth="1"/>
    <col min="10" max="10" width="9" style="2961" customWidth="1"/>
    <col min="11" max="11" width="31" style="2961" customWidth="1"/>
    <col min="12" max="13" width="10.625" style="2961" customWidth="1"/>
    <col min="14" max="14" width="16" style="2961" customWidth="1"/>
    <col min="15" max="15" width="14.375" style="2961" customWidth="1"/>
    <col min="16" max="16" width="6.25" style="2961" customWidth="1"/>
    <col min="17" max="17" width="46" style="2961" customWidth="1"/>
    <col min="18" max="256" width="9" style="2961"/>
    <col min="257" max="257" width="27.125" style="2961" customWidth="1"/>
    <col min="258" max="258" width="6.25" style="2961" customWidth="1"/>
    <col min="259" max="259" width="13.875" style="2961" customWidth="1"/>
    <col min="260" max="260" width="7.875" style="2961" customWidth="1"/>
    <col min="261" max="261" width="27.125" style="2961" customWidth="1"/>
    <col min="262" max="262" width="7.875" style="2961" customWidth="1"/>
    <col min="263" max="264" width="13.875" style="2961" customWidth="1"/>
    <col min="265" max="265" width="19.125" style="2961" customWidth="1"/>
    <col min="266" max="266" width="9" style="2961" customWidth="1"/>
    <col min="267" max="267" width="31" style="2961" customWidth="1"/>
    <col min="268" max="269" width="10.625" style="2961" customWidth="1"/>
    <col min="270" max="270" width="16" style="2961" customWidth="1"/>
    <col min="271" max="271" width="14.375" style="2961" customWidth="1"/>
    <col min="272" max="272" width="6.25" style="2961" customWidth="1"/>
    <col min="273" max="273" width="46" style="2961" customWidth="1"/>
    <col min="274" max="512" width="9" style="2961"/>
    <col min="513" max="513" width="27.125" style="2961" customWidth="1"/>
    <col min="514" max="514" width="6.25" style="2961" customWidth="1"/>
    <col min="515" max="515" width="13.875" style="2961" customWidth="1"/>
    <col min="516" max="516" width="7.875" style="2961" customWidth="1"/>
    <col min="517" max="517" width="27.125" style="2961" customWidth="1"/>
    <col min="518" max="518" width="7.875" style="2961" customWidth="1"/>
    <col min="519" max="520" width="13.875" style="2961" customWidth="1"/>
    <col min="521" max="521" width="19.125" style="2961" customWidth="1"/>
    <col min="522" max="522" width="9" style="2961" customWidth="1"/>
    <col min="523" max="523" width="31" style="2961" customWidth="1"/>
    <col min="524" max="525" width="10.625" style="2961" customWidth="1"/>
    <col min="526" max="526" width="16" style="2961" customWidth="1"/>
    <col min="527" max="527" width="14.375" style="2961" customWidth="1"/>
    <col min="528" max="528" width="6.25" style="2961" customWidth="1"/>
    <col min="529" max="529" width="46" style="2961" customWidth="1"/>
    <col min="530" max="768" width="9" style="2961"/>
    <col min="769" max="769" width="27.125" style="2961" customWidth="1"/>
    <col min="770" max="770" width="6.25" style="2961" customWidth="1"/>
    <col min="771" max="771" width="13.875" style="2961" customWidth="1"/>
    <col min="772" max="772" width="7.875" style="2961" customWidth="1"/>
    <col min="773" max="773" width="27.125" style="2961" customWidth="1"/>
    <col min="774" max="774" width="7.875" style="2961" customWidth="1"/>
    <col min="775" max="776" width="13.875" style="2961" customWidth="1"/>
    <col min="777" max="777" width="19.125" style="2961" customWidth="1"/>
    <col min="778" max="778" width="9" style="2961" customWidth="1"/>
    <col min="779" max="779" width="31" style="2961" customWidth="1"/>
    <col min="780" max="781" width="10.625" style="2961" customWidth="1"/>
    <col min="782" max="782" width="16" style="2961" customWidth="1"/>
    <col min="783" max="783" width="14.375" style="2961" customWidth="1"/>
    <col min="784" max="784" width="6.25" style="2961" customWidth="1"/>
    <col min="785" max="785" width="46" style="2961" customWidth="1"/>
    <col min="786" max="1024" width="9" style="2961"/>
    <col min="1025" max="1025" width="27.125" style="2961" customWidth="1"/>
    <col min="1026" max="1026" width="6.25" style="2961" customWidth="1"/>
    <col min="1027" max="1027" width="13.875" style="2961" customWidth="1"/>
    <col min="1028" max="1028" width="7.875" style="2961" customWidth="1"/>
    <col min="1029" max="1029" width="27.125" style="2961" customWidth="1"/>
    <col min="1030" max="1030" width="7.875" style="2961" customWidth="1"/>
    <col min="1031" max="1032" width="13.875" style="2961" customWidth="1"/>
    <col min="1033" max="1033" width="19.125" style="2961" customWidth="1"/>
    <col min="1034" max="1034" width="9" style="2961" customWidth="1"/>
    <col min="1035" max="1035" width="31" style="2961" customWidth="1"/>
    <col min="1036" max="1037" width="10.625" style="2961" customWidth="1"/>
    <col min="1038" max="1038" width="16" style="2961" customWidth="1"/>
    <col min="1039" max="1039" width="14.375" style="2961" customWidth="1"/>
    <col min="1040" max="1040" width="6.25" style="2961" customWidth="1"/>
    <col min="1041" max="1041" width="46" style="2961" customWidth="1"/>
    <col min="1042" max="1280" width="9" style="2961"/>
    <col min="1281" max="1281" width="27.125" style="2961" customWidth="1"/>
    <col min="1282" max="1282" width="6.25" style="2961" customWidth="1"/>
    <col min="1283" max="1283" width="13.875" style="2961" customWidth="1"/>
    <col min="1284" max="1284" width="7.875" style="2961" customWidth="1"/>
    <col min="1285" max="1285" width="27.125" style="2961" customWidth="1"/>
    <col min="1286" max="1286" width="7.875" style="2961" customWidth="1"/>
    <col min="1287" max="1288" width="13.875" style="2961" customWidth="1"/>
    <col min="1289" max="1289" width="19.125" style="2961" customWidth="1"/>
    <col min="1290" max="1290" width="9" style="2961" customWidth="1"/>
    <col min="1291" max="1291" width="31" style="2961" customWidth="1"/>
    <col min="1292" max="1293" width="10.625" style="2961" customWidth="1"/>
    <col min="1294" max="1294" width="16" style="2961" customWidth="1"/>
    <col min="1295" max="1295" width="14.375" style="2961" customWidth="1"/>
    <col min="1296" max="1296" width="6.25" style="2961" customWidth="1"/>
    <col min="1297" max="1297" width="46" style="2961" customWidth="1"/>
    <col min="1298" max="1536" width="9" style="2961"/>
    <col min="1537" max="1537" width="27.125" style="2961" customWidth="1"/>
    <col min="1538" max="1538" width="6.25" style="2961" customWidth="1"/>
    <col min="1539" max="1539" width="13.875" style="2961" customWidth="1"/>
    <col min="1540" max="1540" width="7.875" style="2961" customWidth="1"/>
    <col min="1541" max="1541" width="27.125" style="2961" customWidth="1"/>
    <col min="1542" max="1542" width="7.875" style="2961" customWidth="1"/>
    <col min="1543" max="1544" width="13.875" style="2961" customWidth="1"/>
    <col min="1545" max="1545" width="19.125" style="2961" customWidth="1"/>
    <col min="1546" max="1546" width="9" style="2961" customWidth="1"/>
    <col min="1547" max="1547" width="31" style="2961" customWidth="1"/>
    <col min="1548" max="1549" width="10.625" style="2961" customWidth="1"/>
    <col min="1550" max="1550" width="16" style="2961" customWidth="1"/>
    <col min="1551" max="1551" width="14.375" style="2961" customWidth="1"/>
    <col min="1552" max="1552" width="6.25" style="2961" customWidth="1"/>
    <col min="1553" max="1553" width="46" style="2961" customWidth="1"/>
    <col min="1554" max="1792" width="9" style="2961"/>
    <col min="1793" max="1793" width="27.125" style="2961" customWidth="1"/>
    <col min="1794" max="1794" width="6.25" style="2961" customWidth="1"/>
    <col min="1795" max="1795" width="13.875" style="2961" customWidth="1"/>
    <col min="1796" max="1796" width="7.875" style="2961" customWidth="1"/>
    <col min="1797" max="1797" width="27.125" style="2961" customWidth="1"/>
    <col min="1798" max="1798" width="7.875" style="2961" customWidth="1"/>
    <col min="1799" max="1800" width="13.875" style="2961" customWidth="1"/>
    <col min="1801" max="1801" width="19.125" style="2961" customWidth="1"/>
    <col min="1802" max="1802" width="9" style="2961" customWidth="1"/>
    <col min="1803" max="1803" width="31" style="2961" customWidth="1"/>
    <col min="1804" max="1805" width="10.625" style="2961" customWidth="1"/>
    <col min="1806" max="1806" width="16" style="2961" customWidth="1"/>
    <col min="1807" max="1807" width="14.375" style="2961" customWidth="1"/>
    <col min="1808" max="1808" width="6.25" style="2961" customWidth="1"/>
    <col min="1809" max="1809" width="46" style="2961" customWidth="1"/>
    <col min="1810" max="2048" width="9" style="2961"/>
    <col min="2049" max="2049" width="27.125" style="2961" customWidth="1"/>
    <col min="2050" max="2050" width="6.25" style="2961" customWidth="1"/>
    <col min="2051" max="2051" width="13.875" style="2961" customWidth="1"/>
    <col min="2052" max="2052" width="7.875" style="2961" customWidth="1"/>
    <col min="2053" max="2053" width="27.125" style="2961" customWidth="1"/>
    <col min="2054" max="2054" width="7.875" style="2961" customWidth="1"/>
    <col min="2055" max="2056" width="13.875" style="2961" customWidth="1"/>
    <col min="2057" max="2057" width="19.125" style="2961" customWidth="1"/>
    <col min="2058" max="2058" width="9" style="2961" customWidth="1"/>
    <col min="2059" max="2059" width="31" style="2961" customWidth="1"/>
    <col min="2060" max="2061" width="10.625" style="2961" customWidth="1"/>
    <col min="2062" max="2062" width="16" style="2961" customWidth="1"/>
    <col min="2063" max="2063" width="14.375" style="2961" customWidth="1"/>
    <col min="2064" max="2064" width="6.25" style="2961" customWidth="1"/>
    <col min="2065" max="2065" width="46" style="2961" customWidth="1"/>
    <col min="2066" max="2304" width="9" style="2961"/>
    <col min="2305" max="2305" width="27.125" style="2961" customWidth="1"/>
    <col min="2306" max="2306" width="6.25" style="2961" customWidth="1"/>
    <col min="2307" max="2307" width="13.875" style="2961" customWidth="1"/>
    <col min="2308" max="2308" width="7.875" style="2961" customWidth="1"/>
    <col min="2309" max="2309" width="27.125" style="2961" customWidth="1"/>
    <col min="2310" max="2310" width="7.875" style="2961" customWidth="1"/>
    <col min="2311" max="2312" width="13.875" style="2961" customWidth="1"/>
    <col min="2313" max="2313" width="19.125" style="2961" customWidth="1"/>
    <col min="2314" max="2314" width="9" style="2961" customWidth="1"/>
    <col min="2315" max="2315" width="31" style="2961" customWidth="1"/>
    <col min="2316" max="2317" width="10.625" style="2961" customWidth="1"/>
    <col min="2318" max="2318" width="16" style="2961" customWidth="1"/>
    <col min="2319" max="2319" width="14.375" style="2961" customWidth="1"/>
    <col min="2320" max="2320" width="6.25" style="2961" customWidth="1"/>
    <col min="2321" max="2321" width="46" style="2961" customWidth="1"/>
    <col min="2322" max="2560" width="9" style="2961"/>
    <col min="2561" max="2561" width="27.125" style="2961" customWidth="1"/>
    <col min="2562" max="2562" width="6.25" style="2961" customWidth="1"/>
    <col min="2563" max="2563" width="13.875" style="2961" customWidth="1"/>
    <col min="2564" max="2564" width="7.875" style="2961" customWidth="1"/>
    <col min="2565" max="2565" width="27.125" style="2961" customWidth="1"/>
    <col min="2566" max="2566" width="7.875" style="2961" customWidth="1"/>
    <col min="2567" max="2568" width="13.875" style="2961" customWidth="1"/>
    <col min="2569" max="2569" width="19.125" style="2961" customWidth="1"/>
    <col min="2570" max="2570" width="9" style="2961" customWidth="1"/>
    <col min="2571" max="2571" width="31" style="2961" customWidth="1"/>
    <col min="2572" max="2573" width="10.625" style="2961" customWidth="1"/>
    <col min="2574" max="2574" width="16" style="2961" customWidth="1"/>
    <col min="2575" max="2575" width="14.375" style="2961" customWidth="1"/>
    <col min="2576" max="2576" width="6.25" style="2961" customWidth="1"/>
    <col min="2577" max="2577" width="46" style="2961" customWidth="1"/>
    <col min="2578" max="2816" width="9" style="2961"/>
    <col min="2817" max="2817" width="27.125" style="2961" customWidth="1"/>
    <col min="2818" max="2818" width="6.25" style="2961" customWidth="1"/>
    <col min="2819" max="2819" width="13.875" style="2961" customWidth="1"/>
    <col min="2820" max="2820" width="7.875" style="2961" customWidth="1"/>
    <col min="2821" max="2821" width="27.125" style="2961" customWidth="1"/>
    <col min="2822" max="2822" width="7.875" style="2961" customWidth="1"/>
    <col min="2823" max="2824" width="13.875" style="2961" customWidth="1"/>
    <col min="2825" max="2825" width="19.125" style="2961" customWidth="1"/>
    <col min="2826" max="2826" width="9" style="2961" customWidth="1"/>
    <col min="2827" max="2827" width="31" style="2961" customWidth="1"/>
    <col min="2828" max="2829" width="10.625" style="2961" customWidth="1"/>
    <col min="2830" max="2830" width="16" style="2961" customWidth="1"/>
    <col min="2831" max="2831" width="14.375" style="2961" customWidth="1"/>
    <col min="2832" max="2832" width="6.25" style="2961" customWidth="1"/>
    <col min="2833" max="2833" width="46" style="2961" customWidth="1"/>
    <col min="2834" max="3072" width="9" style="2961"/>
    <col min="3073" max="3073" width="27.125" style="2961" customWidth="1"/>
    <col min="3074" max="3074" width="6.25" style="2961" customWidth="1"/>
    <col min="3075" max="3075" width="13.875" style="2961" customWidth="1"/>
    <col min="3076" max="3076" width="7.875" style="2961" customWidth="1"/>
    <col min="3077" max="3077" width="27.125" style="2961" customWidth="1"/>
    <col min="3078" max="3078" width="7.875" style="2961" customWidth="1"/>
    <col min="3079" max="3080" width="13.875" style="2961" customWidth="1"/>
    <col min="3081" max="3081" width="19.125" style="2961" customWidth="1"/>
    <col min="3082" max="3082" width="9" style="2961" customWidth="1"/>
    <col min="3083" max="3083" width="31" style="2961" customWidth="1"/>
    <col min="3084" max="3085" width="10.625" style="2961" customWidth="1"/>
    <col min="3086" max="3086" width="16" style="2961" customWidth="1"/>
    <col min="3087" max="3087" width="14.375" style="2961" customWidth="1"/>
    <col min="3088" max="3088" width="6.25" style="2961" customWidth="1"/>
    <col min="3089" max="3089" width="46" style="2961" customWidth="1"/>
    <col min="3090" max="3328" width="9" style="2961"/>
    <col min="3329" max="3329" width="27.125" style="2961" customWidth="1"/>
    <col min="3330" max="3330" width="6.25" style="2961" customWidth="1"/>
    <col min="3331" max="3331" width="13.875" style="2961" customWidth="1"/>
    <col min="3332" max="3332" width="7.875" style="2961" customWidth="1"/>
    <col min="3333" max="3333" width="27.125" style="2961" customWidth="1"/>
    <col min="3334" max="3334" width="7.875" style="2961" customWidth="1"/>
    <col min="3335" max="3336" width="13.875" style="2961" customWidth="1"/>
    <col min="3337" max="3337" width="19.125" style="2961" customWidth="1"/>
    <col min="3338" max="3338" width="9" style="2961" customWidth="1"/>
    <col min="3339" max="3339" width="31" style="2961" customWidth="1"/>
    <col min="3340" max="3341" width="10.625" style="2961" customWidth="1"/>
    <col min="3342" max="3342" width="16" style="2961" customWidth="1"/>
    <col min="3343" max="3343" width="14.375" style="2961" customWidth="1"/>
    <col min="3344" max="3344" width="6.25" style="2961" customWidth="1"/>
    <col min="3345" max="3345" width="46" style="2961" customWidth="1"/>
    <col min="3346" max="3584" width="9" style="2961"/>
    <col min="3585" max="3585" width="27.125" style="2961" customWidth="1"/>
    <col min="3586" max="3586" width="6.25" style="2961" customWidth="1"/>
    <col min="3587" max="3587" width="13.875" style="2961" customWidth="1"/>
    <col min="3588" max="3588" width="7.875" style="2961" customWidth="1"/>
    <col min="3589" max="3589" width="27.125" style="2961" customWidth="1"/>
    <col min="3590" max="3590" width="7.875" style="2961" customWidth="1"/>
    <col min="3591" max="3592" width="13.875" style="2961" customWidth="1"/>
    <col min="3593" max="3593" width="19.125" style="2961" customWidth="1"/>
    <col min="3594" max="3594" width="9" style="2961" customWidth="1"/>
    <col min="3595" max="3595" width="31" style="2961" customWidth="1"/>
    <col min="3596" max="3597" width="10.625" style="2961" customWidth="1"/>
    <col min="3598" max="3598" width="16" style="2961" customWidth="1"/>
    <col min="3599" max="3599" width="14.375" style="2961" customWidth="1"/>
    <col min="3600" max="3600" width="6.25" style="2961" customWidth="1"/>
    <col min="3601" max="3601" width="46" style="2961" customWidth="1"/>
    <col min="3602" max="3840" width="9" style="2961"/>
    <col min="3841" max="3841" width="27.125" style="2961" customWidth="1"/>
    <col min="3842" max="3842" width="6.25" style="2961" customWidth="1"/>
    <col min="3843" max="3843" width="13.875" style="2961" customWidth="1"/>
    <col min="3844" max="3844" width="7.875" style="2961" customWidth="1"/>
    <col min="3845" max="3845" width="27.125" style="2961" customWidth="1"/>
    <col min="3846" max="3846" width="7.875" style="2961" customWidth="1"/>
    <col min="3847" max="3848" width="13.875" style="2961" customWidth="1"/>
    <col min="3849" max="3849" width="19.125" style="2961" customWidth="1"/>
    <col min="3850" max="3850" width="9" style="2961" customWidth="1"/>
    <col min="3851" max="3851" width="31" style="2961" customWidth="1"/>
    <col min="3852" max="3853" width="10.625" style="2961" customWidth="1"/>
    <col min="3854" max="3854" width="16" style="2961" customWidth="1"/>
    <col min="3855" max="3855" width="14.375" style="2961" customWidth="1"/>
    <col min="3856" max="3856" width="6.25" style="2961" customWidth="1"/>
    <col min="3857" max="3857" width="46" style="2961" customWidth="1"/>
    <col min="3858" max="4096" width="9" style="2961"/>
    <col min="4097" max="4097" width="27.125" style="2961" customWidth="1"/>
    <col min="4098" max="4098" width="6.25" style="2961" customWidth="1"/>
    <col min="4099" max="4099" width="13.875" style="2961" customWidth="1"/>
    <col min="4100" max="4100" width="7.875" style="2961" customWidth="1"/>
    <col min="4101" max="4101" width="27.125" style="2961" customWidth="1"/>
    <col min="4102" max="4102" width="7.875" style="2961" customWidth="1"/>
    <col min="4103" max="4104" width="13.875" style="2961" customWidth="1"/>
    <col min="4105" max="4105" width="19.125" style="2961" customWidth="1"/>
    <col min="4106" max="4106" width="9" style="2961" customWidth="1"/>
    <col min="4107" max="4107" width="31" style="2961" customWidth="1"/>
    <col min="4108" max="4109" width="10.625" style="2961" customWidth="1"/>
    <col min="4110" max="4110" width="16" style="2961" customWidth="1"/>
    <col min="4111" max="4111" width="14.375" style="2961" customWidth="1"/>
    <col min="4112" max="4112" width="6.25" style="2961" customWidth="1"/>
    <col min="4113" max="4113" width="46" style="2961" customWidth="1"/>
    <col min="4114" max="4352" width="9" style="2961"/>
    <col min="4353" max="4353" width="27.125" style="2961" customWidth="1"/>
    <col min="4354" max="4354" width="6.25" style="2961" customWidth="1"/>
    <col min="4355" max="4355" width="13.875" style="2961" customWidth="1"/>
    <col min="4356" max="4356" width="7.875" style="2961" customWidth="1"/>
    <col min="4357" max="4357" width="27.125" style="2961" customWidth="1"/>
    <col min="4358" max="4358" width="7.875" style="2961" customWidth="1"/>
    <col min="4359" max="4360" width="13.875" style="2961" customWidth="1"/>
    <col min="4361" max="4361" width="19.125" style="2961" customWidth="1"/>
    <col min="4362" max="4362" width="9" style="2961" customWidth="1"/>
    <col min="4363" max="4363" width="31" style="2961" customWidth="1"/>
    <col min="4364" max="4365" width="10.625" style="2961" customWidth="1"/>
    <col min="4366" max="4366" width="16" style="2961" customWidth="1"/>
    <col min="4367" max="4367" width="14.375" style="2961" customWidth="1"/>
    <col min="4368" max="4368" width="6.25" style="2961" customWidth="1"/>
    <col min="4369" max="4369" width="46" style="2961" customWidth="1"/>
    <col min="4370" max="4608" width="9" style="2961"/>
    <col min="4609" max="4609" width="27.125" style="2961" customWidth="1"/>
    <col min="4610" max="4610" width="6.25" style="2961" customWidth="1"/>
    <col min="4611" max="4611" width="13.875" style="2961" customWidth="1"/>
    <col min="4612" max="4612" width="7.875" style="2961" customWidth="1"/>
    <col min="4613" max="4613" width="27.125" style="2961" customWidth="1"/>
    <col min="4614" max="4614" width="7.875" style="2961" customWidth="1"/>
    <col min="4615" max="4616" width="13.875" style="2961" customWidth="1"/>
    <col min="4617" max="4617" width="19.125" style="2961" customWidth="1"/>
    <col min="4618" max="4618" width="9" style="2961" customWidth="1"/>
    <col min="4619" max="4619" width="31" style="2961" customWidth="1"/>
    <col min="4620" max="4621" width="10.625" style="2961" customWidth="1"/>
    <col min="4622" max="4622" width="16" style="2961" customWidth="1"/>
    <col min="4623" max="4623" width="14.375" style="2961" customWidth="1"/>
    <col min="4624" max="4624" width="6.25" style="2961" customWidth="1"/>
    <col min="4625" max="4625" width="46" style="2961" customWidth="1"/>
    <col min="4626" max="4864" width="9" style="2961"/>
    <col min="4865" max="4865" width="27.125" style="2961" customWidth="1"/>
    <col min="4866" max="4866" width="6.25" style="2961" customWidth="1"/>
    <col min="4867" max="4867" width="13.875" style="2961" customWidth="1"/>
    <col min="4868" max="4868" width="7.875" style="2961" customWidth="1"/>
    <col min="4869" max="4869" width="27.125" style="2961" customWidth="1"/>
    <col min="4870" max="4870" width="7.875" style="2961" customWidth="1"/>
    <col min="4871" max="4872" width="13.875" style="2961" customWidth="1"/>
    <col min="4873" max="4873" width="19.125" style="2961" customWidth="1"/>
    <col min="4874" max="4874" width="9" style="2961" customWidth="1"/>
    <col min="4875" max="4875" width="31" style="2961" customWidth="1"/>
    <col min="4876" max="4877" width="10.625" style="2961" customWidth="1"/>
    <col min="4878" max="4878" width="16" style="2961" customWidth="1"/>
    <col min="4879" max="4879" width="14.375" style="2961" customWidth="1"/>
    <col min="4880" max="4880" width="6.25" style="2961" customWidth="1"/>
    <col min="4881" max="4881" width="46" style="2961" customWidth="1"/>
    <col min="4882" max="5120" width="9" style="2961"/>
    <col min="5121" max="5121" width="27.125" style="2961" customWidth="1"/>
    <col min="5122" max="5122" width="6.25" style="2961" customWidth="1"/>
    <col min="5123" max="5123" width="13.875" style="2961" customWidth="1"/>
    <col min="5124" max="5124" width="7.875" style="2961" customWidth="1"/>
    <col min="5125" max="5125" width="27.125" style="2961" customWidth="1"/>
    <col min="5126" max="5126" width="7.875" style="2961" customWidth="1"/>
    <col min="5127" max="5128" width="13.875" style="2961" customWidth="1"/>
    <col min="5129" max="5129" width="19.125" style="2961" customWidth="1"/>
    <col min="5130" max="5130" width="9" style="2961" customWidth="1"/>
    <col min="5131" max="5131" width="31" style="2961" customWidth="1"/>
    <col min="5132" max="5133" width="10.625" style="2961" customWidth="1"/>
    <col min="5134" max="5134" width="16" style="2961" customWidth="1"/>
    <col min="5135" max="5135" width="14.375" style="2961" customWidth="1"/>
    <col min="5136" max="5136" width="6.25" style="2961" customWidth="1"/>
    <col min="5137" max="5137" width="46" style="2961" customWidth="1"/>
    <col min="5138" max="5376" width="9" style="2961"/>
    <col min="5377" max="5377" width="27.125" style="2961" customWidth="1"/>
    <col min="5378" max="5378" width="6.25" style="2961" customWidth="1"/>
    <col min="5379" max="5379" width="13.875" style="2961" customWidth="1"/>
    <col min="5380" max="5380" width="7.875" style="2961" customWidth="1"/>
    <col min="5381" max="5381" width="27.125" style="2961" customWidth="1"/>
    <col min="5382" max="5382" width="7.875" style="2961" customWidth="1"/>
    <col min="5383" max="5384" width="13.875" style="2961" customWidth="1"/>
    <col min="5385" max="5385" width="19.125" style="2961" customWidth="1"/>
    <col min="5386" max="5386" width="9" style="2961" customWidth="1"/>
    <col min="5387" max="5387" width="31" style="2961" customWidth="1"/>
    <col min="5388" max="5389" width="10.625" style="2961" customWidth="1"/>
    <col min="5390" max="5390" width="16" style="2961" customWidth="1"/>
    <col min="5391" max="5391" width="14.375" style="2961" customWidth="1"/>
    <col min="5392" max="5392" width="6.25" style="2961" customWidth="1"/>
    <col min="5393" max="5393" width="46" style="2961" customWidth="1"/>
    <col min="5394" max="5632" width="9" style="2961"/>
    <col min="5633" max="5633" width="27.125" style="2961" customWidth="1"/>
    <col min="5634" max="5634" width="6.25" style="2961" customWidth="1"/>
    <col min="5635" max="5635" width="13.875" style="2961" customWidth="1"/>
    <col min="5636" max="5636" width="7.875" style="2961" customWidth="1"/>
    <col min="5637" max="5637" width="27.125" style="2961" customWidth="1"/>
    <col min="5638" max="5638" width="7.875" style="2961" customWidth="1"/>
    <col min="5639" max="5640" width="13.875" style="2961" customWidth="1"/>
    <col min="5641" max="5641" width="19.125" style="2961" customWidth="1"/>
    <col min="5642" max="5642" width="9" style="2961" customWidth="1"/>
    <col min="5643" max="5643" width="31" style="2961" customWidth="1"/>
    <col min="5644" max="5645" width="10.625" style="2961" customWidth="1"/>
    <col min="5646" max="5646" width="16" style="2961" customWidth="1"/>
    <col min="5647" max="5647" width="14.375" style="2961" customWidth="1"/>
    <col min="5648" max="5648" width="6.25" style="2961" customWidth="1"/>
    <col min="5649" max="5649" width="46" style="2961" customWidth="1"/>
    <col min="5650" max="5888" width="9" style="2961"/>
    <col min="5889" max="5889" width="27.125" style="2961" customWidth="1"/>
    <col min="5890" max="5890" width="6.25" style="2961" customWidth="1"/>
    <col min="5891" max="5891" width="13.875" style="2961" customWidth="1"/>
    <col min="5892" max="5892" width="7.875" style="2961" customWidth="1"/>
    <col min="5893" max="5893" width="27.125" style="2961" customWidth="1"/>
    <col min="5894" max="5894" width="7.875" style="2961" customWidth="1"/>
    <col min="5895" max="5896" width="13.875" style="2961" customWidth="1"/>
    <col min="5897" max="5897" width="19.125" style="2961" customWidth="1"/>
    <col min="5898" max="5898" width="9" style="2961" customWidth="1"/>
    <col min="5899" max="5899" width="31" style="2961" customWidth="1"/>
    <col min="5900" max="5901" width="10.625" style="2961" customWidth="1"/>
    <col min="5902" max="5902" width="16" style="2961" customWidth="1"/>
    <col min="5903" max="5903" width="14.375" style="2961" customWidth="1"/>
    <col min="5904" max="5904" width="6.25" style="2961" customWidth="1"/>
    <col min="5905" max="5905" width="46" style="2961" customWidth="1"/>
    <col min="5906" max="6144" width="9" style="2961"/>
    <col min="6145" max="6145" width="27.125" style="2961" customWidth="1"/>
    <col min="6146" max="6146" width="6.25" style="2961" customWidth="1"/>
    <col min="6147" max="6147" width="13.875" style="2961" customWidth="1"/>
    <col min="6148" max="6148" width="7.875" style="2961" customWidth="1"/>
    <col min="6149" max="6149" width="27.125" style="2961" customWidth="1"/>
    <col min="6150" max="6150" width="7.875" style="2961" customWidth="1"/>
    <col min="6151" max="6152" width="13.875" style="2961" customWidth="1"/>
    <col min="6153" max="6153" width="19.125" style="2961" customWidth="1"/>
    <col min="6154" max="6154" width="9" style="2961" customWidth="1"/>
    <col min="6155" max="6155" width="31" style="2961" customWidth="1"/>
    <col min="6156" max="6157" width="10.625" style="2961" customWidth="1"/>
    <col min="6158" max="6158" width="16" style="2961" customWidth="1"/>
    <col min="6159" max="6159" width="14.375" style="2961" customWidth="1"/>
    <col min="6160" max="6160" width="6.25" style="2961" customWidth="1"/>
    <col min="6161" max="6161" width="46" style="2961" customWidth="1"/>
    <col min="6162" max="6400" width="9" style="2961"/>
    <col min="6401" max="6401" width="27.125" style="2961" customWidth="1"/>
    <col min="6402" max="6402" width="6.25" style="2961" customWidth="1"/>
    <col min="6403" max="6403" width="13.875" style="2961" customWidth="1"/>
    <col min="6404" max="6404" width="7.875" style="2961" customWidth="1"/>
    <col min="6405" max="6405" width="27.125" style="2961" customWidth="1"/>
    <col min="6406" max="6406" width="7.875" style="2961" customWidth="1"/>
    <col min="6407" max="6408" width="13.875" style="2961" customWidth="1"/>
    <col min="6409" max="6409" width="19.125" style="2961" customWidth="1"/>
    <col min="6410" max="6410" width="9" style="2961" customWidth="1"/>
    <col min="6411" max="6411" width="31" style="2961" customWidth="1"/>
    <col min="6412" max="6413" width="10.625" style="2961" customWidth="1"/>
    <col min="6414" max="6414" width="16" style="2961" customWidth="1"/>
    <col min="6415" max="6415" width="14.375" style="2961" customWidth="1"/>
    <col min="6416" max="6416" width="6.25" style="2961" customWidth="1"/>
    <col min="6417" max="6417" width="46" style="2961" customWidth="1"/>
    <col min="6418" max="6656" width="9" style="2961"/>
    <col min="6657" max="6657" width="27.125" style="2961" customWidth="1"/>
    <col min="6658" max="6658" width="6.25" style="2961" customWidth="1"/>
    <col min="6659" max="6659" width="13.875" style="2961" customWidth="1"/>
    <col min="6660" max="6660" width="7.875" style="2961" customWidth="1"/>
    <col min="6661" max="6661" width="27.125" style="2961" customWidth="1"/>
    <col min="6662" max="6662" width="7.875" style="2961" customWidth="1"/>
    <col min="6663" max="6664" width="13.875" style="2961" customWidth="1"/>
    <col min="6665" max="6665" width="19.125" style="2961" customWidth="1"/>
    <col min="6666" max="6666" width="9" style="2961" customWidth="1"/>
    <col min="6667" max="6667" width="31" style="2961" customWidth="1"/>
    <col min="6668" max="6669" width="10.625" style="2961" customWidth="1"/>
    <col min="6670" max="6670" width="16" style="2961" customWidth="1"/>
    <col min="6671" max="6671" width="14.375" style="2961" customWidth="1"/>
    <col min="6672" max="6672" width="6.25" style="2961" customWidth="1"/>
    <col min="6673" max="6673" width="46" style="2961" customWidth="1"/>
    <col min="6674" max="6912" width="9" style="2961"/>
    <col min="6913" max="6913" width="27.125" style="2961" customWidth="1"/>
    <col min="6914" max="6914" width="6.25" style="2961" customWidth="1"/>
    <col min="6915" max="6915" width="13.875" style="2961" customWidth="1"/>
    <col min="6916" max="6916" width="7.875" style="2961" customWidth="1"/>
    <col min="6917" max="6917" width="27.125" style="2961" customWidth="1"/>
    <col min="6918" max="6918" width="7.875" style="2961" customWidth="1"/>
    <col min="6919" max="6920" width="13.875" style="2961" customWidth="1"/>
    <col min="6921" max="6921" width="19.125" style="2961" customWidth="1"/>
    <col min="6922" max="6922" width="9" style="2961" customWidth="1"/>
    <col min="6923" max="6923" width="31" style="2961" customWidth="1"/>
    <col min="6924" max="6925" width="10.625" style="2961" customWidth="1"/>
    <col min="6926" max="6926" width="16" style="2961" customWidth="1"/>
    <col min="6927" max="6927" width="14.375" style="2961" customWidth="1"/>
    <col min="6928" max="6928" width="6.25" style="2961" customWidth="1"/>
    <col min="6929" max="6929" width="46" style="2961" customWidth="1"/>
    <col min="6930" max="7168" width="9" style="2961"/>
    <col min="7169" max="7169" width="27.125" style="2961" customWidth="1"/>
    <col min="7170" max="7170" width="6.25" style="2961" customWidth="1"/>
    <col min="7171" max="7171" width="13.875" style="2961" customWidth="1"/>
    <col min="7172" max="7172" width="7.875" style="2961" customWidth="1"/>
    <col min="7173" max="7173" width="27.125" style="2961" customWidth="1"/>
    <col min="7174" max="7174" width="7.875" style="2961" customWidth="1"/>
    <col min="7175" max="7176" width="13.875" style="2961" customWidth="1"/>
    <col min="7177" max="7177" width="19.125" style="2961" customWidth="1"/>
    <col min="7178" max="7178" width="9" style="2961" customWidth="1"/>
    <col min="7179" max="7179" width="31" style="2961" customWidth="1"/>
    <col min="7180" max="7181" width="10.625" style="2961" customWidth="1"/>
    <col min="7182" max="7182" width="16" style="2961" customWidth="1"/>
    <col min="7183" max="7183" width="14.375" style="2961" customWidth="1"/>
    <col min="7184" max="7184" width="6.25" style="2961" customWidth="1"/>
    <col min="7185" max="7185" width="46" style="2961" customWidth="1"/>
    <col min="7186" max="7424" width="9" style="2961"/>
    <col min="7425" max="7425" width="27.125" style="2961" customWidth="1"/>
    <col min="7426" max="7426" width="6.25" style="2961" customWidth="1"/>
    <col min="7427" max="7427" width="13.875" style="2961" customWidth="1"/>
    <col min="7428" max="7428" width="7.875" style="2961" customWidth="1"/>
    <col min="7429" max="7429" width="27.125" style="2961" customWidth="1"/>
    <col min="7430" max="7430" width="7.875" style="2961" customWidth="1"/>
    <col min="7431" max="7432" width="13.875" style="2961" customWidth="1"/>
    <col min="7433" max="7433" width="19.125" style="2961" customWidth="1"/>
    <col min="7434" max="7434" width="9" style="2961" customWidth="1"/>
    <col min="7435" max="7435" width="31" style="2961" customWidth="1"/>
    <col min="7436" max="7437" width="10.625" style="2961" customWidth="1"/>
    <col min="7438" max="7438" width="16" style="2961" customWidth="1"/>
    <col min="7439" max="7439" width="14.375" style="2961" customWidth="1"/>
    <col min="7440" max="7440" width="6.25" style="2961" customWidth="1"/>
    <col min="7441" max="7441" width="46" style="2961" customWidth="1"/>
    <col min="7442" max="7680" width="9" style="2961"/>
    <col min="7681" max="7681" width="27.125" style="2961" customWidth="1"/>
    <col min="7682" max="7682" width="6.25" style="2961" customWidth="1"/>
    <col min="7683" max="7683" width="13.875" style="2961" customWidth="1"/>
    <col min="7684" max="7684" width="7.875" style="2961" customWidth="1"/>
    <col min="7685" max="7685" width="27.125" style="2961" customWidth="1"/>
    <col min="7686" max="7686" width="7.875" style="2961" customWidth="1"/>
    <col min="7687" max="7688" width="13.875" style="2961" customWidth="1"/>
    <col min="7689" max="7689" width="19.125" style="2961" customWidth="1"/>
    <col min="7690" max="7690" width="9" style="2961" customWidth="1"/>
    <col min="7691" max="7691" width="31" style="2961" customWidth="1"/>
    <col min="7692" max="7693" width="10.625" style="2961" customWidth="1"/>
    <col min="7694" max="7694" width="16" style="2961" customWidth="1"/>
    <col min="7695" max="7695" width="14.375" style="2961" customWidth="1"/>
    <col min="7696" max="7696" width="6.25" style="2961" customWidth="1"/>
    <col min="7697" max="7697" width="46" style="2961" customWidth="1"/>
    <col min="7698" max="7936" width="9" style="2961"/>
    <col min="7937" max="7937" width="27.125" style="2961" customWidth="1"/>
    <col min="7938" max="7938" width="6.25" style="2961" customWidth="1"/>
    <col min="7939" max="7939" width="13.875" style="2961" customWidth="1"/>
    <col min="7940" max="7940" width="7.875" style="2961" customWidth="1"/>
    <col min="7941" max="7941" width="27.125" style="2961" customWidth="1"/>
    <col min="7942" max="7942" width="7.875" style="2961" customWidth="1"/>
    <col min="7943" max="7944" width="13.875" style="2961" customWidth="1"/>
    <col min="7945" max="7945" width="19.125" style="2961" customWidth="1"/>
    <col min="7946" max="7946" width="9" style="2961" customWidth="1"/>
    <col min="7947" max="7947" width="31" style="2961" customWidth="1"/>
    <col min="7948" max="7949" width="10.625" style="2961" customWidth="1"/>
    <col min="7950" max="7950" width="16" style="2961" customWidth="1"/>
    <col min="7951" max="7951" width="14.375" style="2961" customWidth="1"/>
    <col min="7952" max="7952" width="6.25" style="2961" customWidth="1"/>
    <col min="7953" max="7953" width="46" style="2961" customWidth="1"/>
    <col min="7954" max="8192" width="9" style="2961"/>
    <col min="8193" max="8193" width="27.125" style="2961" customWidth="1"/>
    <col min="8194" max="8194" width="6.25" style="2961" customWidth="1"/>
    <col min="8195" max="8195" width="13.875" style="2961" customWidth="1"/>
    <col min="8196" max="8196" width="7.875" style="2961" customWidth="1"/>
    <col min="8197" max="8197" width="27.125" style="2961" customWidth="1"/>
    <col min="8198" max="8198" width="7.875" style="2961" customWidth="1"/>
    <col min="8199" max="8200" width="13.875" style="2961" customWidth="1"/>
    <col min="8201" max="8201" width="19.125" style="2961" customWidth="1"/>
    <col min="8202" max="8202" width="9" style="2961" customWidth="1"/>
    <col min="8203" max="8203" width="31" style="2961" customWidth="1"/>
    <col min="8204" max="8205" width="10.625" style="2961" customWidth="1"/>
    <col min="8206" max="8206" width="16" style="2961" customWidth="1"/>
    <col min="8207" max="8207" width="14.375" style="2961" customWidth="1"/>
    <col min="8208" max="8208" width="6.25" style="2961" customWidth="1"/>
    <col min="8209" max="8209" width="46" style="2961" customWidth="1"/>
    <col min="8210" max="8448" width="9" style="2961"/>
    <col min="8449" max="8449" width="27.125" style="2961" customWidth="1"/>
    <col min="8450" max="8450" width="6.25" style="2961" customWidth="1"/>
    <col min="8451" max="8451" width="13.875" style="2961" customWidth="1"/>
    <col min="8452" max="8452" width="7.875" style="2961" customWidth="1"/>
    <col min="8453" max="8453" width="27.125" style="2961" customWidth="1"/>
    <col min="8454" max="8454" width="7.875" style="2961" customWidth="1"/>
    <col min="8455" max="8456" width="13.875" style="2961" customWidth="1"/>
    <col min="8457" max="8457" width="19.125" style="2961" customWidth="1"/>
    <col min="8458" max="8458" width="9" style="2961" customWidth="1"/>
    <col min="8459" max="8459" width="31" style="2961" customWidth="1"/>
    <col min="8460" max="8461" width="10.625" style="2961" customWidth="1"/>
    <col min="8462" max="8462" width="16" style="2961" customWidth="1"/>
    <col min="8463" max="8463" width="14.375" style="2961" customWidth="1"/>
    <col min="8464" max="8464" width="6.25" style="2961" customWidth="1"/>
    <col min="8465" max="8465" width="46" style="2961" customWidth="1"/>
    <col min="8466" max="8704" width="9" style="2961"/>
    <col min="8705" max="8705" width="27.125" style="2961" customWidth="1"/>
    <col min="8706" max="8706" width="6.25" style="2961" customWidth="1"/>
    <col min="8707" max="8707" width="13.875" style="2961" customWidth="1"/>
    <col min="8708" max="8708" width="7.875" style="2961" customWidth="1"/>
    <col min="8709" max="8709" width="27.125" style="2961" customWidth="1"/>
    <col min="8710" max="8710" width="7.875" style="2961" customWidth="1"/>
    <col min="8711" max="8712" width="13.875" style="2961" customWidth="1"/>
    <col min="8713" max="8713" width="19.125" style="2961" customWidth="1"/>
    <col min="8714" max="8714" width="9" style="2961" customWidth="1"/>
    <col min="8715" max="8715" width="31" style="2961" customWidth="1"/>
    <col min="8716" max="8717" width="10.625" style="2961" customWidth="1"/>
    <col min="8718" max="8718" width="16" style="2961" customWidth="1"/>
    <col min="8719" max="8719" width="14.375" style="2961" customWidth="1"/>
    <col min="8720" max="8720" width="6.25" style="2961" customWidth="1"/>
    <col min="8721" max="8721" width="46" style="2961" customWidth="1"/>
    <col min="8722" max="8960" width="9" style="2961"/>
    <col min="8961" max="8961" width="27.125" style="2961" customWidth="1"/>
    <col min="8962" max="8962" width="6.25" style="2961" customWidth="1"/>
    <col min="8963" max="8963" width="13.875" style="2961" customWidth="1"/>
    <col min="8964" max="8964" width="7.875" style="2961" customWidth="1"/>
    <col min="8965" max="8965" width="27.125" style="2961" customWidth="1"/>
    <col min="8966" max="8966" width="7.875" style="2961" customWidth="1"/>
    <col min="8967" max="8968" width="13.875" style="2961" customWidth="1"/>
    <col min="8969" max="8969" width="19.125" style="2961" customWidth="1"/>
    <col min="8970" max="8970" width="9" style="2961" customWidth="1"/>
    <col min="8971" max="8971" width="31" style="2961" customWidth="1"/>
    <col min="8972" max="8973" width="10.625" style="2961" customWidth="1"/>
    <col min="8974" max="8974" width="16" style="2961" customWidth="1"/>
    <col min="8975" max="8975" width="14.375" style="2961" customWidth="1"/>
    <col min="8976" max="8976" width="6.25" style="2961" customWidth="1"/>
    <col min="8977" max="8977" width="46" style="2961" customWidth="1"/>
    <col min="8978" max="9216" width="9" style="2961"/>
    <col min="9217" max="9217" width="27.125" style="2961" customWidth="1"/>
    <col min="9218" max="9218" width="6.25" style="2961" customWidth="1"/>
    <col min="9219" max="9219" width="13.875" style="2961" customWidth="1"/>
    <col min="9220" max="9220" width="7.875" style="2961" customWidth="1"/>
    <col min="9221" max="9221" width="27.125" style="2961" customWidth="1"/>
    <col min="9222" max="9222" width="7.875" style="2961" customWidth="1"/>
    <col min="9223" max="9224" width="13.875" style="2961" customWidth="1"/>
    <col min="9225" max="9225" width="19.125" style="2961" customWidth="1"/>
    <col min="9226" max="9226" width="9" style="2961" customWidth="1"/>
    <col min="9227" max="9227" width="31" style="2961" customWidth="1"/>
    <col min="9228" max="9229" width="10.625" style="2961" customWidth="1"/>
    <col min="9230" max="9230" width="16" style="2961" customWidth="1"/>
    <col min="9231" max="9231" width="14.375" style="2961" customWidth="1"/>
    <col min="9232" max="9232" width="6.25" style="2961" customWidth="1"/>
    <col min="9233" max="9233" width="46" style="2961" customWidth="1"/>
    <col min="9234" max="9472" width="9" style="2961"/>
    <col min="9473" max="9473" width="27.125" style="2961" customWidth="1"/>
    <col min="9474" max="9474" width="6.25" style="2961" customWidth="1"/>
    <col min="9475" max="9475" width="13.875" style="2961" customWidth="1"/>
    <col min="9476" max="9476" width="7.875" style="2961" customWidth="1"/>
    <col min="9477" max="9477" width="27.125" style="2961" customWidth="1"/>
    <col min="9478" max="9478" width="7.875" style="2961" customWidth="1"/>
    <col min="9479" max="9480" width="13.875" style="2961" customWidth="1"/>
    <col min="9481" max="9481" width="19.125" style="2961" customWidth="1"/>
    <col min="9482" max="9482" width="9" style="2961" customWidth="1"/>
    <col min="9483" max="9483" width="31" style="2961" customWidth="1"/>
    <col min="9484" max="9485" width="10.625" style="2961" customWidth="1"/>
    <col min="9486" max="9486" width="16" style="2961" customWidth="1"/>
    <col min="9487" max="9487" width="14.375" style="2961" customWidth="1"/>
    <col min="9488" max="9488" width="6.25" style="2961" customWidth="1"/>
    <col min="9489" max="9489" width="46" style="2961" customWidth="1"/>
    <col min="9490" max="9728" width="9" style="2961"/>
    <col min="9729" max="9729" width="27.125" style="2961" customWidth="1"/>
    <col min="9730" max="9730" width="6.25" style="2961" customWidth="1"/>
    <col min="9731" max="9731" width="13.875" style="2961" customWidth="1"/>
    <col min="9732" max="9732" width="7.875" style="2961" customWidth="1"/>
    <col min="9733" max="9733" width="27.125" style="2961" customWidth="1"/>
    <col min="9734" max="9734" width="7.875" style="2961" customWidth="1"/>
    <col min="9735" max="9736" width="13.875" style="2961" customWidth="1"/>
    <col min="9737" max="9737" width="19.125" style="2961" customWidth="1"/>
    <col min="9738" max="9738" width="9" style="2961" customWidth="1"/>
    <col min="9739" max="9739" width="31" style="2961" customWidth="1"/>
    <col min="9740" max="9741" width="10.625" style="2961" customWidth="1"/>
    <col min="9742" max="9742" width="16" style="2961" customWidth="1"/>
    <col min="9743" max="9743" width="14.375" style="2961" customWidth="1"/>
    <col min="9744" max="9744" width="6.25" style="2961" customWidth="1"/>
    <col min="9745" max="9745" width="46" style="2961" customWidth="1"/>
    <col min="9746" max="9984" width="9" style="2961"/>
    <col min="9985" max="9985" width="27.125" style="2961" customWidth="1"/>
    <col min="9986" max="9986" width="6.25" style="2961" customWidth="1"/>
    <col min="9987" max="9987" width="13.875" style="2961" customWidth="1"/>
    <col min="9988" max="9988" width="7.875" style="2961" customWidth="1"/>
    <col min="9989" max="9989" width="27.125" style="2961" customWidth="1"/>
    <col min="9990" max="9990" width="7.875" style="2961" customWidth="1"/>
    <col min="9991" max="9992" width="13.875" style="2961" customWidth="1"/>
    <col min="9993" max="9993" width="19.125" style="2961" customWidth="1"/>
    <col min="9994" max="9994" width="9" style="2961" customWidth="1"/>
    <col min="9995" max="9995" width="31" style="2961" customWidth="1"/>
    <col min="9996" max="9997" width="10.625" style="2961" customWidth="1"/>
    <col min="9998" max="9998" width="16" style="2961" customWidth="1"/>
    <col min="9999" max="9999" width="14.375" style="2961" customWidth="1"/>
    <col min="10000" max="10000" width="6.25" style="2961" customWidth="1"/>
    <col min="10001" max="10001" width="46" style="2961" customWidth="1"/>
    <col min="10002" max="10240" width="9" style="2961"/>
    <col min="10241" max="10241" width="27.125" style="2961" customWidth="1"/>
    <col min="10242" max="10242" width="6.25" style="2961" customWidth="1"/>
    <col min="10243" max="10243" width="13.875" style="2961" customWidth="1"/>
    <col min="10244" max="10244" width="7.875" style="2961" customWidth="1"/>
    <col min="10245" max="10245" width="27.125" style="2961" customWidth="1"/>
    <col min="10246" max="10246" width="7.875" style="2961" customWidth="1"/>
    <col min="10247" max="10248" width="13.875" style="2961" customWidth="1"/>
    <col min="10249" max="10249" width="19.125" style="2961" customWidth="1"/>
    <col min="10250" max="10250" width="9" style="2961" customWidth="1"/>
    <col min="10251" max="10251" width="31" style="2961" customWidth="1"/>
    <col min="10252" max="10253" width="10.625" style="2961" customWidth="1"/>
    <col min="10254" max="10254" width="16" style="2961" customWidth="1"/>
    <col min="10255" max="10255" width="14.375" style="2961" customWidth="1"/>
    <col min="10256" max="10256" width="6.25" style="2961" customWidth="1"/>
    <col min="10257" max="10257" width="46" style="2961" customWidth="1"/>
    <col min="10258" max="10496" width="9" style="2961"/>
    <col min="10497" max="10497" width="27.125" style="2961" customWidth="1"/>
    <col min="10498" max="10498" width="6.25" style="2961" customWidth="1"/>
    <col min="10499" max="10499" width="13.875" style="2961" customWidth="1"/>
    <col min="10500" max="10500" width="7.875" style="2961" customWidth="1"/>
    <col min="10501" max="10501" width="27.125" style="2961" customWidth="1"/>
    <col min="10502" max="10502" width="7.875" style="2961" customWidth="1"/>
    <col min="10503" max="10504" width="13.875" style="2961" customWidth="1"/>
    <col min="10505" max="10505" width="19.125" style="2961" customWidth="1"/>
    <col min="10506" max="10506" width="9" style="2961" customWidth="1"/>
    <col min="10507" max="10507" width="31" style="2961" customWidth="1"/>
    <col min="10508" max="10509" width="10.625" style="2961" customWidth="1"/>
    <col min="10510" max="10510" width="16" style="2961" customWidth="1"/>
    <col min="10511" max="10511" width="14.375" style="2961" customWidth="1"/>
    <col min="10512" max="10512" width="6.25" style="2961" customWidth="1"/>
    <col min="10513" max="10513" width="46" style="2961" customWidth="1"/>
    <col min="10514" max="10752" width="9" style="2961"/>
    <col min="10753" max="10753" width="27.125" style="2961" customWidth="1"/>
    <col min="10754" max="10754" width="6.25" style="2961" customWidth="1"/>
    <col min="10755" max="10755" width="13.875" style="2961" customWidth="1"/>
    <col min="10756" max="10756" width="7.875" style="2961" customWidth="1"/>
    <col min="10757" max="10757" width="27.125" style="2961" customWidth="1"/>
    <col min="10758" max="10758" width="7.875" style="2961" customWidth="1"/>
    <col min="10759" max="10760" width="13.875" style="2961" customWidth="1"/>
    <col min="10761" max="10761" width="19.125" style="2961" customWidth="1"/>
    <col min="10762" max="10762" width="9" style="2961" customWidth="1"/>
    <col min="10763" max="10763" width="31" style="2961" customWidth="1"/>
    <col min="10764" max="10765" width="10.625" style="2961" customWidth="1"/>
    <col min="10766" max="10766" width="16" style="2961" customWidth="1"/>
    <col min="10767" max="10767" width="14.375" style="2961" customWidth="1"/>
    <col min="10768" max="10768" width="6.25" style="2961" customWidth="1"/>
    <col min="10769" max="10769" width="46" style="2961" customWidth="1"/>
    <col min="10770" max="11008" width="9" style="2961"/>
    <col min="11009" max="11009" width="27.125" style="2961" customWidth="1"/>
    <col min="11010" max="11010" width="6.25" style="2961" customWidth="1"/>
    <col min="11011" max="11011" width="13.875" style="2961" customWidth="1"/>
    <col min="11012" max="11012" width="7.875" style="2961" customWidth="1"/>
    <col min="11013" max="11013" width="27.125" style="2961" customWidth="1"/>
    <col min="11014" max="11014" width="7.875" style="2961" customWidth="1"/>
    <col min="11015" max="11016" width="13.875" style="2961" customWidth="1"/>
    <col min="11017" max="11017" width="19.125" style="2961" customWidth="1"/>
    <col min="11018" max="11018" width="9" style="2961" customWidth="1"/>
    <col min="11019" max="11019" width="31" style="2961" customWidth="1"/>
    <col min="11020" max="11021" width="10.625" style="2961" customWidth="1"/>
    <col min="11022" max="11022" width="16" style="2961" customWidth="1"/>
    <col min="11023" max="11023" width="14.375" style="2961" customWidth="1"/>
    <col min="11024" max="11024" width="6.25" style="2961" customWidth="1"/>
    <col min="11025" max="11025" width="46" style="2961" customWidth="1"/>
    <col min="11026" max="11264" width="9" style="2961"/>
    <col min="11265" max="11265" width="27.125" style="2961" customWidth="1"/>
    <col min="11266" max="11266" width="6.25" style="2961" customWidth="1"/>
    <col min="11267" max="11267" width="13.875" style="2961" customWidth="1"/>
    <col min="11268" max="11268" width="7.875" style="2961" customWidth="1"/>
    <col min="11269" max="11269" width="27.125" style="2961" customWidth="1"/>
    <col min="11270" max="11270" width="7.875" style="2961" customWidth="1"/>
    <col min="11271" max="11272" width="13.875" style="2961" customWidth="1"/>
    <col min="11273" max="11273" width="19.125" style="2961" customWidth="1"/>
    <col min="11274" max="11274" width="9" style="2961" customWidth="1"/>
    <col min="11275" max="11275" width="31" style="2961" customWidth="1"/>
    <col min="11276" max="11277" width="10.625" style="2961" customWidth="1"/>
    <col min="11278" max="11278" width="16" style="2961" customWidth="1"/>
    <col min="11279" max="11279" width="14.375" style="2961" customWidth="1"/>
    <col min="11280" max="11280" width="6.25" style="2961" customWidth="1"/>
    <col min="11281" max="11281" width="46" style="2961" customWidth="1"/>
    <col min="11282" max="11520" width="9" style="2961"/>
    <col min="11521" max="11521" width="27.125" style="2961" customWidth="1"/>
    <col min="11522" max="11522" width="6.25" style="2961" customWidth="1"/>
    <col min="11523" max="11523" width="13.875" style="2961" customWidth="1"/>
    <col min="11524" max="11524" width="7.875" style="2961" customWidth="1"/>
    <col min="11525" max="11525" width="27.125" style="2961" customWidth="1"/>
    <col min="11526" max="11526" width="7.875" style="2961" customWidth="1"/>
    <col min="11527" max="11528" width="13.875" style="2961" customWidth="1"/>
    <col min="11529" max="11529" width="19.125" style="2961" customWidth="1"/>
    <col min="11530" max="11530" width="9" style="2961" customWidth="1"/>
    <col min="11531" max="11531" width="31" style="2961" customWidth="1"/>
    <col min="11532" max="11533" width="10.625" style="2961" customWidth="1"/>
    <col min="11534" max="11534" width="16" style="2961" customWidth="1"/>
    <col min="11535" max="11535" width="14.375" style="2961" customWidth="1"/>
    <col min="11536" max="11536" width="6.25" style="2961" customWidth="1"/>
    <col min="11537" max="11537" width="46" style="2961" customWidth="1"/>
    <col min="11538" max="11776" width="9" style="2961"/>
    <col min="11777" max="11777" width="27.125" style="2961" customWidth="1"/>
    <col min="11778" max="11778" width="6.25" style="2961" customWidth="1"/>
    <col min="11779" max="11779" width="13.875" style="2961" customWidth="1"/>
    <col min="11780" max="11780" width="7.875" style="2961" customWidth="1"/>
    <col min="11781" max="11781" width="27.125" style="2961" customWidth="1"/>
    <col min="11782" max="11782" width="7.875" style="2961" customWidth="1"/>
    <col min="11783" max="11784" width="13.875" style="2961" customWidth="1"/>
    <col min="11785" max="11785" width="19.125" style="2961" customWidth="1"/>
    <col min="11786" max="11786" width="9" style="2961" customWidth="1"/>
    <col min="11787" max="11787" width="31" style="2961" customWidth="1"/>
    <col min="11788" max="11789" width="10.625" style="2961" customWidth="1"/>
    <col min="11790" max="11790" width="16" style="2961" customWidth="1"/>
    <col min="11791" max="11791" width="14.375" style="2961" customWidth="1"/>
    <col min="11792" max="11792" width="6.25" style="2961" customWidth="1"/>
    <col min="11793" max="11793" width="46" style="2961" customWidth="1"/>
    <col min="11794" max="12032" width="9" style="2961"/>
    <col min="12033" max="12033" width="27.125" style="2961" customWidth="1"/>
    <col min="12034" max="12034" width="6.25" style="2961" customWidth="1"/>
    <col min="12035" max="12035" width="13.875" style="2961" customWidth="1"/>
    <col min="12036" max="12036" width="7.875" style="2961" customWidth="1"/>
    <col min="12037" max="12037" width="27.125" style="2961" customWidth="1"/>
    <col min="12038" max="12038" width="7.875" style="2961" customWidth="1"/>
    <col min="12039" max="12040" width="13.875" style="2961" customWidth="1"/>
    <col min="12041" max="12041" width="19.125" style="2961" customWidth="1"/>
    <col min="12042" max="12042" width="9" style="2961" customWidth="1"/>
    <col min="12043" max="12043" width="31" style="2961" customWidth="1"/>
    <col min="12044" max="12045" width="10.625" style="2961" customWidth="1"/>
    <col min="12046" max="12046" width="16" style="2961" customWidth="1"/>
    <col min="12047" max="12047" width="14.375" style="2961" customWidth="1"/>
    <col min="12048" max="12048" width="6.25" style="2961" customWidth="1"/>
    <col min="12049" max="12049" width="46" style="2961" customWidth="1"/>
    <col min="12050" max="12288" width="9" style="2961"/>
    <col min="12289" max="12289" width="27.125" style="2961" customWidth="1"/>
    <col min="12290" max="12290" width="6.25" style="2961" customWidth="1"/>
    <col min="12291" max="12291" width="13.875" style="2961" customWidth="1"/>
    <col min="12292" max="12292" width="7.875" style="2961" customWidth="1"/>
    <col min="12293" max="12293" width="27.125" style="2961" customWidth="1"/>
    <col min="12294" max="12294" width="7.875" style="2961" customWidth="1"/>
    <col min="12295" max="12296" width="13.875" style="2961" customWidth="1"/>
    <col min="12297" max="12297" width="19.125" style="2961" customWidth="1"/>
    <col min="12298" max="12298" width="9" style="2961" customWidth="1"/>
    <col min="12299" max="12299" width="31" style="2961" customWidth="1"/>
    <col min="12300" max="12301" width="10.625" style="2961" customWidth="1"/>
    <col min="12302" max="12302" width="16" style="2961" customWidth="1"/>
    <col min="12303" max="12303" width="14.375" style="2961" customWidth="1"/>
    <col min="12304" max="12304" width="6.25" style="2961" customWidth="1"/>
    <col min="12305" max="12305" width="46" style="2961" customWidth="1"/>
    <col min="12306" max="12544" width="9" style="2961"/>
    <col min="12545" max="12545" width="27.125" style="2961" customWidth="1"/>
    <col min="12546" max="12546" width="6.25" style="2961" customWidth="1"/>
    <col min="12547" max="12547" width="13.875" style="2961" customWidth="1"/>
    <col min="12548" max="12548" width="7.875" style="2961" customWidth="1"/>
    <col min="12549" max="12549" width="27.125" style="2961" customWidth="1"/>
    <col min="12550" max="12550" width="7.875" style="2961" customWidth="1"/>
    <col min="12551" max="12552" width="13.875" style="2961" customWidth="1"/>
    <col min="12553" max="12553" width="19.125" style="2961" customWidth="1"/>
    <col min="12554" max="12554" width="9" style="2961" customWidth="1"/>
    <col min="12555" max="12555" width="31" style="2961" customWidth="1"/>
    <col min="12556" max="12557" width="10.625" style="2961" customWidth="1"/>
    <col min="12558" max="12558" width="16" style="2961" customWidth="1"/>
    <col min="12559" max="12559" width="14.375" style="2961" customWidth="1"/>
    <col min="12560" max="12560" width="6.25" style="2961" customWidth="1"/>
    <col min="12561" max="12561" width="46" style="2961" customWidth="1"/>
    <col min="12562" max="12800" width="9" style="2961"/>
    <col min="12801" max="12801" width="27.125" style="2961" customWidth="1"/>
    <col min="12802" max="12802" width="6.25" style="2961" customWidth="1"/>
    <col min="12803" max="12803" width="13.875" style="2961" customWidth="1"/>
    <col min="12804" max="12804" width="7.875" style="2961" customWidth="1"/>
    <col min="12805" max="12805" width="27.125" style="2961" customWidth="1"/>
    <col min="12806" max="12806" width="7.875" style="2961" customWidth="1"/>
    <col min="12807" max="12808" width="13.875" style="2961" customWidth="1"/>
    <col min="12809" max="12809" width="19.125" style="2961" customWidth="1"/>
    <col min="12810" max="12810" width="9" style="2961" customWidth="1"/>
    <col min="12811" max="12811" width="31" style="2961" customWidth="1"/>
    <col min="12812" max="12813" width="10.625" style="2961" customWidth="1"/>
    <col min="12814" max="12814" width="16" style="2961" customWidth="1"/>
    <col min="12815" max="12815" width="14.375" style="2961" customWidth="1"/>
    <col min="12816" max="12816" width="6.25" style="2961" customWidth="1"/>
    <col min="12817" max="12817" width="46" style="2961" customWidth="1"/>
    <col min="12818" max="13056" width="9" style="2961"/>
    <col min="13057" max="13057" width="27.125" style="2961" customWidth="1"/>
    <col min="13058" max="13058" width="6.25" style="2961" customWidth="1"/>
    <col min="13059" max="13059" width="13.875" style="2961" customWidth="1"/>
    <col min="13060" max="13060" width="7.875" style="2961" customWidth="1"/>
    <col min="13061" max="13061" width="27.125" style="2961" customWidth="1"/>
    <col min="13062" max="13062" width="7.875" style="2961" customWidth="1"/>
    <col min="13063" max="13064" width="13.875" style="2961" customWidth="1"/>
    <col min="13065" max="13065" width="19.125" style="2961" customWidth="1"/>
    <col min="13066" max="13066" width="9" style="2961" customWidth="1"/>
    <col min="13067" max="13067" width="31" style="2961" customWidth="1"/>
    <col min="13068" max="13069" width="10.625" style="2961" customWidth="1"/>
    <col min="13070" max="13070" width="16" style="2961" customWidth="1"/>
    <col min="13071" max="13071" width="14.375" style="2961" customWidth="1"/>
    <col min="13072" max="13072" width="6.25" style="2961" customWidth="1"/>
    <col min="13073" max="13073" width="46" style="2961" customWidth="1"/>
    <col min="13074" max="13312" width="9" style="2961"/>
    <col min="13313" max="13313" width="27.125" style="2961" customWidth="1"/>
    <col min="13314" max="13314" width="6.25" style="2961" customWidth="1"/>
    <col min="13315" max="13315" width="13.875" style="2961" customWidth="1"/>
    <col min="13316" max="13316" width="7.875" style="2961" customWidth="1"/>
    <col min="13317" max="13317" width="27.125" style="2961" customWidth="1"/>
    <col min="13318" max="13318" width="7.875" style="2961" customWidth="1"/>
    <col min="13319" max="13320" width="13.875" style="2961" customWidth="1"/>
    <col min="13321" max="13321" width="19.125" style="2961" customWidth="1"/>
    <col min="13322" max="13322" width="9" style="2961" customWidth="1"/>
    <col min="13323" max="13323" width="31" style="2961" customWidth="1"/>
    <col min="13324" max="13325" width="10.625" style="2961" customWidth="1"/>
    <col min="13326" max="13326" width="16" style="2961" customWidth="1"/>
    <col min="13327" max="13327" width="14.375" style="2961" customWidth="1"/>
    <col min="13328" max="13328" width="6.25" style="2961" customWidth="1"/>
    <col min="13329" max="13329" width="46" style="2961" customWidth="1"/>
    <col min="13330" max="13568" width="9" style="2961"/>
    <col min="13569" max="13569" width="27.125" style="2961" customWidth="1"/>
    <col min="13570" max="13570" width="6.25" style="2961" customWidth="1"/>
    <col min="13571" max="13571" width="13.875" style="2961" customWidth="1"/>
    <col min="13572" max="13572" width="7.875" style="2961" customWidth="1"/>
    <col min="13573" max="13573" width="27.125" style="2961" customWidth="1"/>
    <col min="13574" max="13574" width="7.875" style="2961" customWidth="1"/>
    <col min="13575" max="13576" width="13.875" style="2961" customWidth="1"/>
    <col min="13577" max="13577" width="19.125" style="2961" customWidth="1"/>
    <col min="13578" max="13578" width="9" style="2961" customWidth="1"/>
    <col min="13579" max="13579" width="31" style="2961" customWidth="1"/>
    <col min="13580" max="13581" width="10.625" style="2961" customWidth="1"/>
    <col min="13582" max="13582" width="16" style="2961" customWidth="1"/>
    <col min="13583" max="13583" width="14.375" style="2961" customWidth="1"/>
    <col min="13584" max="13584" width="6.25" style="2961" customWidth="1"/>
    <col min="13585" max="13585" width="46" style="2961" customWidth="1"/>
    <col min="13586" max="13824" width="9" style="2961"/>
    <col min="13825" max="13825" width="27.125" style="2961" customWidth="1"/>
    <col min="13826" max="13826" width="6.25" style="2961" customWidth="1"/>
    <col min="13827" max="13827" width="13.875" style="2961" customWidth="1"/>
    <col min="13828" max="13828" width="7.875" style="2961" customWidth="1"/>
    <col min="13829" max="13829" width="27.125" style="2961" customWidth="1"/>
    <col min="13830" max="13830" width="7.875" style="2961" customWidth="1"/>
    <col min="13831" max="13832" width="13.875" style="2961" customWidth="1"/>
    <col min="13833" max="13833" width="19.125" style="2961" customWidth="1"/>
    <col min="13834" max="13834" width="9" style="2961" customWidth="1"/>
    <col min="13835" max="13835" width="31" style="2961" customWidth="1"/>
    <col min="13836" max="13837" width="10.625" style="2961" customWidth="1"/>
    <col min="13838" max="13838" width="16" style="2961" customWidth="1"/>
    <col min="13839" max="13839" width="14.375" style="2961" customWidth="1"/>
    <col min="13840" max="13840" width="6.25" style="2961" customWidth="1"/>
    <col min="13841" max="13841" width="46" style="2961" customWidth="1"/>
    <col min="13842" max="14080" width="9" style="2961"/>
    <col min="14081" max="14081" width="27.125" style="2961" customWidth="1"/>
    <col min="14082" max="14082" width="6.25" style="2961" customWidth="1"/>
    <col min="14083" max="14083" width="13.875" style="2961" customWidth="1"/>
    <col min="14084" max="14084" width="7.875" style="2961" customWidth="1"/>
    <col min="14085" max="14085" width="27.125" style="2961" customWidth="1"/>
    <col min="14086" max="14086" width="7.875" style="2961" customWidth="1"/>
    <col min="14087" max="14088" width="13.875" style="2961" customWidth="1"/>
    <col min="14089" max="14089" width="19.125" style="2961" customWidth="1"/>
    <col min="14090" max="14090" width="9" style="2961" customWidth="1"/>
    <col min="14091" max="14091" width="31" style="2961" customWidth="1"/>
    <col min="14092" max="14093" width="10.625" style="2961" customWidth="1"/>
    <col min="14094" max="14094" width="16" style="2961" customWidth="1"/>
    <col min="14095" max="14095" width="14.375" style="2961" customWidth="1"/>
    <col min="14096" max="14096" width="6.25" style="2961" customWidth="1"/>
    <col min="14097" max="14097" width="46" style="2961" customWidth="1"/>
    <col min="14098" max="14336" width="9" style="2961"/>
    <col min="14337" max="14337" width="27.125" style="2961" customWidth="1"/>
    <col min="14338" max="14338" width="6.25" style="2961" customWidth="1"/>
    <col min="14339" max="14339" width="13.875" style="2961" customWidth="1"/>
    <col min="14340" max="14340" width="7.875" style="2961" customWidth="1"/>
    <col min="14341" max="14341" width="27.125" style="2961" customWidth="1"/>
    <col min="14342" max="14342" width="7.875" style="2961" customWidth="1"/>
    <col min="14343" max="14344" width="13.875" style="2961" customWidth="1"/>
    <col min="14345" max="14345" width="19.125" style="2961" customWidth="1"/>
    <col min="14346" max="14346" width="9" style="2961" customWidth="1"/>
    <col min="14347" max="14347" width="31" style="2961" customWidth="1"/>
    <col min="14348" max="14349" width="10.625" style="2961" customWidth="1"/>
    <col min="14350" max="14350" width="16" style="2961" customWidth="1"/>
    <col min="14351" max="14351" width="14.375" style="2961" customWidth="1"/>
    <col min="14352" max="14352" width="6.25" style="2961" customWidth="1"/>
    <col min="14353" max="14353" width="46" style="2961" customWidth="1"/>
    <col min="14354" max="14592" width="9" style="2961"/>
    <col min="14593" max="14593" width="27.125" style="2961" customWidth="1"/>
    <col min="14594" max="14594" width="6.25" style="2961" customWidth="1"/>
    <col min="14595" max="14595" width="13.875" style="2961" customWidth="1"/>
    <col min="14596" max="14596" width="7.875" style="2961" customWidth="1"/>
    <col min="14597" max="14597" width="27.125" style="2961" customWidth="1"/>
    <col min="14598" max="14598" width="7.875" style="2961" customWidth="1"/>
    <col min="14599" max="14600" width="13.875" style="2961" customWidth="1"/>
    <col min="14601" max="14601" width="19.125" style="2961" customWidth="1"/>
    <col min="14602" max="14602" width="9" style="2961" customWidth="1"/>
    <col min="14603" max="14603" width="31" style="2961" customWidth="1"/>
    <col min="14604" max="14605" width="10.625" style="2961" customWidth="1"/>
    <col min="14606" max="14606" width="16" style="2961" customWidth="1"/>
    <col min="14607" max="14607" width="14.375" style="2961" customWidth="1"/>
    <col min="14608" max="14608" width="6.25" style="2961" customWidth="1"/>
    <col min="14609" max="14609" width="46" style="2961" customWidth="1"/>
    <col min="14610" max="14848" width="9" style="2961"/>
    <col min="14849" max="14849" width="27.125" style="2961" customWidth="1"/>
    <col min="14850" max="14850" width="6.25" style="2961" customWidth="1"/>
    <col min="14851" max="14851" width="13.875" style="2961" customWidth="1"/>
    <col min="14852" max="14852" width="7.875" style="2961" customWidth="1"/>
    <col min="14853" max="14853" width="27.125" style="2961" customWidth="1"/>
    <col min="14854" max="14854" width="7.875" style="2961" customWidth="1"/>
    <col min="14855" max="14856" width="13.875" style="2961" customWidth="1"/>
    <col min="14857" max="14857" width="19.125" style="2961" customWidth="1"/>
    <col min="14858" max="14858" width="9" style="2961" customWidth="1"/>
    <col min="14859" max="14859" width="31" style="2961" customWidth="1"/>
    <col min="14860" max="14861" width="10.625" style="2961" customWidth="1"/>
    <col min="14862" max="14862" width="16" style="2961" customWidth="1"/>
    <col min="14863" max="14863" width="14.375" style="2961" customWidth="1"/>
    <col min="14864" max="14864" width="6.25" style="2961" customWidth="1"/>
    <col min="14865" max="14865" width="46" style="2961" customWidth="1"/>
    <col min="14866" max="15104" width="9" style="2961"/>
    <col min="15105" max="15105" width="27.125" style="2961" customWidth="1"/>
    <col min="15106" max="15106" width="6.25" style="2961" customWidth="1"/>
    <col min="15107" max="15107" width="13.875" style="2961" customWidth="1"/>
    <col min="15108" max="15108" width="7.875" style="2961" customWidth="1"/>
    <col min="15109" max="15109" width="27.125" style="2961" customWidth="1"/>
    <col min="15110" max="15110" width="7.875" style="2961" customWidth="1"/>
    <col min="15111" max="15112" width="13.875" style="2961" customWidth="1"/>
    <col min="15113" max="15113" width="19.125" style="2961" customWidth="1"/>
    <col min="15114" max="15114" width="9" style="2961" customWidth="1"/>
    <col min="15115" max="15115" width="31" style="2961" customWidth="1"/>
    <col min="15116" max="15117" width="10.625" style="2961" customWidth="1"/>
    <col min="15118" max="15118" width="16" style="2961" customWidth="1"/>
    <col min="15119" max="15119" width="14.375" style="2961" customWidth="1"/>
    <col min="15120" max="15120" width="6.25" style="2961" customWidth="1"/>
    <col min="15121" max="15121" width="46" style="2961" customWidth="1"/>
    <col min="15122" max="15360" width="9" style="2961"/>
    <col min="15361" max="15361" width="27.125" style="2961" customWidth="1"/>
    <col min="15362" max="15362" width="6.25" style="2961" customWidth="1"/>
    <col min="15363" max="15363" width="13.875" style="2961" customWidth="1"/>
    <col min="15364" max="15364" width="7.875" style="2961" customWidth="1"/>
    <col min="15365" max="15365" width="27.125" style="2961" customWidth="1"/>
    <col min="15366" max="15366" width="7.875" style="2961" customWidth="1"/>
    <col min="15367" max="15368" width="13.875" style="2961" customWidth="1"/>
    <col min="15369" max="15369" width="19.125" style="2961" customWidth="1"/>
    <col min="15370" max="15370" width="9" style="2961" customWidth="1"/>
    <col min="15371" max="15371" width="31" style="2961" customWidth="1"/>
    <col min="15372" max="15373" width="10.625" style="2961" customWidth="1"/>
    <col min="15374" max="15374" width="16" style="2961" customWidth="1"/>
    <col min="15375" max="15375" width="14.375" style="2961" customWidth="1"/>
    <col min="15376" max="15376" width="6.25" style="2961" customWidth="1"/>
    <col min="15377" max="15377" width="46" style="2961" customWidth="1"/>
    <col min="15378" max="15616" width="9" style="2961"/>
    <col min="15617" max="15617" width="27.125" style="2961" customWidth="1"/>
    <col min="15618" max="15618" width="6.25" style="2961" customWidth="1"/>
    <col min="15619" max="15619" width="13.875" style="2961" customWidth="1"/>
    <col min="15620" max="15620" width="7.875" style="2961" customWidth="1"/>
    <col min="15621" max="15621" width="27.125" style="2961" customWidth="1"/>
    <col min="15622" max="15622" width="7.875" style="2961" customWidth="1"/>
    <col min="15623" max="15624" width="13.875" style="2961" customWidth="1"/>
    <col min="15625" max="15625" width="19.125" style="2961" customWidth="1"/>
    <col min="15626" max="15626" width="9" style="2961" customWidth="1"/>
    <col min="15627" max="15627" width="31" style="2961" customWidth="1"/>
    <col min="15628" max="15629" width="10.625" style="2961" customWidth="1"/>
    <col min="15630" max="15630" width="16" style="2961" customWidth="1"/>
    <col min="15631" max="15631" width="14.375" style="2961" customWidth="1"/>
    <col min="15632" max="15632" width="6.25" style="2961" customWidth="1"/>
    <col min="15633" max="15633" width="46" style="2961" customWidth="1"/>
    <col min="15634" max="15872" width="9" style="2961"/>
    <col min="15873" max="15873" width="27.125" style="2961" customWidth="1"/>
    <col min="15874" max="15874" width="6.25" style="2961" customWidth="1"/>
    <col min="15875" max="15875" width="13.875" style="2961" customWidth="1"/>
    <col min="15876" max="15876" width="7.875" style="2961" customWidth="1"/>
    <col min="15877" max="15877" width="27.125" style="2961" customWidth="1"/>
    <col min="15878" max="15878" width="7.875" style="2961" customWidth="1"/>
    <col min="15879" max="15880" width="13.875" style="2961" customWidth="1"/>
    <col min="15881" max="15881" width="19.125" style="2961" customWidth="1"/>
    <col min="15882" max="15882" width="9" style="2961" customWidth="1"/>
    <col min="15883" max="15883" width="31" style="2961" customWidth="1"/>
    <col min="15884" max="15885" width="10.625" style="2961" customWidth="1"/>
    <col min="15886" max="15886" width="16" style="2961" customWidth="1"/>
    <col min="15887" max="15887" width="14.375" style="2961" customWidth="1"/>
    <col min="15888" max="15888" width="6.25" style="2961" customWidth="1"/>
    <col min="15889" max="15889" width="46" style="2961" customWidth="1"/>
    <col min="15890" max="16128" width="9" style="2961"/>
    <col min="16129" max="16129" width="27.125" style="2961" customWidth="1"/>
    <col min="16130" max="16130" width="6.25" style="2961" customWidth="1"/>
    <col min="16131" max="16131" width="13.875" style="2961" customWidth="1"/>
    <col min="16132" max="16132" width="7.875" style="2961" customWidth="1"/>
    <col min="16133" max="16133" width="27.125" style="2961" customWidth="1"/>
    <col min="16134" max="16134" width="7.875" style="2961" customWidth="1"/>
    <col min="16135" max="16136" width="13.875" style="2961" customWidth="1"/>
    <col min="16137" max="16137" width="19.125" style="2961" customWidth="1"/>
    <col min="16138" max="16138" width="9" style="2961" customWidth="1"/>
    <col min="16139" max="16139" width="31" style="2961" customWidth="1"/>
    <col min="16140" max="16141" width="10.625" style="2961" customWidth="1"/>
    <col min="16142" max="16142" width="16" style="2961" customWidth="1"/>
    <col min="16143" max="16143" width="14.375" style="2961" customWidth="1"/>
    <col min="16144" max="16144" width="6.25" style="2961" customWidth="1"/>
    <col min="16145" max="16145" width="46" style="2961" customWidth="1"/>
    <col min="16146" max="16384" width="9" style="2961"/>
  </cols>
  <sheetData>
    <row r="1" spans="1:17">
      <c r="A1" s="2961" t="s">
        <v>2983</v>
      </c>
      <c r="B1" s="2961" t="s">
        <v>2984</v>
      </c>
      <c r="C1" s="2961" t="s">
        <v>2985</v>
      </c>
      <c r="D1" s="2961" t="s">
        <v>2986</v>
      </c>
      <c r="E1" s="2961" t="s">
        <v>2987</v>
      </c>
      <c r="F1" s="2961" t="s">
        <v>2988</v>
      </c>
      <c r="G1" s="2961" t="s">
        <v>2989</v>
      </c>
      <c r="H1" s="2961" t="s">
        <v>2990</v>
      </c>
      <c r="I1" s="2961" t="s">
        <v>2030</v>
      </c>
      <c r="J1" s="2961" t="s">
        <v>2991</v>
      </c>
      <c r="K1" s="2961" t="s">
        <v>2992</v>
      </c>
      <c r="L1" s="2961" t="s">
        <v>2993</v>
      </c>
      <c r="M1" s="2961" t="s">
        <v>2994</v>
      </c>
      <c r="N1" s="2961" t="s">
        <v>2995</v>
      </c>
      <c r="O1" s="2961" t="s">
        <v>2996</v>
      </c>
      <c r="P1" s="2961" t="s">
        <v>2997</v>
      </c>
      <c r="Q1" s="2961" t="s">
        <v>2998</v>
      </c>
    </row>
    <row r="2" spans="1:17">
      <c r="A2" s="2961" t="s">
        <v>3177</v>
      </c>
      <c r="B2" s="2961" t="s">
        <v>2999</v>
      </c>
      <c r="C2" s="2961" t="s">
        <v>3000</v>
      </c>
      <c r="D2" s="2961" t="s">
        <v>3078</v>
      </c>
      <c r="E2" s="2961" t="s">
        <v>3177</v>
      </c>
      <c r="F2" s="2961" t="s">
        <v>3002</v>
      </c>
      <c r="G2" s="2961">
        <v>700</v>
      </c>
      <c r="H2" s="2961" t="s">
        <v>2819</v>
      </c>
      <c r="I2" s="2961" t="s">
        <v>2819</v>
      </c>
      <c r="J2" s="2961" t="s">
        <v>3175</v>
      </c>
      <c r="K2" s="2961" t="s">
        <v>3178</v>
      </c>
      <c r="L2" s="2961" t="s">
        <v>2819</v>
      </c>
      <c r="M2" s="2961">
        <v>179.27</v>
      </c>
      <c r="N2" s="2961">
        <v>170.73</v>
      </c>
      <c r="O2" s="2961" t="s">
        <v>2819</v>
      </c>
      <c r="P2" s="2961" t="s">
        <v>2819</v>
      </c>
      <c r="Q2" s="2961" t="s">
        <v>2819</v>
      </c>
    </row>
    <row r="3" spans="1:17">
      <c r="A3" s="2961" t="s">
        <v>3184</v>
      </c>
      <c r="B3" s="2961" t="s">
        <v>2999</v>
      </c>
      <c r="C3" s="2961" t="s">
        <v>3011</v>
      </c>
      <c r="D3" s="2961" t="s">
        <v>3078</v>
      </c>
      <c r="E3" s="2961" t="s">
        <v>3184</v>
      </c>
      <c r="F3" s="2961" t="s">
        <v>3002</v>
      </c>
      <c r="G3" s="2961">
        <v>10700</v>
      </c>
      <c r="H3" s="2961" t="s">
        <v>2819</v>
      </c>
      <c r="I3" s="2961" t="s">
        <v>2819</v>
      </c>
      <c r="J3" s="2961" t="s">
        <v>3185</v>
      </c>
      <c r="K3" s="2961" t="s">
        <v>3186</v>
      </c>
      <c r="L3" s="2961">
        <v>1335.35</v>
      </c>
      <c r="M3" s="2961">
        <v>3025.36</v>
      </c>
      <c r="N3" s="2961">
        <v>188.5</v>
      </c>
      <c r="O3" s="2961" t="s">
        <v>2819</v>
      </c>
      <c r="P3" s="2961">
        <v>126.56</v>
      </c>
      <c r="Q3" s="2961" t="s">
        <v>3187</v>
      </c>
    </row>
    <row r="4" spans="1:17">
      <c r="A4" s="2961" t="s">
        <v>3196</v>
      </c>
      <c r="B4" s="2961" t="s">
        <v>2999</v>
      </c>
      <c r="C4" s="2961" t="s">
        <v>3011</v>
      </c>
      <c r="D4" s="2961" t="s">
        <v>3078</v>
      </c>
      <c r="E4" s="2961" t="s">
        <v>3196</v>
      </c>
      <c r="F4" s="2961" t="s">
        <v>3002</v>
      </c>
      <c r="G4" s="2961">
        <v>19372</v>
      </c>
      <c r="H4" s="2961" t="s">
        <v>2819</v>
      </c>
      <c r="I4" s="2961" t="s">
        <v>2819</v>
      </c>
      <c r="J4" s="2961" t="s">
        <v>3197</v>
      </c>
      <c r="K4" s="2961" t="s">
        <v>3198</v>
      </c>
      <c r="L4" s="2961">
        <v>3529.57</v>
      </c>
      <c r="M4" s="2961">
        <v>3529.57</v>
      </c>
      <c r="N4" s="2961">
        <v>121.47</v>
      </c>
      <c r="O4" s="2961" t="s">
        <v>2819</v>
      </c>
      <c r="P4" s="2961">
        <v>0</v>
      </c>
      <c r="Q4" s="2961" t="s">
        <v>3199</v>
      </c>
    </row>
    <row r="5" spans="1:17">
      <c r="A5" s="2961" t="s">
        <v>3171</v>
      </c>
      <c r="B5" s="2961" t="s">
        <v>2999</v>
      </c>
      <c r="C5" s="2961" t="s">
        <v>3011</v>
      </c>
      <c r="D5" s="2961" t="s">
        <v>3078</v>
      </c>
      <c r="E5" s="2961" t="s">
        <v>3171</v>
      </c>
      <c r="F5" s="2961" t="s">
        <v>3002</v>
      </c>
      <c r="G5" s="2961">
        <v>25000</v>
      </c>
      <c r="H5" s="2961" t="s">
        <v>2819</v>
      </c>
      <c r="I5" s="2961" t="s">
        <v>2819</v>
      </c>
      <c r="J5" s="2961" t="s">
        <v>3239</v>
      </c>
      <c r="K5" s="2961" t="s">
        <v>3229</v>
      </c>
      <c r="L5" s="2961">
        <v>3585</v>
      </c>
      <c r="M5" s="2961">
        <v>3585</v>
      </c>
      <c r="N5" s="2961">
        <v>95.6</v>
      </c>
      <c r="O5" s="2961" t="s">
        <v>2819</v>
      </c>
      <c r="P5" s="2961">
        <v>0</v>
      </c>
      <c r="Q5" s="2961" t="s">
        <v>3240</v>
      </c>
    </row>
    <row r="6" spans="1:17">
      <c r="A6" s="2961" t="s">
        <v>3077</v>
      </c>
      <c r="B6" s="2961" t="s">
        <v>2999</v>
      </c>
      <c r="C6" s="2961" t="s">
        <v>3011</v>
      </c>
      <c r="D6" s="2961" t="s">
        <v>3078</v>
      </c>
      <c r="E6" s="2961" t="s">
        <v>3077</v>
      </c>
      <c r="F6" s="2961" t="s">
        <v>3002</v>
      </c>
      <c r="G6" s="2961">
        <v>26206</v>
      </c>
      <c r="H6" s="2961">
        <v>86479.8</v>
      </c>
      <c r="I6" s="2961" t="s">
        <v>3079</v>
      </c>
      <c r="J6" s="2961" t="s">
        <v>3080</v>
      </c>
      <c r="K6" s="2961" t="s">
        <v>3076</v>
      </c>
      <c r="L6" s="2961">
        <v>5780</v>
      </c>
      <c r="M6" s="2961">
        <v>25080</v>
      </c>
      <c r="N6" s="2961">
        <v>638.02</v>
      </c>
      <c r="O6" s="2961">
        <v>2900.09</v>
      </c>
      <c r="P6" s="2961">
        <v>333.91</v>
      </c>
      <c r="Q6" s="2961" t="s">
        <v>3069</v>
      </c>
    </row>
    <row r="7" spans="1:17">
      <c r="A7" s="2961" t="s">
        <v>3164</v>
      </c>
      <c r="B7" s="2961" t="s">
        <v>2999</v>
      </c>
      <c r="C7" s="2961" t="s">
        <v>3000</v>
      </c>
      <c r="D7" s="2961" t="s">
        <v>3078</v>
      </c>
      <c r="E7" s="2961" t="s">
        <v>3164</v>
      </c>
      <c r="F7" s="2961" t="s">
        <v>3002</v>
      </c>
      <c r="G7" s="2961">
        <v>3954.6</v>
      </c>
      <c r="H7" s="2961">
        <v>15523.2</v>
      </c>
      <c r="I7" s="2961" t="s">
        <v>3165</v>
      </c>
      <c r="J7" s="2961" t="s">
        <v>3169</v>
      </c>
      <c r="K7" s="2961" t="s">
        <v>3170</v>
      </c>
      <c r="L7" s="2961">
        <v>3310.9</v>
      </c>
      <c r="M7" s="2961">
        <v>3310.9</v>
      </c>
      <c r="N7" s="2961">
        <v>558.15</v>
      </c>
      <c r="O7" s="2961">
        <v>2132.88</v>
      </c>
      <c r="P7" s="2961">
        <v>0</v>
      </c>
      <c r="Q7" s="2961" t="s">
        <v>3003</v>
      </c>
    </row>
    <row r="8" spans="1:17">
      <c r="A8" s="2961" t="s">
        <v>3136</v>
      </c>
      <c r="B8" s="2961" t="s">
        <v>2999</v>
      </c>
      <c r="C8" s="2961" t="s">
        <v>3000</v>
      </c>
      <c r="D8" s="2961" t="s">
        <v>3078</v>
      </c>
      <c r="E8" s="2961" t="s">
        <v>3136</v>
      </c>
      <c r="F8" s="2961" t="s">
        <v>3002</v>
      </c>
      <c r="G8" s="2961">
        <v>48679</v>
      </c>
      <c r="H8" s="2961">
        <v>146037</v>
      </c>
      <c r="I8" s="2961" t="s">
        <v>3137</v>
      </c>
      <c r="J8" s="2961" t="s">
        <v>3138</v>
      </c>
      <c r="K8" s="2961" t="s">
        <v>3139</v>
      </c>
      <c r="L8" s="2961">
        <v>28201.09</v>
      </c>
      <c r="M8" s="2961">
        <v>28401.09</v>
      </c>
      <c r="N8" s="2961">
        <v>388.96</v>
      </c>
      <c r="O8" s="2961">
        <v>1944.78</v>
      </c>
      <c r="P8" s="2961">
        <v>0.71</v>
      </c>
      <c r="Q8" s="2961" t="s">
        <v>2819</v>
      </c>
    </row>
    <row r="9" spans="1:17">
      <c r="A9" s="2961" t="s">
        <v>3190</v>
      </c>
      <c r="B9" s="2961" t="s">
        <v>2999</v>
      </c>
      <c r="C9" s="2961" t="s">
        <v>3011</v>
      </c>
      <c r="D9" s="2961" t="s">
        <v>3078</v>
      </c>
      <c r="E9" s="2961" t="s">
        <v>3190</v>
      </c>
      <c r="F9" s="2961" t="s">
        <v>3002</v>
      </c>
      <c r="G9" s="2961">
        <v>30000</v>
      </c>
      <c r="H9" s="2961">
        <v>96000</v>
      </c>
      <c r="I9" s="2961" t="s">
        <v>3165</v>
      </c>
      <c r="J9" s="2961" t="s">
        <v>3086</v>
      </c>
      <c r="K9" s="2961" t="s">
        <v>3191</v>
      </c>
      <c r="L9" s="2961">
        <v>10830</v>
      </c>
      <c r="M9" s="2961">
        <v>15030</v>
      </c>
      <c r="N9" s="2961">
        <v>334</v>
      </c>
      <c r="O9" s="2961">
        <v>1565.61</v>
      </c>
      <c r="P9" s="2961">
        <v>38.78</v>
      </c>
      <c r="Q9" s="2961" t="s">
        <v>3192</v>
      </c>
    </row>
    <row r="10" spans="1:17">
      <c r="A10" s="2961" t="s">
        <v>3077</v>
      </c>
      <c r="B10" s="2961" t="s">
        <v>2999</v>
      </c>
      <c r="C10" s="2961" t="s">
        <v>3000</v>
      </c>
      <c r="D10" s="2961" t="s">
        <v>3078</v>
      </c>
      <c r="E10" s="2961" t="s">
        <v>3077</v>
      </c>
      <c r="F10" s="2961" t="s">
        <v>3002</v>
      </c>
      <c r="G10" s="2961">
        <v>40000</v>
      </c>
      <c r="H10" s="2961">
        <v>140000</v>
      </c>
      <c r="I10" s="2961" t="s">
        <v>3161</v>
      </c>
      <c r="J10" s="2961" t="s">
        <v>3162</v>
      </c>
      <c r="K10" s="2961" t="s">
        <v>3163</v>
      </c>
      <c r="L10" s="2961">
        <v>20804</v>
      </c>
      <c r="M10" s="2961">
        <v>20804</v>
      </c>
      <c r="N10" s="2961">
        <v>346.73</v>
      </c>
      <c r="O10" s="2961">
        <v>1486</v>
      </c>
      <c r="P10" s="2961">
        <v>0</v>
      </c>
      <c r="Q10" s="2961" t="s">
        <v>3003</v>
      </c>
    </row>
    <row r="11" spans="1:17">
      <c r="A11" s="2961" t="s">
        <v>3218</v>
      </c>
      <c r="B11" s="2961" t="s">
        <v>2999</v>
      </c>
      <c r="C11" s="2961" t="s">
        <v>3011</v>
      </c>
      <c r="D11" s="2961" t="s">
        <v>3078</v>
      </c>
      <c r="E11" s="2961" t="s">
        <v>3218</v>
      </c>
      <c r="F11" s="2961" t="s">
        <v>3002</v>
      </c>
      <c r="G11" s="2961">
        <v>28511</v>
      </c>
      <c r="H11" s="2961">
        <v>96937.4</v>
      </c>
      <c r="I11" s="2961" t="s">
        <v>3219</v>
      </c>
      <c r="J11" s="2961" t="s">
        <v>3220</v>
      </c>
      <c r="K11" s="2961" t="s">
        <v>3221</v>
      </c>
      <c r="L11" s="2961">
        <v>4330.8100000000004</v>
      </c>
      <c r="M11" s="2961">
        <v>12830.81</v>
      </c>
      <c r="N11" s="2961">
        <v>300.02</v>
      </c>
      <c r="O11" s="2961">
        <v>1323.61</v>
      </c>
      <c r="P11" s="2961">
        <v>196.27</v>
      </c>
      <c r="Q11" s="2961" t="s">
        <v>3222</v>
      </c>
    </row>
    <row r="12" spans="1:17">
      <c r="A12" s="2961" t="s">
        <v>3171</v>
      </c>
      <c r="B12" s="2961" t="s">
        <v>2999</v>
      </c>
      <c r="C12" s="2961" t="s">
        <v>3000</v>
      </c>
      <c r="D12" s="2961" t="s">
        <v>3078</v>
      </c>
      <c r="E12" s="2961" t="s">
        <v>3171</v>
      </c>
      <c r="F12" s="2961" t="s">
        <v>3002</v>
      </c>
      <c r="G12" s="2961">
        <v>30000</v>
      </c>
      <c r="H12" s="2961">
        <v>90000</v>
      </c>
      <c r="I12" s="2961" t="s">
        <v>3172</v>
      </c>
      <c r="J12" s="2961" t="s">
        <v>2819</v>
      </c>
      <c r="K12" s="2961" t="s">
        <v>3173</v>
      </c>
      <c r="L12" s="2961">
        <v>11745</v>
      </c>
      <c r="M12" s="2961">
        <v>11745</v>
      </c>
      <c r="N12" s="2961">
        <v>261</v>
      </c>
      <c r="O12" s="2961">
        <v>1305</v>
      </c>
      <c r="P12" s="2961">
        <v>0</v>
      </c>
      <c r="Q12" s="2961" t="s">
        <v>3119</v>
      </c>
    </row>
    <row r="13" spans="1:17">
      <c r="A13" s="2961" t="s">
        <v>3193</v>
      </c>
      <c r="B13" s="2961" t="s">
        <v>2999</v>
      </c>
      <c r="C13" s="2961" t="s">
        <v>3011</v>
      </c>
      <c r="D13" s="2961" t="s">
        <v>3078</v>
      </c>
      <c r="E13" s="2961" t="s">
        <v>3193</v>
      </c>
      <c r="F13" s="2961" t="s">
        <v>3002</v>
      </c>
      <c r="G13" s="2961">
        <v>9100</v>
      </c>
      <c r="H13" s="2961">
        <v>25480</v>
      </c>
      <c r="I13" s="2961" t="s">
        <v>3057</v>
      </c>
      <c r="J13" s="2961" t="s">
        <v>3086</v>
      </c>
      <c r="K13" s="2961" t="s">
        <v>3194</v>
      </c>
      <c r="L13" s="2961">
        <v>3300.57</v>
      </c>
      <c r="M13" s="2961">
        <v>3300.57</v>
      </c>
      <c r="N13" s="2961">
        <v>241.8</v>
      </c>
      <c r="O13" s="2961">
        <v>1295.3499999999999</v>
      </c>
      <c r="P13" s="2961">
        <v>0</v>
      </c>
      <c r="Q13" s="2961" t="s">
        <v>3195</v>
      </c>
    </row>
    <row r="14" spans="1:17">
      <c r="A14" s="2961" t="s">
        <v>3231</v>
      </c>
      <c r="B14" s="2961" t="s">
        <v>2999</v>
      </c>
      <c r="C14" s="2961" t="s">
        <v>3011</v>
      </c>
      <c r="D14" s="2961" t="s">
        <v>3078</v>
      </c>
      <c r="E14" s="2961" t="s">
        <v>3231</v>
      </c>
      <c r="F14" s="2961" t="s">
        <v>3002</v>
      </c>
      <c r="G14" s="2961">
        <v>31856</v>
      </c>
      <c r="H14" s="2961">
        <v>63712</v>
      </c>
      <c r="I14" s="2961" t="s">
        <v>3232</v>
      </c>
      <c r="J14" s="2961" t="s">
        <v>3233</v>
      </c>
      <c r="K14" s="2961" t="s">
        <v>3234</v>
      </c>
      <c r="L14" s="2961">
        <v>8225</v>
      </c>
      <c r="M14" s="2961">
        <v>8225</v>
      </c>
      <c r="N14" s="2961">
        <v>172.13</v>
      </c>
      <c r="O14" s="2961">
        <v>1290.97</v>
      </c>
      <c r="P14" s="2961">
        <v>0</v>
      </c>
      <c r="Q14" s="2961" t="s">
        <v>3069</v>
      </c>
    </row>
    <row r="15" spans="1:17">
      <c r="A15" s="2961" t="s">
        <v>3164</v>
      </c>
      <c r="B15" s="2961" t="s">
        <v>2999</v>
      </c>
      <c r="C15" s="2961" t="s">
        <v>3011</v>
      </c>
      <c r="D15" s="2961" t="s">
        <v>3078</v>
      </c>
      <c r="E15" s="2961" t="s">
        <v>3164</v>
      </c>
      <c r="F15" s="2961" t="s">
        <v>3002</v>
      </c>
      <c r="G15" s="2961">
        <v>2000</v>
      </c>
      <c r="H15" s="2961">
        <v>6400</v>
      </c>
      <c r="I15" s="2961" t="s">
        <v>3165</v>
      </c>
      <c r="J15" s="2961" t="s">
        <v>3169</v>
      </c>
      <c r="K15" s="2961" t="s">
        <v>3170</v>
      </c>
      <c r="L15" s="2961">
        <v>752</v>
      </c>
      <c r="M15" s="2961">
        <v>752</v>
      </c>
      <c r="N15" s="2961">
        <v>250.67</v>
      </c>
      <c r="O15" s="2961">
        <v>1175</v>
      </c>
      <c r="P15" s="2961">
        <v>0</v>
      </c>
      <c r="Q15" s="2961" t="s">
        <v>3119</v>
      </c>
    </row>
    <row r="16" spans="1:17">
      <c r="A16" s="2961" t="s">
        <v>3164</v>
      </c>
      <c r="B16" s="2961" t="s">
        <v>2999</v>
      </c>
      <c r="C16" s="2961" t="s">
        <v>3011</v>
      </c>
      <c r="D16" s="2961" t="s">
        <v>3078</v>
      </c>
      <c r="E16" s="2961" t="s">
        <v>3164</v>
      </c>
      <c r="F16" s="2961" t="s">
        <v>3002</v>
      </c>
      <c r="G16" s="2961">
        <v>10000</v>
      </c>
      <c r="H16" s="2961">
        <v>30000</v>
      </c>
      <c r="I16" s="2961" t="s">
        <v>3137</v>
      </c>
      <c r="J16" s="2961" t="s">
        <v>3212</v>
      </c>
      <c r="K16" s="2961" t="s">
        <v>3180</v>
      </c>
      <c r="L16" s="2961">
        <v>2519</v>
      </c>
      <c r="M16" s="2961">
        <v>2519</v>
      </c>
      <c r="N16" s="2961">
        <v>167.93</v>
      </c>
      <c r="O16" s="2961">
        <v>839.66</v>
      </c>
      <c r="P16" s="2961">
        <v>0</v>
      </c>
      <c r="Q16" s="2961" t="s">
        <v>3213</v>
      </c>
    </row>
    <row r="17" spans="1:17">
      <c r="A17" s="2961" t="s">
        <v>3209</v>
      </c>
      <c r="B17" s="2961" t="s">
        <v>2999</v>
      </c>
      <c r="C17" s="2961" t="s">
        <v>3011</v>
      </c>
      <c r="D17" s="2961" t="s">
        <v>3078</v>
      </c>
      <c r="E17" s="2961" t="s">
        <v>3209</v>
      </c>
      <c r="F17" s="2961" t="s">
        <v>3002</v>
      </c>
      <c r="G17" s="2961">
        <v>11214</v>
      </c>
      <c r="H17" s="2961">
        <v>33642</v>
      </c>
      <c r="I17" s="2961" t="s">
        <v>3137</v>
      </c>
      <c r="J17" s="2961" t="s">
        <v>3210</v>
      </c>
      <c r="K17" s="2961" t="s">
        <v>3202</v>
      </c>
      <c r="L17" s="2961">
        <v>2758.63</v>
      </c>
      <c r="M17" s="2961">
        <v>2758.63</v>
      </c>
      <c r="N17" s="2961">
        <v>164</v>
      </c>
      <c r="O17" s="2961">
        <v>820</v>
      </c>
      <c r="P17" s="2961">
        <v>0</v>
      </c>
      <c r="Q17" s="2961" t="s">
        <v>3211</v>
      </c>
    </row>
    <row r="18" spans="1:17">
      <c r="A18" s="2961" t="s">
        <v>3204</v>
      </c>
      <c r="B18" s="2961" t="s">
        <v>2999</v>
      </c>
      <c r="C18" s="2961" t="s">
        <v>3011</v>
      </c>
      <c r="D18" s="2961" t="s">
        <v>3078</v>
      </c>
      <c r="E18" s="2961" t="s">
        <v>3204</v>
      </c>
      <c r="F18" s="2961" t="s">
        <v>3002</v>
      </c>
      <c r="G18" s="2961">
        <v>52616</v>
      </c>
      <c r="H18" s="2961">
        <v>173632.8</v>
      </c>
      <c r="I18" s="2961" t="s">
        <v>3205</v>
      </c>
      <c r="J18" s="2961" t="s">
        <v>3206</v>
      </c>
      <c r="K18" s="2961" t="s">
        <v>3207</v>
      </c>
      <c r="L18" s="2961">
        <v>13959.02</v>
      </c>
      <c r="M18" s="2961">
        <v>13959.02</v>
      </c>
      <c r="N18" s="2961">
        <v>176.87</v>
      </c>
      <c r="O18" s="2961">
        <v>803.94</v>
      </c>
      <c r="P18" s="2961">
        <v>0</v>
      </c>
      <c r="Q18" s="2961" t="s">
        <v>3208</v>
      </c>
    </row>
    <row r="19" spans="1:17">
      <c r="A19" s="2961" t="s">
        <v>3214</v>
      </c>
      <c r="B19" s="2961" t="s">
        <v>2999</v>
      </c>
      <c r="C19" s="2961" t="s">
        <v>3011</v>
      </c>
      <c r="D19" s="2961" t="s">
        <v>3078</v>
      </c>
      <c r="E19" s="2961" t="s">
        <v>3214</v>
      </c>
      <c r="F19" s="2961" t="s">
        <v>3002</v>
      </c>
      <c r="G19" s="2961">
        <v>90000</v>
      </c>
      <c r="H19" s="2961">
        <v>270000</v>
      </c>
      <c r="I19" s="2961" t="s">
        <v>3137</v>
      </c>
      <c r="J19" s="2961" t="s">
        <v>3215</v>
      </c>
      <c r="K19" s="2961" t="s">
        <v>3216</v>
      </c>
      <c r="L19" s="2961">
        <v>20448</v>
      </c>
      <c r="M19" s="2961">
        <v>20448</v>
      </c>
      <c r="N19" s="2961">
        <v>151.47</v>
      </c>
      <c r="O19" s="2961">
        <v>757.33</v>
      </c>
      <c r="P19" s="2961">
        <v>0</v>
      </c>
      <c r="Q19" s="2961" t="s">
        <v>3217</v>
      </c>
    </row>
    <row r="20" spans="1:17">
      <c r="A20" s="2961" t="s">
        <v>3164</v>
      </c>
      <c r="B20" s="2961" t="s">
        <v>2999</v>
      </c>
      <c r="C20" s="2961" t="s">
        <v>3011</v>
      </c>
      <c r="D20" s="2961" t="s">
        <v>3078</v>
      </c>
      <c r="E20" s="2961" t="s">
        <v>3164</v>
      </c>
      <c r="F20" s="2961" t="s">
        <v>3002</v>
      </c>
      <c r="G20" s="2961">
        <v>6000</v>
      </c>
      <c r="H20" s="2961">
        <v>24000</v>
      </c>
      <c r="I20" s="2961" t="s">
        <v>3200</v>
      </c>
      <c r="J20" s="2961" t="s">
        <v>3201</v>
      </c>
      <c r="K20" s="2961" t="s">
        <v>3202</v>
      </c>
      <c r="L20" s="2961">
        <v>1668</v>
      </c>
      <c r="M20" s="2961">
        <v>1668</v>
      </c>
      <c r="N20" s="2961">
        <v>185.33</v>
      </c>
      <c r="O20" s="2961">
        <v>695</v>
      </c>
      <c r="P20" s="2961">
        <v>0</v>
      </c>
      <c r="Q20" s="2961" t="s">
        <v>3203</v>
      </c>
    </row>
    <row r="21" spans="1:17">
      <c r="A21" s="2961" t="s">
        <v>3244</v>
      </c>
      <c r="B21" s="2961" t="s">
        <v>2999</v>
      </c>
      <c r="C21" s="2961" t="s">
        <v>3011</v>
      </c>
      <c r="D21" s="2961" t="s">
        <v>3078</v>
      </c>
      <c r="E21" s="2961" t="s">
        <v>3244</v>
      </c>
      <c r="F21" s="2961" t="s">
        <v>3002</v>
      </c>
      <c r="G21" s="2961">
        <v>30000</v>
      </c>
      <c r="H21" s="2961">
        <v>120000</v>
      </c>
      <c r="I21" s="2961" t="s">
        <v>3245</v>
      </c>
      <c r="J21" s="2961" t="s">
        <v>3246</v>
      </c>
      <c r="K21" s="2961" t="s">
        <v>3247</v>
      </c>
      <c r="L21" s="2961">
        <v>8088</v>
      </c>
      <c r="M21" s="2961">
        <v>8088</v>
      </c>
      <c r="N21" s="2961">
        <v>179.73</v>
      </c>
      <c r="O21" s="2961">
        <v>674</v>
      </c>
      <c r="P21" s="2961">
        <v>0</v>
      </c>
      <c r="Q21" s="2961" t="s">
        <v>3243</v>
      </c>
    </row>
    <row r="22" spans="1:17">
      <c r="A22" s="2961" t="s">
        <v>3227</v>
      </c>
      <c r="B22" s="2961" t="s">
        <v>2999</v>
      </c>
      <c r="C22" s="2961" t="s">
        <v>3011</v>
      </c>
      <c r="D22" s="2961" t="s">
        <v>3078</v>
      </c>
      <c r="E22" s="2961" t="s">
        <v>3227</v>
      </c>
      <c r="F22" s="2961" t="s">
        <v>3002</v>
      </c>
      <c r="G22" s="2961">
        <v>14000</v>
      </c>
      <c r="H22" s="2961">
        <v>42000</v>
      </c>
      <c r="I22" s="2961" t="s">
        <v>3137</v>
      </c>
      <c r="J22" s="2961" t="s">
        <v>3228</v>
      </c>
      <c r="K22" s="2961" t="s">
        <v>3229</v>
      </c>
      <c r="L22" s="2961">
        <v>2734.19</v>
      </c>
      <c r="M22" s="2961">
        <v>2734.19</v>
      </c>
      <c r="N22" s="2961">
        <v>130.19999999999999</v>
      </c>
      <c r="O22" s="2961">
        <v>651</v>
      </c>
      <c r="P22" s="2961">
        <v>0</v>
      </c>
      <c r="Q22" s="2961" t="s">
        <v>3230</v>
      </c>
    </row>
    <row r="23" spans="1:17">
      <c r="A23" s="2961" t="s">
        <v>3223</v>
      </c>
      <c r="B23" s="2961" t="s">
        <v>2999</v>
      </c>
      <c r="C23" s="2961" t="s">
        <v>3011</v>
      </c>
      <c r="D23" s="2961" t="s">
        <v>3078</v>
      </c>
      <c r="E23" s="2961" t="s">
        <v>3223</v>
      </c>
      <c r="F23" s="2961" t="s">
        <v>3002</v>
      </c>
      <c r="G23" s="2961">
        <v>8352</v>
      </c>
      <c r="H23" s="2961">
        <v>29232</v>
      </c>
      <c r="I23" s="2961" t="s">
        <v>3161</v>
      </c>
      <c r="J23" s="2961" t="s">
        <v>3224</v>
      </c>
      <c r="K23" s="2961" t="s">
        <v>3225</v>
      </c>
      <c r="L23" s="2961">
        <v>1844.96</v>
      </c>
      <c r="M23" s="2961">
        <v>1844.96</v>
      </c>
      <c r="N23" s="2961">
        <v>147.27000000000001</v>
      </c>
      <c r="O23" s="2961">
        <v>631.13</v>
      </c>
      <c r="P23" s="2961">
        <v>0</v>
      </c>
      <c r="Q23" s="2961" t="s">
        <v>3226</v>
      </c>
    </row>
    <row r="24" spans="1:17">
      <c r="A24" s="2961" t="s">
        <v>3256</v>
      </c>
      <c r="B24" s="2961" t="s">
        <v>2999</v>
      </c>
      <c r="C24" s="2961" t="s">
        <v>3011</v>
      </c>
      <c r="D24" s="2961" t="s">
        <v>3078</v>
      </c>
      <c r="E24" s="2961" t="s">
        <v>3256</v>
      </c>
      <c r="F24" s="2961" t="s">
        <v>3002</v>
      </c>
      <c r="G24" s="2961">
        <v>45162</v>
      </c>
      <c r="H24" s="2961">
        <v>126453.6</v>
      </c>
      <c r="I24" s="2961" t="s">
        <v>3057</v>
      </c>
      <c r="J24" s="2961" t="s">
        <v>3257</v>
      </c>
      <c r="K24" s="2961" t="s">
        <v>3258</v>
      </c>
      <c r="L24" s="2961">
        <v>7483.34</v>
      </c>
      <c r="M24" s="2961">
        <v>7483.34</v>
      </c>
      <c r="N24" s="2961">
        <v>110.47</v>
      </c>
      <c r="O24" s="2961">
        <v>591.78</v>
      </c>
      <c r="P24" s="2961">
        <v>0</v>
      </c>
      <c r="Q24" s="2961" t="s">
        <v>3259</v>
      </c>
    </row>
    <row r="25" spans="1:17">
      <c r="A25" s="2961" t="s">
        <v>3204</v>
      </c>
      <c r="B25" s="2961" t="s">
        <v>2999</v>
      </c>
      <c r="C25" s="2961" t="s">
        <v>3011</v>
      </c>
      <c r="D25" s="2961" t="s">
        <v>3078</v>
      </c>
      <c r="E25" s="2961" t="s">
        <v>3204</v>
      </c>
      <c r="F25" s="2961" t="s">
        <v>3002</v>
      </c>
      <c r="G25" s="2961">
        <v>133932</v>
      </c>
      <c r="H25" s="2961">
        <v>375009.6</v>
      </c>
      <c r="I25" s="2961" t="s">
        <v>3241</v>
      </c>
      <c r="J25" s="2961" t="s">
        <v>3239</v>
      </c>
      <c r="K25" s="2961" t="s">
        <v>3242</v>
      </c>
      <c r="L25" s="2961">
        <v>21700</v>
      </c>
      <c r="M25" s="2961">
        <v>21700</v>
      </c>
      <c r="N25" s="2961">
        <v>108.02</v>
      </c>
      <c r="O25" s="2961">
        <v>578.64</v>
      </c>
      <c r="P25" s="2961">
        <v>0</v>
      </c>
      <c r="Q25" s="2961" t="s">
        <v>3243</v>
      </c>
    </row>
    <row r="26" spans="1:17">
      <c r="A26" s="2961" t="s">
        <v>3252</v>
      </c>
      <c r="B26" s="2961" t="s">
        <v>2999</v>
      </c>
      <c r="C26" s="2961" t="s">
        <v>3011</v>
      </c>
      <c r="D26" s="2961" t="s">
        <v>3078</v>
      </c>
      <c r="E26" s="2961" t="s">
        <v>3252</v>
      </c>
      <c r="F26" s="2961" t="s">
        <v>3002</v>
      </c>
      <c r="G26" s="2961">
        <v>134277.6</v>
      </c>
      <c r="H26" s="2961">
        <v>402832.8</v>
      </c>
      <c r="I26" s="2961" t="s">
        <v>3137</v>
      </c>
      <c r="J26" s="2961" t="s">
        <v>3253</v>
      </c>
      <c r="K26" s="2961" t="s">
        <v>3254</v>
      </c>
      <c r="L26" s="2961">
        <v>20355.97</v>
      </c>
      <c r="M26" s="2961">
        <v>20355.97</v>
      </c>
      <c r="N26" s="2961">
        <v>101.06</v>
      </c>
      <c r="O26" s="2961">
        <v>505.31</v>
      </c>
      <c r="P26" s="2961">
        <v>0</v>
      </c>
      <c r="Q26" s="2961" t="s">
        <v>3255</v>
      </c>
    </row>
    <row r="27" spans="1:17">
      <c r="A27" s="2961" t="s">
        <v>3248</v>
      </c>
      <c r="B27" s="2961" t="s">
        <v>2999</v>
      </c>
      <c r="C27" s="2961" t="s">
        <v>3011</v>
      </c>
      <c r="D27" s="2961" t="s">
        <v>3078</v>
      </c>
      <c r="E27" s="2961" t="s">
        <v>3248</v>
      </c>
      <c r="F27" s="2961" t="s">
        <v>3002</v>
      </c>
      <c r="G27" s="2961">
        <v>13000</v>
      </c>
      <c r="H27" s="2961">
        <v>41600</v>
      </c>
      <c r="I27" s="2961" t="s">
        <v>3165</v>
      </c>
      <c r="J27" s="2961" t="s">
        <v>3249</v>
      </c>
      <c r="K27" s="2961" t="s">
        <v>3250</v>
      </c>
      <c r="L27" s="2961">
        <v>2090.4</v>
      </c>
      <c r="M27" s="2961">
        <v>2090.4</v>
      </c>
      <c r="N27" s="2961">
        <v>107.2</v>
      </c>
      <c r="O27" s="2961">
        <v>502.5</v>
      </c>
      <c r="P27" s="2961">
        <v>0</v>
      </c>
      <c r="Q27" s="2961" t="s">
        <v>3251</v>
      </c>
    </row>
    <row r="28" spans="1:17">
      <c r="A28" s="2961" t="s">
        <v>3235</v>
      </c>
      <c r="B28" s="2961" t="s">
        <v>2999</v>
      </c>
      <c r="C28" s="2961" t="s">
        <v>3011</v>
      </c>
      <c r="D28" s="2961" t="s">
        <v>3078</v>
      </c>
      <c r="E28" s="2961" t="s">
        <v>3235</v>
      </c>
      <c r="F28" s="2961" t="s">
        <v>3002</v>
      </c>
      <c r="G28" s="2961">
        <v>50000</v>
      </c>
      <c r="H28" s="2961">
        <v>160000</v>
      </c>
      <c r="I28" s="2961" t="s">
        <v>3165</v>
      </c>
      <c r="J28" s="2961" t="s">
        <v>3236</v>
      </c>
      <c r="K28" s="2961" t="s">
        <v>3237</v>
      </c>
      <c r="L28" s="2961">
        <v>7750</v>
      </c>
      <c r="M28" s="2961">
        <v>7750</v>
      </c>
      <c r="N28" s="2961">
        <v>103.33</v>
      </c>
      <c r="O28" s="2961">
        <v>484.37</v>
      </c>
      <c r="P28" s="2961">
        <v>0</v>
      </c>
      <c r="Q28" s="2961" t="s">
        <v>3238</v>
      </c>
    </row>
    <row r="29" spans="1:17">
      <c r="A29" s="2961" t="s">
        <v>3164</v>
      </c>
      <c r="B29" s="2961" t="s">
        <v>2999</v>
      </c>
      <c r="C29" s="2961" t="s">
        <v>3011</v>
      </c>
      <c r="D29" s="2961" t="s">
        <v>3078</v>
      </c>
      <c r="E29" s="2961" t="s">
        <v>3164</v>
      </c>
      <c r="F29" s="2961" t="s">
        <v>3002</v>
      </c>
      <c r="G29" s="2961">
        <v>148032</v>
      </c>
      <c r="H29" s="2961">
        <v>473702.40000000002</v>
      </c>
      <c r="I29" s="2961" t="s">
        <v>3165</v>
      </c>
      <c r="J29" s="2961" t="s">
        <v>3188</v>
      </c>
      <c r="K29" s="2961" t="s">
        <v>3180</v>
      </c>
      <c r="L29" s="2961">
        <v>14016.78</v>
      </c>
      <c r="M29" s="2961">
        <v>20016.77</v>
      </c>
      <c r="N29" s="2961">
        <v>90.15</v>
      </c>
      <c r="O29" s="2961">
        <v>422.56</v>
      </c>
      <c r="P29" s="2961">
        <v>42.81</v>
      </c>
      <c r="Q29" s="2961" t="s">
        <v>3189</v>
      </c>
    </row>
    <row r="30" spans="1:17">
      <c r="A30" s="2961" t="s">
        <v>3179</v>
      </c>
      <c r="B30" s="2961" t="s">
        <v>2999</v>
      </c>
      <c r="C30" s="2961" t="s">
        <v>3000</v>
      </c>
      <c r="D30" s="2961" t="s">
        <v>3078</v>
      </c>
      <c r="E30" s="2961" t="s">
        <v>3179</v>
      </c>
      <c r="F30" s="2961" t="s">
        <v>3002</v>
      </c>
      <c r="G30" s="2961">
        <v>31500</v>
      </c>
      <c r="H30" s="2961">
        <v>110250</v>
      </c>
      <c r="I30" s="2961" t="s">
        <v>3161</v>
      </c>
      <c r="J30" s="2961" t="s">
        <v>3175</v>
      </c>
      <c r="K30" s="2961" t="s">
        <v>3180</v>
      </c>
      <c r="L30" s="2961">
        <v>3236.4</v>
      </c>
      <c r="M30" s="2961">
        <v>3236.4</v>
      </c>
      <c r="N30" s="2961">
        <v>68.5</v>
      </c>
      <c r="O30" s="2961">
        <v>293.55</v>
      </c>
      <c r="P30" s="2961">
        <v>0</v>
      </c>
      <c r="Q30" s="2961" t="s">
        <v>3003</v>
      </c>
    </row>
    <row r="31" spans="1:17">
      <c r="A31" s="2961" t="s">
        <v>3181</v>
      </c>
      <c r="B31" s="2961" t="s">
        <v>2999</v>
      </c>
      <c r="C31" s="2961" t="s">
        <v>3000</v>
      </c>
      <c r="D31" s="2961" t="s">
        <v>3078</v>
      </c>
      <c r="E31" s="2961" t="s">
        <v>3181</v>
      </c>
      <c r="F31" s="2961" t="s">
        <v>3002</v>
      </c>
      <c r="G31" s="2961">
        <v>27693</v>
      </c>
      <c r="H31" s="2961">
        <v>83079</v>
      </c>
      <c r="I31" s="2961" t="s">
        <v>3137</v>
      </c>
      <c r="J31" s="2961" t="s">
        <v>3182</v>
      </c>
      <c r="K31" s="2961" t="s">
        <v>3183</v>
      </c>
      <c r="L31" s="2961">
        <v>2021.58</v>
      </c>
      <c r="M31" s="2961">
        <v>2021.58</v>
      </c>
      <c r="N31" s="2961">
        <v>48.67</v>
      </c>
      <c r="O31" s="2961">
        <v>243.33</v>
      </c>
      <c r="P31" s="2961">
        <v>0</v>
      </c>
      <c r="Q31" s="2961" t="s">
        <v>3003</v>
      </c>
    </row>
    <row r="32" spans="1:17">
      <c r="A32" s="2961" t="s">
        <v>3164</v>
      </c>
      <c r="B32" s="2961" t="s">
        <v>2999</v>
      </c>
      <c r="C32" s="2961" t="s">
        <v>3011</v>
      </c>
      <c r="D32" s="2961" t="s">
        <v>3078</v>
      </c>
      <c r="E32" s="2961" t="s">
        <v>3164</v>
      </c>
      <c r="F32" s="2961" t="s">
        <v>3002</v>
      </c>
      <c r="G32" s="2961">
        <v>19111</v>
      </c>
      <c r="H32" s="2961">
        <v>611552</v>
      </c>
      <c r="I32" s="2961" t="s">
        <v>3165</v>
      </c>
      <c r="J32" s="2961" t="s">
        <v>3166</v>
      </c>
      <c r="K32" s="2961" t="s">
        <v>3167</v>
      </c>
      <c r="L32" s="2961">
        <v>7223.96</v>
      </c>
      <c r="M32" s="2961">
        <v>7223.96</v>
      </c>
      <c r="N32" s="2961">
        <v>252</v>
      </c>
      <c r="O32" s="2961">
        <v>118.12</v>
      </c>
      <c r="P32" s="2961">
        <v>0</v>
      </c>
      <c r="Q32" s="2961" t="s">
        <v>3168</v>
      </c>
    </row>
    <row r="33" spans="1:17">
      <c r="A33" s="2961" t="s">
        <v>3174</v>
      </c>
      <c r="B33" s="2961" t="s">
        <v>2999</v>
      </c>
      <c r="C33" s="2961" t="s">
        <v>3000</v>
      </c>
      <c r="D33" s="2961" t="s">
        <v>3078</v>
      </c>
      <c r="E33" s="2961" t="s">
        <v>3174</v>
      </c>
      <c r="F33" s="2961" t="s">
        <v>3002</v>
      </c>
      <c r="G33" s="2961">
        <v>207101.7</v>
      </c>
      <c r="H33" s="2961">
        <v>621305.1</v>
      </c>
      <c r="I33" s="2961" t="s">
        <v>3137</v>
      </c>
      <c r="J33" s="2961" t="s">
        <v>3175</v>
      </c>
      <c r="K33" s="2961" t="s">
        <v>3176</v>
      </c>
      <c r="L33" s="2961">
        <v>2100</v>
      </c>
      <c r="M33" s="2961">
        <v>2100</v>
      </c>
      <c r="N33" s="2961">
        <v>6.76</v>
      </c>
      <c r="O33" s="2961">
        <v>33.79</v>
      </c>
      <c r="P33" s="2961">
        <v>0</v>
      </c>
      <c r="Q33" s="2961"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514</v>
      </c>
      <c r="B1" s="501"/>
      <c r="C1" s="502" t="s">
        <v>595</v>
      </c>
      <c r="D1" s="503" t="s">
        <v>516</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464</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c r="A3" s="1377" t="s">
        <v>1681</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3" customFormat="1" ht="28.5" customHeight="1">
      <c r="A4" s="509" t="s">
        <v>518</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519</v>
      </c>
      <c r="B6" s="511"/>
      <c r="C6" s="3427" t="s">
        <v>520</v>
      </c>
      <c r="D6" s="3428"/>
      <c r="E6" s="3461" t="s">
        <v>521</v>
      </c>
      <c r="F6" s="3462"/>
      <c r="G6" s="3427" t="s">
        <v>522</v>
      </c>
      <c r="H6" s="3428"/>
      <c r="I6" s="3427" t="s">
        <v>523</v>
      </c>
      <c r="J6" s="3428"/>
      <c r="K6" s="512" t="s">
        <v>524</v>
      </c>
      <c r="L6" s="2130"/>
      <c r="M6" s="2131"/>
      <c r="N6" s="2131"/>
      <c r="O6" s="2131"/>
      <c r="P6" s="3429" t="s">
        <v>525</v>
      </c>
      <c r="Q6" s="3430"/>
      <c r="R6" s="3435" t="s">
        <v>521</v>
      </c>
      <c r="S6" s="3436"/>
      <c r="T6" s="3435" t="s">
        <v>522</v>
      </c>
      <c r="U6" s="3436"/>
      <c r="V6" s="3422" t="s">
        <v>523</v>
      </c>
      <c r="W6" s="3422"/>
      <c r="X6" s="1564"/>
      <c r="Y6" s="3435" t="s">
        <v>525</v>
      </c>
      <c r="Z6" s="3436"/>
      <c r="AA6" s="3424" t="s">
        <v>521</v>
      </c>
      <c r="AB6" s="3425" t="s">
        <v>522</v>
      </c>
      <c r="AC6" s="3424" t="s">
        <v>523</v>
      </c>
    </row>
    <row r="7" spans="1:29" ht="15">
      <c r="A7" s="513"/>
      <c r="B7" s="514"/>
      <c r="C7" s="3443" t="s">
        <v>2931</v>
      </c>
      <c r="D7" s="3444"/>
      <c r="E7" s="3463" t="s">
        <v>2932</v>
      </c>
      <c r="F7" s="3464"/>
      <c r="G7" s="3443" t="s">
        <v>2933</v>
      </c>
      <c r="H7" s="3444"/>
      <c r="I7" s="3443" t="s">
        <v>2934</v>
      </c>
      <c r="J7" s="3444"/>
      <c r="K7" s="512"/>
      <c r="L7" s="2130"/>
      <c r="M7" s="2131"/>
      <c r="N7" s="2131"/>
      <c r="O7" s="2131"/>
      <c r="P7" s="3431"/>
      <c r="Q7" s="3432"/>
      <c r="R7" s="3437"/>
      <c r="S7" s="3438"/>
      <c r="T7" s="3437"/>
      <c r="U7" s="3438"/>
      <c r="V7" s="3422"/>
      <c r="W7" s="3422"/>
      <c r="X7" s="1564"/>
      <c r="Y7" s="3437"/>
      <c r="Z7" s="3438"/>
      <c r="AA7" s="3425"/>
      <c r="AB7" s="3425"/>
      <c r="AC7" s="3425"/>
    </row>
    <row r="8" spans="1:29" ht="15.75" thickBot="1">
      <c r="A8" s="515"/>
      <c r="B8" s="516"/>
      <c r="C8" s="3441" t="s">
        <v>2935</v>
      </c>
      <c r="D8" s="3442"/>
      <c r="E8" s="3459" t="s">
        <v>2935</v>
      </c>
      <c r="F8" s="3460"/>
      <c r="G8" s="3441" t="s">
        <v>2935</v>
      </c>
      <c r="H8" s="3442"/>
      <c r="I8" s="3441" t="s">
        <v>2935</v>
      </c>
      <c r="J8" s="3442"/>
      <c r="K8" s="512" t="s">
        <v>526</v>
      </c>
      <c r="L8" s="2130"/>
      <c r="M8" s="2131"/>
      <c r="N8" s="2131"/>
      <c r="O8" s="2131"/>
      <c r="P8" s="3433"/>
      <c r="Q8" s="3434"/>
      <c r="R8" s="3437"/>
      <c r="S8" s="3438"/>
      <c r="T8" s="3439"/>
      <c r="U8" s="3440"/>
      <c r="V8" s="3422"/>
      <c r="W8" s="3422"/>
      <c r="X8" s="1564"/>
      <c r="Y8" s="3439"/>
      <c r="Z8" s="3440"/>
      <c r="AA8" s="3426"/>
      <c r="AB8" s="3426"/>
      <c r="AC8" s="3426"/>
    </row>
    <row r="9" spans="1:29" s="1217" customFormat="1" ht="15.75" thickBot="1">
      <c r="A9" s="2934"/>
      <c r="B9" s="2941" t="s">
        <v>527</v>
      </c>
      <c r="C9" s="517">
        <f>'数据-取费表'!B2</f>
        <v>43109</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52" t="s">
        <v>528</v>
      </c>
      <c r="Q9" s="3454"/>
      <c r="R9" s="1565" t="s">
        <v>8</v>
      </c>
      <c r="S9" s="1566">
        <f t="shared" ref="S9:S17" si="0">F9</f>
        <v>0</v>
      </c>
      <c r="T9" s="1565" t="s">
        <v>8</v>
      </c>
      <c r="U9" s="1566">
        <f t="shared" ref="U9:U17" si="1">H9</f>
        <v>0</v>
      </c>
      <c r="V9" s="1565" t="s">
        <v>8</v>
      </c>
      <c r="W9" s="1566">
        <f t="shared" ref="W9:W17" si="2">J9</f>
        <v>0</v>
      </c>
      <c r="X9" s="1567"/>
      <c r="Y9" s="3452" t="s">
        <v>528</v>
      </c>
      <c r="Z9" s="3453"/>
      <c r="AA9" s="1568" t="e">
        <f>D9/F9</f>
        <v>#DIV/0!</v>
      </c>
      <c r="AB9" s="1568" t="e">
        <f>D9/H9</f>
        <v>#DIV/0!</v>
      </c>
      <c r="AC9" s="1568" t="e">
        <f>D9/J9</f>
        <v>#DIV/0!</v>
      </c>
    </row>
    <row r="10" spans="1:29" s="1217" customFormat="1" ht="15.75" thickBot="1">
      <c r="A10" s="2935"/>
      <c r="B10" s="2942"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52" t="s">
        <v>531</v>
      </c>
      <c r="Q10" s="3453"/>
      <c r="R10" s="1565" t="s">
        <v>8</v>
      </c>
      <c r="S10" s="1566">
        <f t="shared" si="0"/>
        <v>0</v>
      </c>
      <c r="T10" s="1565" t="s">
        <v>8</v>
      </c>
      <c r="U10" s="1566">
        <f t="shared" si="1"/>
        <v>0</v>
      </c>
      <c r="V10" s="1565" t="s">
        <v>8</v>
      </c>
      <c r="W10" s="1566">
        <f t="shared" si="2"/>
        <v>0</v>
      </c>
      <c r="X10" s="1567"/>
      <c r="Y10" s="3452" t="s">
        <v>531</v>
      </c>
      <c r="Z10" s="3453"/>
      <c r="AA10" s="1568" t="e">
        <f t="shared" ref="AA10:AA42" si="3">D10/F10</f>
        <v>#DIV/0!</v>
      </c>
      <c r="AB10" s="1568" t="e">
        <f t="shared" ref="AB10:AB42" si="4">D10/H10</f>
        <v>#DIV/0!</v>
      </c>
      <c r="AC10" s="1568"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21" t="s">
        <v>533</v>
      </c>
      <c r="Q11" s="1148" t="str">
        <f t="shared" ref="Q11:Q17" si="6">B11</f>
        <v>用途</v>
      </c>
      <c r="R11" s="1565" t="s">
        <v>8</v>
      </c>
      <c r="S11" s="1566">
        <f t="shared" si="0"/>
        <v>100</v>
      </c>
      <c r="T11" s="1565" t="s">
        <v>8</v>
      </c>
      <c r="U11" s="1566">
        <f t="shared" si="1"/>
        <v>100</v>
      </c>
      <c r="V11" s="1565" t="s">
        <v>8</v>
      </c>
      <c r="W11" s="1566">
        <f t="shared" si="2"/>
        <v>100</v>
      </c>
      <c r="X11" s="1567"/>
      <c r="Y11" s="3367" t="s">
        <v>534</v>
      </c>
      <c r="Z11" s="1147" t="str">
        <f t="shared" ref="Z11:Z17" si="7">Q11</f>
        <v>用途</v>
      </c>
      <c r="AA11" s="1568">
        <f t="shared" si="3"/>
        <v>1</v>
      </c>
      <c r="AB11" s="1568">
        <f t="shared" si="4"/>
        <v>1</v>
      </c>
      <c r="AC11" s="1568">
        <f t="shared" si="5"/>
        <v>1</v>
      </c>
    </row>
    <row r="12" spans="1:29" s="1335" customFormat="1" ht="27">
      <c r="A12" s="2937"/>
      <c r="B12" s="2942" t="s">
        <v>2758</v>
      </c>
      <c r="C12" s="526"/>
      <c r="D12" s="253">
        <v>100</v>
      </c>
      <c r="E12" s="526"/>
      <c r="F12" s="253">
        <f>ROUND(100/'数据-取费表'!G16,0)</f>
        <v>101</v>
      </c>
      <c r="G12" s="526"/>
      <c r="H12" s="253">
        <f>ROUND(100/'数据-取费表'!G16,0)</f>
        <v>101</v>
      </c>
      <c r="I12" s="526"/>
      <c r="J12" s="253">
        <f>ROUND(100/'数据-取费表'!G16,0)</f>
        <v>101</v>
      </c>
      <c r="K12" s="528"/>
      <c r="L12" s="2135"/>
      <c r="M12" s="2175"/>
      <c r="N12" s="2175"/>
      <c r="O12" s="2136"/>
      <c r="P12" s="3421"/>
      <c r="Q12" s="1148" t="str">
        <f t="shared" si="6"/>
        <v>土地使用年限（年）</v>
      </c>
      <c r="R12" s="1565" t="s">
        <v>8</v>
      </c>
      <c r="S12" s="1566">
        <f t="shared" si="0"/>
        <v>101</v>
      </c>
      <c r="T12" s="1565" t="s">
        <v>8</v>
      </c>
      <c r="U12" s="1566">
        <f t="shared" si="1"/>
        <v>101</v>
      </c>
      <c r="V12" s="1565" t="s">
        <v>8</v>
      </c>
      <c r="W12" s="1566">
        <f t="shared" si="2"/>
        <v>101</v>
      </c>
      <c r="X12" s="1567"/>
      <c r="Y12" s="3367"/>
      <c r="Z12" s="1147" t="str">
        <f t="shared" si="7"/>
        <v>土地使用年限（年）</v>
      </c>
      <c r="AA12" s="1568">
        <f t="shared" si="3"/>
        <v>0.99009900990099009</v>
      </c>
      <c r="AB12" s="1568">
        <f t="shared" si="4"/>
        <v>0.99009900990099009</v>
      </c>
      <c r="AC12" s="1568">
        <f t="shared" si="5"/>
        <v>0.99009900990099009</v>
      </c>
    </row>
    <row r="13" spans="1:29" ht="15">
      <c r="A13" s="2938"/>
      <c r="B13" s="2942" t="s">
        <v>2759</v>
      </c>
      <c r="C13" s="530"/>
      <c r="D13" s="253">
        <v>100</v>
      </c>
      <c r="E13" s="530"/>
      <c r="F13" s="253" t="e">
        <f>LOOKUP(E13,77:77,78:78)-LOOKUP(C13,77:77,78:78)+100</f>
        <v>#N/A</v>
      </c>
      <c r="G13" s="531"/>
      <c r="H13" s="253" t="e">
        <f>LOOKUP(G13,77:77,78:78)-LOOKUP(C13,77:77,78:78)+100</f>
        <v>#N/A</v>
      </c>
      <c r="I13" s="530"/>
      <c r="J13" s="253" t="e">
        <f>LOOKUP(I13,77:77,78:78)-LOOKUP(C13,77:77,78:78)+100</f>
        <v>#N/A</v>
      </c>
      <c r="K13" s="532"/>
      <c r="L13" s="2137"/>
      <c r="M13" s="2131"/>
      <c r="N13" s="2131"/>
      <c r="O13" s="2138"/>
      <c r="P13" s="3421"/>
      <c r="Q13" s="1148" t="str">
        <f t="shared" si="6"/>
        <v>容积率</v>
      </c>
      <c r="R13" s="1565" t="s">
        <v>8</v>
      </c>
      <c r="S13" s="1566" t="e">
        <f t="shared" si="0"/>
        <v>#N/A</v>
      </c>
      <c r="T13" s="1565" t="s">
        <v>8</v>
      </c>
      <c r="U13" s="1566" t="e">
        <f t="shared" si="1"/>
        <v>#N/A</v>
      </c>
      <c r="V13" s="1565" t="s">
        <v>8</v>
      </c>
      <c r="W13" s="1566" t="e">
        <f t="shared" si="2"/>
        <v>#N/A</v>
      </c>
      <c r="X13" s="1567"/>
      <c r="Y13" s="3367"/>
      <c r="Z13" s="1147" t="str">
        <f t="shared" si="7"/>
        <v>容积率</v>
      </c>
      <c r="AA13" s="1568" t="e">
        <f t="shared" si="3"/>
        <v>#N/A</v>
      </c>
      <c r="AB13" s="1568" t="e">
        <f t="shared" si="4"/>
        <v>#N/A</v>
      </c>
      <c r="AC13" s="1568" t="e">
        <f t="shared" si="5"/>
        <v>#N/A</v>
      </c>
    </row>
    <row r="14" spans="1:29" s="1217" customFormat="1" ht="15">
      <c r="A14" s="2939"/>
      <c r="B14" s="2945">
        <v>111</v>
      </c>
      <c r="C14" s="526"/>
      <c r="D14" s="535">
        <v>100</v>
      </c>
      <c r="E14" s="538"/>
      <c r="F14" s="253">
        <f>SUMIF(79:79,E14,80:80)-SUMIF(79:79,C14,80:80)+100</f>
        <v>100</v>
      </c>
      <c r="G14" s="539"/>
      <c r="H14" s="253">
        <f>SUMIF(79:79,G14,80:80)-SUMIF(79:79,C14,80:80)+100</f>
        <v>100</v>
      </c>
      <c r="I14" s="538"/>
      <c r="J14" s="253">
        <f>SUMIF(79:79,I14,80:80)-SUMIF(79:79,C14,80:80)+100</f>
        <v>100</v>
      </c>
      <c r="K14" s="528"/>
      <c r="L14" s="2132"/>
      <c r="M14" s="2133"/>
      <c r="N14" s="2133"/>
      <c r="O14" s="2134"/>
      <c r="P14" s="3421"/>
      <c r="Q14" s="1148">
        <f t="shared" si="6"/>
        <v>111</v>
      </c>
      <c r="R14" s="1565" t="s">
        <v>8</v>
      </c>
      <c r="S14" s="1566">
        <f t="shared" si="0"/>
        <v>100</v>
      </c>
      <c r="T14" s="1565" t="s">
        <v>8</v>
      </c>
      <c r="U14" s="1566">
        <f t="shared" si="1"/>
        <v>100</v>
      </c>
      <c r="V14" s="1565" t="s">
        <v>8</v>
      </c>
      <c r="W14" s="1566">
        <f t="shared" si="2"/>
        <v>100</v>
      </c>
      <c r="X14" s="1567"/>
      <c r="Y14" s="3367"/>
      <c r="Z14" s="1147">
        <f t="shared" si="7"/>
        <v>111</v>
      </c>
      <c r="AA14" s="1568">
        <f>D14/F14</f>
        <v>1</v>
      </c>
      <c r="AB14" s="1568">
        <f>D14/H14</f>
        <v>1</v>
      </c>
      <c r="AC14" s="1568">
        <f>D14/J14</f>
        <v>1</v>
      </c>
    </row>
    <row r="15" spans="1:29" ht="15">
      <c r="A15" s="2939"/>
      <c r="B15" s="2945">
        <v>111</v>
      </c>
      <c r="C15" s="536"/>
      <c r="D15" s="537">
        <v>100</v>
      </c>
      <c r="E15" s="538"/>
      <c r="F15" s="253">
        <f>SUMIF(81:81,E15,82:82)-SUMIF(81:81,C15,82:82)+100</f>
        <v>100</v>
      </c>
      <c r="G15" s="539"/>
      <c r="H15" s="537">
        <f>SUMIF(81:81,G15,82:82)-SUMIF(81:81,C15,82:82)+100</f>
        <v>100</v>
      </c>
      <c r="I15" s="538"/>
      <c r="J15" s="537">
        <f>SUMIF(81:81,I15,82:82)-SUMIF(81:81,C15,82:82)+100</f>
        <v>100</v>
      </c>
      <c r="K15" s="528"/>
      <c r="L15" s="2139"/>
      <c r="M15" s="2131"/>
      <c r="N15" s="2131"/>
      <c r="O15" s="2138"/>
      <c r="P15" s="3421"/>
      <c r="Q15" s="1148">
        <f t="shared" si="6"/>
        <v>111</v>
      </c>
      <c r="R15" s="1565" t="s">
        <v>8</v>
      </c>
      <c r="S15" s="1566">
        <f t="shared" si="0"/>
        <v>100</v>
      </c>
      <c r="T15" s="1565" t="s">
        <v>8</v>
      </c>
      <c r="U15" s="1566">
        <f t="shared" si="1"/>
        <v>100</v>
      </c>
      <c r="V15" s="1565" t="s">
        <v>8</v>
      </c>
      <c r="W15" s="1566">
        <f t="shared" si="2"/>
        <v>100</v>
      </c>
      <c r="X15" s="1567"/>
      <c r="Y15" s="3367"/>
      <c r="Z15" s="1147">
        <f t="shared" si="7"/>
        <v>111</v>
      </c>
      <c r="AA15" s="1568">
        <f t="shared" si="3"/>
        <v>1</v>
      </c>
      <c r="AB15" s="1568">
        <f t="shared" si="4"/>
        <v>1</v>
      </c>
      <c r="AC15" s="1568">
        <f t="shared" si="5"/>
        <v>1</v>
      </c>
    </row>
    <row r="16" spans="1:29" ht="15.75" thickBot="1">
      <c r="A16" s="2940"/>
      <c r="B16" s="2946">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421"/>
      <c r="Q16" s="1148">
        <f t="shared" si="6"/>
        <v>111</v>
      </c>
      <c r="R16" s="1565" t="s">
        <v>8</v>
      </c>
      <c r="S16" s="1566">
        <f t="shared" si="0"/>
        <v>100</v>
      </c>
      <c r="T16" s="1565" t="s">
        <v>8</v>
      </c>
      <c r="U16" s="1566">
        <f t="shared" si="1"/>
        <v>100</v>
      </c>
      <c r="V16" s="1565" t="s">
        <v>8</v>
      </c>
      <c r="W16" s="1566">
        <f t="shared" si="2"/>
        <v>100</v>
      </c>
      <c r="X16" s="1567"/>
      <c r="Y16" s="3367"/>
      <c r="Z16" s="1147">
        <f t="shared" si="7"/>
        <v>111</v>
      </c>
      <c r="AA16" s="1568">
        <f t="shared" si="3"/>
        <v>1</v>
      </c>
      <c r="AB16" s="1568">
        <f t="shared" si="4"/>
        <v>1</v>
      </c>
      <c r="AC16" s="1568">
        <f t="shared" si="5"/>
        <v>1</v>
      </c>
    </row>
    <row r="17" spans="1:29" ht="57">
      <c r="A17" s="2932" t="s">
        <v>2755</v>
      </c>
      <c r="B17" s="164" t="s">
        <v>596</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455" t="s">
        <v>538</v>
      </c>
      <c r="Q17" s="1569" t="str">
        <f t="shared" si="6"/>
        <v>产业集聚程度</v>
      </c>
      <c r="R17" s="1570" t="s">
        <v>8</v>
      </c>
      <c r="S17" s="1571">
        <f t="shared" si="0"/>
        <v>100</v>
      </c>
      <c r="T17" s="1570" t="s">
        <v>8</v>
      </c>
      <c r="U17" s="1571">
        <f t="shared" si="1"/>
        <v>100</v>
      </c>
      <c r="V17" s="1570" t="s">
        <v>8</v>
      </c>
      <c r="W17" s="1571">
        <f t="shared" si="2"/>
        <v>100</v>
      </c>
      <c r="X17" s="1564"/>
      <c r="Y17" s="3455" t="s">
        <v>538</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9"/>
      <c r="M18" s="2131"/>
      <c r="N18" s="2131"/>
      <c r="O18" s="2138"/>
      <c r="P18" s="3456"/>
      <c r="Q18" s="1569"/>
      <c r="R18" s="1570"/>
      <c r="S18" s="1571"/>
      <c r="T18" s="1570"/>
      <c r="U18" s="1571"/>
      <c r="V18" s="1570"/>
      <c r="W18" s="1571"/>
      <c r="X18" s="1564"/>
      <c r="Y18" s="3456"/>
      <c r="Z18" s="1572"/>
      <c r="AA18" s="1573">
        <v>1</v>
      </c>
      <c r="AB18" s="1573">
        <v>1</v>
      </c>
      <c r="AC18" s="1573">
        <v>1</v>
      </c>
    </row>
    <row r="19" spans="1:29" ht="85.5">
      <c r="A19" s="529"/>
      <c r="B19" s="868" t="s">
        <v>541</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456"/>
      <c r="Q19" s="1569" t="str">
        <f>B19</f>
        <v>交通便捷度</v>
      </c>
      <c r="R19" s="1570" t="s">
        <v>8</v>
      </c>
      <c r="S19" s="1571">
        <f>F19</f>
        <v>100</v>
      </c>
      <c r="T19" s="1570" t="s">
        <v>8</v>
      </c>
      <c r="U19" s="1571">
        <f>H19</f>
        <v>100</v>
      </c>
      <c r="V19" s="1570" t="s">
        <v>8</v>
      </c>
      <c r="W19" s="1571">
        <f>J19</f>
        <v>100</v>
      </c>
      <c r="X19" s="1564"/>
      <c r="Y19" s="3456"/>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39"/>
      <c r="M20" s="2131"/>
      <c r="N20" s="2131"/>
      <c r="O20" s="2138"/>
      <c r="P20" s="3456"/>
      <c r="Q20" s="1569"/>
      <c r="R20" s="1570"/>
      <c r="S20" s="1571"/>
      <c r="T20" s="1570"/>
      <c r="U20" s="1571"/>
      <c r="V20" s="1570"/>
      <c r="W20" s="1571"/>
      <c r="X20" s="1564"/>
      <c r="Y20" s="3456"/>
      <c r="Z20" s="1572"/>
      <c r="AA20" s="1573">
        <v>1</v>
      </c>
      <c r="AB20" s="1573">
        <v>1</v>
      </c>
      <c r="AC20" s="1573">
        <v>1</v>
      </c>
    </row>
    <row r="21" spans="1:29" ht="27">
      <c r="A21" s="513"/>
      <c r="B21" s="868" t="s">
        <v>542</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456"/>
      <c r="Q21" s="1569" t="str">
        <f t="shared" ref="Q21:Q35" si="8">B21</f>
        <v>区域土地利用方向</v>
      </c>
      <c r="R21" s="1570" t="s">
        <v>8</v>
      </c>
      <c r="S21" s="1571">
        <f>F21</f>
        <v>100</v>
      </c>
      <c r="T21" s="1570" t="s">
        <v>8</v>
      </c>
      <c r="U21" s="1571">
        <f>H21</f>
        <v>100</v>
      </c>
      <c r="V21" s="1570" t="s">
        <v>8</v>
      </c>
      <c r="W21" s="1571">
        <f>J21</f>
        <v>100</v>
      </c>
      <c r="X21" s="1564"/>
      <c r="Y21" s="3456"/>
      <c r="Z21" s="1572" t="str">
        <f>Q21</f>
        <v>区域土地利用方向</v>
      </c>
      <c r="AA21" s="1573">
        <f t="shared" si="3"/>
        <v>1</v>
      </c>
      <c r="AB21" s="1573">
        <f t="shared" si="4"/>
        <v>1</v>
      </c>
      <c r="AC21" s="1573">
        <f t="shared" si="5"/>
        <v>1</v>
      </c>
    </row>
    <row r="22" spans="1:29" ht="15">
      <c r="A22" s="513"/>
      <c r="B22" s="592"/>
      <c r="C22" s="573"/>
      <c r="D22" s="552"/>
      <c r="E22" s="553"/>
      <c r="F22" s="554"/>
      <c r="G22" s="555"/>
      <c r="H22" s="554"/>
      <c r="I22" s="555"/>
      <c r="J22" s="554"/>
      <c r="K22" s="1345"/>
      <c r="L22" s="2139"/>
      <c r="M22" s="2131"/>
      <c r="N22" s="2131"/>
      <c r="O22" s="2138"/>
      <c r="P22" s="3456"/>
      <c r="Q22" s="1569"/>
      <c r="R22" s="1570"/>
      <c r="S22" s="1571"/>
      <c r="T22" s="1570"/>
      <c r="U22" s="1571"/>
      <c r="V22" s="1570"/>
      <c r="W22" s="1571"/>
      <c r="X22" s="1564"/>
      <c r="Y22" s="3456"/>
      <c r="Z22" s="1572"/>
      <c r="AA22" s="1573"/>
      <c r="AB22" s="1573"/>
      <c r="AC22" s="1573"/>
    </row>
    <row r="23" spans="1:29" ht="71.25">
      <c r="A23" s="513"/>
      <c r="B23" s="919" t="s">
        <v>597</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456"/>
      <c r="Q23" s="1569" t="str">
        <f t="shared" si="8"/>
        <v>环境状况</v>
      </c>
      <c r="R23" s="1570" t="s">
        <v>8</v>
      </c>
      <c r="S23" s="1571">
        <f>F23</f>
        <v>100</v>
      </c>
      <c r="T23" s="1570" t="s">
        <v>8</v>
      </c>
      <c r="U23" s="1571">
        <f>H23</f>
        <v>100</v>
      </c>
      <c r="V23" s="1570" t="s">
        <v>8</v>
      </c>
      <c r="W23" s="1571">
        <f>J23</f>
        <v>100</v>
      </c>
      <c r="X23" s="1564"/>
      <c r="Y23" s="3456"/>
      <c r="Z23" s="1572" t="str">
        <f>Q23</f>
        <v>环境状况</v>
      </c>
      <c r="AA23" s="1573">
        <f t="shared" si="3"/>
        <v>1</v>
      </c>
      <c r="AB23" s="1573">
        <f t="shared" si="4"/>
        <v>1</v>
      </c>
      <c r="AC23" s="1573">
        <f t="shared" si="5"/>
        <v>1</v>
      </c>
    </row>
    <row r="24" spans="1:29" ht="15">
      <c r="A24" s="513"/>
      <c r="B24" s="592"/>
      <c r="C24" s="573"/>
      <c r="D24" s="552"/>
      <c r="E24" s="551"/>
      <c r="F24" s="552"/>
      <c r="G24" s="551"/>
      <c r="H24" s="552"/>
      <c r="I24" s="573"/>
      <c r="J24" s="552"/>
      <c r="K24" s="528"/>
      <c r="L24" s="2139"/>
      <c r="M24" s="2131"/>
      <c r="N24" s="2131"/>
      <c r="O24" s="2138"/>
      <c r="P24" s="3456"/>
      <c r="Q24" s="1569"/>
      <c r="R24" s="1570"/>
      <c r="S24" s="1571"/>
      <c r="T24" s="1570"/>
      <c r="U24" s="1571"/>
      <c r="V24" s="1570"/>
      <c r="W24" s="1571"/>
      <c r="X24" s="1564"/>
      <c r="Y24" s="3456"/>
      <c r="Z24" s="1572"/>
      <c r="AA24" s="1573">
        <v>1</v>
      </c>
      <c r="AB24" s="1573">
        <v>1</v>
      </c>
      <c r="AC24" s="1573">
        <v>1</v>
      </c>
    </row>
    <row r="25" spans="1:29" s="1217" customFormat="1" ht="42.75">
      <c r="A25" s="574"/>
      <c r="B25" s="2613"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456"/>
      <c r="Q25" s="1148" t="str">
        <f t="shared" si="8"/>
        <v>公共配套设施</v>
      </c>
      <c r="R25" s="1565" t="s">
        <v>8</v>
      </c>
      <c r="S25" s="1566">
        <f>F25</f>
        <v>100</v>
      </c>
      <c r="T25" s="1565" t="s">
        <v>8</v>
      </c>
      <c r="U25" s="1566">
        <f>H25</f>
        <v>100</v>
      </c>
      <c r="V25" s="1565" t="s">
        <v>8</v>
      </c>
      <c r="W25" s="1566">
        <f>J25</f>
        <v>100</v>
      </c>
      <c r="X25" s="1567"/>
      <c r="Y25" s="3456"/>
      <c r="Z25" s="1147" t="str">
        <f>Q25</f>
        <v>公共配套设施</v>
      </c>
      <c r="AA25" s="1573">
        <f>D25/F25</f>
        <v>1</v>
      </c>
      <c r="AB25" s="1573">
        <f>D25/H25</f>
        <v>1</v>
      </c>
      <c r="AC25" s="1573">
        <f>D25/J25</f>
        <v>1</v>
      </c>
    </row>
    <row r="26" spans="1:29" s="1217" customFormat="1" ht="15">
      <c r="A26" s="574"/>
      <c r="B26" s="592"/>
      <c r="C26" s="2612"/>
      <c r="D26" s="552"/>
      <c r="E26" s="551"/>
      <c r="F26" s="552"/>
      <c r="G26" s="551"/>
      <c r="H26" s="552"/>
      <c r="I26" s="573"/>
      <c r="J26" s="552"/>
      <c r="K26" s="528"/>
      <c r="L26" s="2132"/>
      <c r="M26" s="2133"/>
      <c r="N26" s="2133"/>
      <c r="O26" s="2134"/>
      <c r="P26" s="3456"/>
      <c r="Q26" s="1148"/>
      <c r="R26" s="1565"/>
      <c r="S26" s="1566"/>
      <c r="T26" s="1565"/>
      <c r="U26" s="1566"/>
      <c r="V26" s="1565"/>
      <c r="W26" s="1566"/>
      <c r="X26" s="1567"/>
      <c r="Y26" s="3456"/>
      <c r="Z26" s="1147"/>
      <c r="AA26" s="1568">
        <v>1</v>
      </c>
      <c r="AB26" s="1568">
        <v>1</v>
      </c>
      <c r="AC26" s="1568">
        <v>1</v>
      </c>
    </row>
    <row r="27" spans="1:29" s="1217" customFormat="1" ht="28.5">
      <c r="A27" s="574"/>
      <c r="B27" s="2613"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456"/>
      <c r="Q27" s="2598" t="str">
        <f t="shared" ref="Q27" si="9">B27</f>
        <v>基础设施水平</v>
      </c>
      <c r="R27" s="1565" t="s">
        <v>8</v>
      </c>
      <c r="S27" s="1566">
        <f>F27</f>
        <v>100</v>
      </c>
      <c r="T27" s="1565" t="s">
        <v>8</v>
      </c>
      <c r="U27" s="1566">
        <f>H27</f>
        <v>100</v>
      </c>
      <c r="V27" s="1565" t="s">
        <v>8</v>
      </c>
      <c r="W27" s="1566">
        <f>J27</f>
        <v>100</v>
      </c>
      <c r="X27" s="1567"/>
      <c r="Y27" s="3456"/>
      <c r="Z27" s="2595" t="str">
        <f>Q27</f>
        <v>基础设施水平</v>
      </c>
      <c r="AA27" s="1573">
        <f>D27/F27</f>
        <v>1</v>
      </c>
      <c r="AB27" s="1573">
        <f>D27/H27</f>
        <v>1</v>
      </c>
      <c r="AC27" s="1573">
        <f>D27/J27</f>
        <v>1</v>
      </c>
    </row>
    <row r="28" spans="1:29" s="1217" customFormat="1" ht="15">
      <c r="A28" s="574"/>
      <c r="B28" s="592"/>
      <c r="C28" s="2612"/>
      <c r="D28" s="552"/>
      <c r="E28" s="576"/>
      <c r="F28" s="552"/>
      <c r="G28" s="576"/>
      <c r="H28" s="552"/>
      <c r="I28" s="576"/>
      <c r="J28" s="552"/>
      <c r="K28" s="528"/>
      <c r="L28" s="2132"/>
      <c r="M28" s="2133"/>
      <c r="N28" s="2133"/>
      <c r="O28" s="2134"/>
      <c r="P28" s="3456"/>
      <c r="Q28" s="2598"/>
      <c r="R28" s="1565"/>
      <c r="S28" s="1566"/>
      <c r="T28" s="1565"/>
      <c r="U28" s="1566"/>
      <c r="V28" s="1565"/>
      <c r="W28" s="1566"/>
      <c r="X28" s="1567"/>
      <c r="Y28" s="3456"/>
      <c r="Z28" s="2595"/>
      <c r="AA28" s="1568">
        <v>1</v>
      </c>
      <c r="AB28" s="1568">
        <v>1</v>
      </c>
      <c r="AC28" s="1568">
        <v>1</v>
      </c>
    </row>
    <row r="29" spans="1:29" ht="15">
      <c r="A29" s="529"/>
      <c r="B29" s="592" t="s">
        <v>545</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45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56"/>
      <c r="Z29" s="1572" t="str">
        <f t="shared" ref="Z29:Z42" si="13">Q29</f>
        <v>临街状况</v>
      </c>
      <c r="AA29" s="1573">
        <f t="shared" si="3"/>
        <v>1</v>
      </c>
      <c r="AB29" s="1573">
        <f t="shared" si="4"/>
        <v>1</v>
      </c>
      <c r="AC29" s="1573">
        <f t="shared" si="5"/>
        <v>1</v>
      </c>
    </row>
    <row r="30" spans="1:29" ht="27">
      <c r="A30" s="529"/>
      <c r="B30" s="919" t="s">
        <v>546</v>
      </c>
      <c r="C30" s="261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456"/>
      <c r="Q30" s="1569" t="str">
        <f t="shared" si="8"/>
        <v>毗邻道路的类型与等级</v>
      </c>
      <c r="R30" s="1570" t="s">
        <v>8</v>
      </c>
      <c r="S30" s="1571">
        <f t="shared" si="10"/>
        <v>100</v>
      </c>
      <c r="T30" s="1570" t="s">
        <v>8</v>
      </c>
      <c r="U30" s="1571">
        <f t="shared" si="11"/>
        <v>100</v>
      </c>
      <c r="V30" s="1570" t="s">
        <v>8</v>
      </c>
      <c r="W30" s="1571">
        <f t="shared" si="12"/>
        <v>100</v>
      </c>
      <c r="X30" s="1564"/>
      <c r="Y30" s="345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39"/>
      <c r="M31" s="2131"/>
      <c r="N31" s="2131"/>
      <c r="O31" s="2138"/>
      <c r="P31" s="3456"/>
      <c r="Q31" s="1569"/>
      <c r="R31" s="1570"/>
      <c r="S31" s="1571"/>
      <c r="T31" s="1570"/>
      <c r="U31" s="1571"/>
      <c r="V31" s="1570"/>
      <c r="W31" s="1571"/>
      <c r="X31" s="1564"/>
      <c r="Y31" s="3456"/>
      <c r="Z31" s="1572"/>
      <c r="AA31" s="1573">
        <v>1</v>
      </c>
      <c r="AB31" s="1573">
        <v>1</v>
      </c>
      <c r="AC31" s="1573">
        <v>1</v>
      </c>
    </row>
    <row r="32" spans="1:29" ht="15">
      <c r="A32" s="529"/>
      <c r="B32" s="525" t="s">
        <v>547</v>
      </c>
      <c r="C32" s="261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456"/>
      <c r="Q32" s="1569" t="str">
        <f t="shared" si="8"/>
        <v>土地级别</v>
      </c>
      <c r="R32" s="1570" t="s">
        <v>8</v>
      </c>
      <c r="S32" s="1571">
        <f t="shared" si="10"/>
        <v>100</v>
      </c>
      <c r="T32" s="1570" t="s">
        <v>8</v>
      </c>
      <c r="U32" s="1571">
        <f t="shared" si="11"/>
        <v>100</v>
      </c>
      <c r="V32" s="1570" t="s">
        <v>8</v>
      </c>
      <c r="W32" s="1571">
        <f t="shared" si="12"/>
        <v>100</v>
      </c>
      <c r="X32" s="1564"/>
      <c r="Y32" s="3456"/>
      <c r="Z32" s="1572" t="str">
        <f t="shared" si="13"/>
        <v>土地级别</v>
      </c>
      <c r="AA32" s="1573">
        <f t="shared" si="3"/>
        <v>1</v>
      </c>
      <c r="AB32" s="1573">
        <f t="shared" si="4"/>
        <v>1</v>
      </c>
      <c r="AC32" s="1573">
        <f t="shared" si="5"/>
        <v>1</v>
      </c>
    </row>
    <row r="33" spans="1:29" ht="15">
      <c r="A33" s="513"/>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456"/>
      <c r="Q33" s="1569">
        <f t="shared" si="8"/>
        <v>111</v>
      </c>
      <c r="R33" s="1570" t="s">
        <v>8</v>
      </c>
      <c r="S33" s="1571">
        <f t="shared" si="10"/>
        <v>100</v>
      </c>
      <c r="T33" s="1570" t="s">
        <v>8</v>
      </c>
      <c r="U33" s="1571">
        <f t="shared" si="11"/>
        <v>100</v>
      </c>
      <c r="V33" s="1570" t="s">
        <v>8</v>
      </c>
      <c r="W33" s="1571">
        <f t="shared" si="12"/>
        <v>100</v>
      </c>
      <c r="X33" s="1564"/>
      <c r="Y33" s="345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457" t="s">
        <v>548</v>
      </c>
      <c r="Q34" s="1569">
        <f t="shared" si="8"/>
        <v>111</v>
      </c>
      <c r="R34" s="1570" t="s">
        <v>8</v>
      </c>
      <c r="S34" s="1571">
        <f t="shared" si="10"/>
        <v>100</v>
      </c>
      <c r="T34" s="1570" t="s">
        <v>8</v>
      </c>
      <c r="U34" s="1571">
        <f t="shared" si="11"/>
        <v>100</v>
      </c>
      <c r="V34" s="1570" t="s">
        <v>8</v>
      </c>
      <c r="W34" s="1571">
        <f t="shared" si="12"/>
        <v>100</v>
      </c>
      <c r="X34" s="1564"/>
      <c r="Y34" s="3458" t="s">
        <v>548</v>
      </c>
      <c r="Z34" s="1572">
        <f t="shared" si="13"/>
        <v>111</v>
      </c>
      <c r="AA34" s="1573">
        <f t="shared" si="3"/>
        <v>1</v>
      </c>
      <c r="AB34" s="1573">
        <f t="shared" si="4"/>
        <v>1</v>
      </c>
      <c r="AC34" s="1573">
        <f t="shared" si="5"/>
        <v>1</v>
      </c>
    </row>
    <row r="35" spans="1:29" s="1336" customFormat="1" ht="15.75" thickBot="1">
      <c r="A35" s="586"/>
      <c r="B35" s="2614">
        <v>111</v>
      </c>
      <c r="C35" s="590"/>
      <c r="D35" s="254">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458"/>
      <c r="Q35" s="1569">
        <f t="shared" si="8"/>
        <v>111</v>
      </c>
      <c r="R35" s="1574" t="s">
        <v>8</v>
      </c>
      <c r="S35" s="1575">
        <f t="shared" si="10"/>
        <v>100</v>
      </c>
      <c r="T35" s="1574" t="s">
        <v>8</v>
      </c>
      <c r="U35" s="1575">
        <f t="shared" si="11"/>
        <v>100</v>
      </c>
      <c r="V35" s="1574" t="s">
        <v>8</v>
      </c>
      <c r="W35" s="1575">
        <f t="shared" si="12"/>
        <v>100</v>
      </c>
      <c r="X35" s="1576"/>
      <c r="Y35" s="3458"/>
      <c r="Z35" s="1577">
        <f t="shared" si="13"/>
        <v>111</v>
      </c>
      <c r="AA35" s="1573">
        <f t="shared" si="3"/>
        <v>1</v>
      </c>
      <c r="AB35" s="1573">
        <f t="shared" si="4"/>
        <v>1</v>
      </c>
      <c r="AC35" s="1573">
        <f t="shared" si="5"/>
        <v>1</v>
      </c>
    </row>
    <row r="36" spans="1:29" ht="15">
      <c r="A36" s="2929" t="s">
        <v>2756</v>
      </c>
      <c r="B36" s="592" t="s">
        <v>550</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458"/>
      <c r="Q36" s="1569" t="str">
        <f>B36</f>
        <v>宗地面积</v>
      </c>
      <c r="R36" s="1570" t="s">
        <v>8</v>
      </c>
      <c r="S36" s="1571" t="e">
        <f t="shared" si="10"/>
        <v>#N/A</v>
      </c>
      <c r="T36" s="1570" t="s">
        <v>8</v>
      </c>
      <c r="U36" s="1571" t="e">
        <f t="shared" si="11"/>
        <v>#N/A</v>
      </c>
      <c r="V36" s="1570" t="s">
        <v>8</v>
      </c>
      <c r="W36" s="1571" t="e">
        <f t="shared" si="12"/>
        <v>#N/A</v>
      </c>
      <c r="X36" s="1564"/>
      <c r="Y36" s="3458"/>
      <c r="Z36" s="1572" t="str">
        <f t="shared" si="13"/>
        <v>宗地面积</v>
      </c>
      <c r="AA36" s="1573" t="e">
        <f t="shared" si="3"/>
        <v>#N/A</v>
      </c>
      <c r="AB36" s="1573" t="e">
        <f t="shared" si="4"/>
        <v>#N/A</v>
      </c>
      <c r="AC36" s="1573" t="e">
        <f t="shared" si="5"/>
        <v>#N/A</v>
      </c>
    </row>
    <row r="37" spans="1:29" ht="15">
      <c r="A37" s="591"/>
      <c r="B37" s="525" t="s">
        <v>551</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458"/>
      <c r="Q37" s="1569" t="str">
        <f t="shared" ref="Q37:Q42" si="14">B37</f>
        <v>宗地形状</v>
      </c>
      <c r="R37" s="1570" t="s">
        <v>8</v>
      </c>
      <c r="S37" s="1571">
        <f t="shared" si="10"/>
        <v>100</v>
      </c>
      <c r="T37" s="1570" t="s">
        <v>8</v>
      </c>
      <c r="U37" s="1571">
        <f t="shared" si="11"/>
        <v>100</v>
      </c>
      <c r="V37" s="1570" t="s">
        <v>8</v>
      </c>
      <c r="W37" s="1571">
        <f t="shared" si="12"/>
        <v>100</v>
      </c>
      <c r="X37" s="1564"/>
      <c r="Y37" s="3458"/>
      <c r="Z37" s="1572" t="str">
        <f t="shared" si="13"/>
        <v>宗地形状</v>
      </c>
      <c r="AA37" s="1573">
        <f t="shared" si="3"/>
        <v>1</v>
      </c>
      <c r="AB37" s="1573">
        <f t="shared" si="4"/>
        <v>1</v>
      </c>
      <c r="AC37" s="1573">
        <f t="shared" si="5"/>
        <v>1</v>
      </c>
    </row>
    <row r="38" spans="1:29" s="1217" customFormat="1" ht="15">
      <c r="A38" s="597"/>
      <c r="B38" s="1892" t="s">
        <v>2423</v>
      </c>
      <c r="C38" s="598"/>
      <c r="D38" s="253">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458"/>
      <c r="Q38" s="1569" t="str">
        <f t="shared" si="14"/>
        <v>宗地开发程度</v>
      </c>
      <c r="R38" s="1565" t="s">
        <v>8</v>
      </c>
      <c r="S38" s="1566">
        <f t="shared" si="10"/>
        <v>100</v>
      </c>
      <c r="T38" s="1565" t="s">
        <v>8</v>
      </c>
      <c r="U38" s="1566">
        <f t="shared" si="11"/>
        <v>100</v>
      </c>
      <c r="V38" s="1565" t="s">
        <v>8</v>
      </c>
      <c r="W38" s="1566">
        <f t="shared" si="12"/>
        <v>100</v>
      </c>
      <c r="X38" s="1567"/>
      <c r="Y38" s="3458"/>
      <c r="Z38" s="1147" t="str">
        <f t="shared" si="13"/>
        <v>宗地开发程度</v>
      </c>
      <c r="AA38" s="1568">
        <f t="shared" si="3"/>
        <v>1</v>
      </c>
      <c r="AB38" s="1568">
        <f t="shared" si="4"/>
        <v>1</v>
      </c>
      <c r="AC38" s="1568">
        <f t="shared" si="5"/>
        <v>1</v>
      </c>
    </row>
    <row r="39" spans="1:29" ht="15">
      <c r="A39" s="591"/>
      <c r="B39" s="525" t="s">
        <v>553</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58" t="s">
        <v>599</v>
      </c>
      <c r="Q39" s="1569" t="str">
        <f t="shared" si="14"/>
        <v>工程地质条件</v>
      </c>
      <c r="R39" s="1570" t="s">
        <v>8</v>
      </c>
      <c r="S39" s="1571">
        <f t="shared" si="10"/>
        <v>100</v>
      </c>
      <c r="T39" s="1570" t="s">
        <v>8</v>
      </c>
      <c r="U39" s="1571">
        <f t="shared" si="11"/>
        <v>100</v>
      </c>
      <c r="V39" s="1570" t="s">
        <v>8</v>
      </c>
      <c r="W39" s="1571">
        <f t="shared" si="12"/>
        <v>100</v>
      </c>
      <c r="X39" s="1564"/>
      <c r="Y39" s="3458" t="s">
        <v>599</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458"/>
      <c r="Q40" s="1569">
        <f t="shared" si="14"/>
        <v>111</v>
      </c>
      <c r="R40" s="1570" t="s">
        <v>8</v>
      </c>
      <c r="S40" s="1571">
        <f t="shared" si="10"/>
        <v>100</v>
      </c>
      <c r="T40" s="1570" t="s">
        <v>8</v>
      </c>
      <c r="U40" s="1571">
        <f t="shared" si="11"/>
        <v>100</v>
      </c>
      <c r="V40" s="1570" t="s">
        <v>8</v>
      </c>
      <c r="W40" s="1571">
        <f t="shared" si="12"/>
        <v>100</v>
      </c>
      <c r="X40" s="1564"/>
      <c r="Y40" s="345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458"/>
      <c r="Q41" s="1569">
        <f t="shared" si="14"/>
        <v>111</v>
      </c>
      <c r="R41" s="1570" t="s">
        <v>8</v>
      </c>
      <c r="S41" s="1571">
        <f t="shared" si="10"/>
        <v>100</v>
      </c>
      <c r="T41" s="1570" t="s">
        <v>8</v>
      </c>
      <c r="U41" s="1571">
        <f t="shared" si="11"/>
        <v>100</v>
      </c>
      <c r="V41" s="1570" t="s">
        <v>8</v>
      </c>
      <c r="W41" s="1571">
        <f t="shared" si="12"/>
        <v>100</v>
      </c>
      <c r="X41" s="1564"/>
      <c r="Y41" s="3458"/>
      <c r="Z41" s="1572">
        <f t="shared" si="13"/>
        <v>111</v>
      </c>
      <c r="AA41" s="1573">
        <f t="shared" si="3"/>
        <v>1</v>
      </c>
      <c r="AB41" s="1573">
        <f t="shared" si="4"/>
        <v>1</v>
      </c>
      <c r="AC41" s="1573">
        <f t="shared" si="5"/>
        <v>1</v>
      </c>
    </row>
    <row r="42" spans="1:29" s="1336" customFormat="1" ht="15.75" thickBot="1">
      <c r="A42" s="600"/>
      <c r="B42" s="599">
        <v>111</v>
      </c>
      <c r="C42" s="601"/>
      <c r="D42" s="254">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458"/>
      <c r="Q42" s="1569">
        <f t="shared" si="14"/>
        <v>111</v>
      </c>
      <c r="R42" s="1574" t="s">
        <v>8</v>
      </c>
      <c r="S42" s="1575">
        <f t="shared" si="10"/>
        <v>100</v>
      </c>
      <c r="T42" s="1574" t="s">
        <v>8</v>
      </c>
      <c r="U42" s="1575">
        <f t="shared" si="11"/>
        <v>100</v>
      </c>
      <c r="V42" s="1574" t="s">
        <v>8</v>
      </c>
      <c r="W42" s="1575">
        <f t="shared" si="12"/>
        <v>100</v>
      </c>
      <c r="X42" s="1576"/>
      <c r="Y42" s="3458"/>
      <c r="Z42" s="1577">
        <f t="shared" si="13"/>
        <v>111</v>
      </c>
      <c r="AA42" s="1573">
        <f t="shared" si="3"/>
        <v>1</v>
      </c>
      <c r="AB42" s="1573">
        <f t="shared" si="4"/>
        <v>1</v>
      </c>
      <c r="AC42" s="1573">
        <f t="shared" si="5"/>
        <v>1</v>
      </c>
    </row>
    <row r="43" spans="1:29" ht="15">
      <c r="A43" s="604" t="s">
        <v>554</v>
      </c>
      <c r="B43" s="605" t="s">
        <v>2936</v>
      </c>
      <c r="C43" s="606" t="s">
        <v>1</v>
      </c>
      <c r="D43" s="607"/>
      <c r="E43" s="608"/>
      <c r="F43" s="609"/>
      <c r="G43" s="610"/>
      <c r="H43" s="611"/>
      <c r="I43" s="608"/>
      <c r="J43" s="611"/>
      <c r="K43" s="1337"/>
      <c r="L43" s="2141"/>
      <c r="M43" s="2131"/>
      <c r="N43" s="2131"/>
      <c r="O43" s="2142"/>
      <c r="P43" s="3421" t="str">
        <f>A43</f>
        <v>成交单价</v>
      </c>
      <c r="Q43" s="3421"/>
      <c r="R43" s="3422">
        <f>E43</f>
        <v>0</v>
      </c>
      <c r="S43" s="3422"/>
      <c r="T43" s="3422">
        <f>G43</f>
        <v>0</v>
      </c>
      <c r="U43" s="3422"/>
      <c r="V43" s="3422">
        <f>I43</f>
        <v>0</v>
      </c>
      <c r="W43" s="3422"/>
      <c r="X43" s="1556"/>
      <c r="Y43" s="1578"/>
      <c r="Z43" s="1556"/>
      <c r="AA43" s="1556"/>
      <c r="AB43" s="1556"/>
      <c r="AC43" s="1556"/>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421" t="str">
        <f>A44</f>
        <v>比较价格（元/平方米）</v>
      </c>
      <c r="Q44" s="3421"/>
      <c r="R44" s="3423" t="e">
        <f>ROUND(PRODUCT(R43,AA9:AA42),0)</f>
        <v>#DIV/0!</v>
      </c>
      <c r="S44" s="3423"/>
      <c r="T44" s="3423" t="e">
        <f>ROUND(PRODUCT(T43,AB9:AB42),0)</f>
        <v>#DIV/0!</v>
      </c>
      <c r="U44" s="3423"/>
      <c r="V44" s="3423" t="e">
        <f>ROUND(PRODUCT(V43,AC9:AC42),0)</f>
        <v>#DIV/0!</v>
      </c>
      <c r="W44" s="3423"/>
      <c r="X44" s="1556"/>
      <c r="Y44" s="1556"/>
      <c r="Z44" s="1556"/>
      <c r="AA44" s="1556"/>
      <c r="AB44" s="1556"/>
      <c r="AC44" s="1556"/>
    </row>
    <row r="45" spans="1:29" ht="15.75" thickBot="1">
      <c r="A45" s="618" t="s">
        <v>2937</v>
      </c>
      <c r="B45" s="619"/>
      <c r="C45" s="620" t="e">
        <f>R45</f>
        <v>#DIV/0!</v>
      </c>
      <c r="D45" s="620"/>
      <c r="E45" s="620"/>
      <c r="F45" s="620"/>
      <c r="G45" s="620"/>
      <c r="H45" s="620"/>
      <c r="I45" s="620"/>
      <c r="J45" s="620"/>
      <c r="K45" s="1339"/>
      <c r="L45" s="2141"/>
      <c r="M45" s="2131"/>
      <c r="N45" s="2131"/>
      <c r="O45" s="2142"/>
      <c r="P45" s="3418" t="str">
        <f>A45</f>
        <v>估价对象XX用房的比较价格（楼面单价，元/平方米）</v>
      </c>
      <c r="Q45" s="3419"/>
      <c r="R45" s="3420" t="e">
        <f>ROUND(AVERAGE(R44:V44),0)</f>
        <v>#DIV/0!</v>
      </c>
      <c r="S45" s="3420"/>
      <c r="T45" s="3420"/>
      <c r="U45" s="3420"/>
      <c r="V45" s="3420"/>
      <c r="W45" s="342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555</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556</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557</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558</v>
      </c>
      <c r="B52" s="627" t="s">
        <v>559</v>
      </c>
      <c r="C52" s="1557" t="s">
        <v>1720</v>
      </c>
      <c r="D52" s="2224" t="s">
        <v>2291</v>
      </c>
      <c r="E52" s="628" t="s">
        <v>560</v>
      </c>
      <c r="F52" s="1948" t="s">
        <v>561</v>
      </c>
      <c r="G52" s="3465" t="s">
        <v>2282</v>
      </c>
      <c r="H52" s="3466"/>
      <c r="I52" s="1949" t="s">
        <v>1943</v>
      </c>
      <c r="J52" s="1552">
        <f>项目基本情况!F41</f>
        <v>0</v>
      </c>
      <c r="K52" s="2151" t="s">
        <v>1719</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562</v>
      </c>
      <c r="B53" s="631" t="e">
        <f>C45</f>
        <v>#DIV/0!</v>
      </c>
      <c r="C53" s="632">
        <v>1</v>
      </c>
      <c r="D53" s="2225">
        <v>1</v>
      </c>
      <c r="E53" s="632">
        <f>'数据-汇总表'!E8+'数据-汇总表'!E9</f>
        <v>241349.54</v>
      </c>
      <c r="F53" s="1947" t="e">
        <f t="shared" ref="F53:F62" si="15">ROUND(B53*E53/10000,0)</f>
        <v>#DIV/0!</v>
      </c>
      <c r="G53" s="3467"/>
      <c r="H53" s="3468"/>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563</v>
      </c>
      <c r="B54" s="635" t="e">
        <f>ROUND($C$45*C54*D54,0)</f>
        <v>#DIV/0!</v>
      </c>
      <c r="C54" s="376">
        <f t="shared" ref="C54:C62" si="16">IF($C$52="北京市系数",I54,J54)</f>
        <v>0</v>
      </c>
      <c r="D54" s="2226">
        <v>0.25</v>
      </c>
      <c r="E54" s="636"/>
      <c r="F54" s="1947" t="e">
        <f t="shared" si="15"/>
        <v>#DIV/0!</v>
      </c>
      <c r="G54" s="3469" t="s">
        <v>2283</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564</v>
      </c>
      <c r="B55" s="635" t="e">
        <f t="shared" ref="B55:B62" si="17">ROUND($C$45*C55*D55,0)</f>
        <v>#DIV/0!</v>
      </c>
      <c r="C55" s="376">
        <f t="shared" si="16"/>
        <v>0</v>
      </c>
      <c r="D55" s="2226">
        <v>0.25</v>
      </c>
      <c r="E55" s="636"/>
      <c r="F55" s="1947" t="e">
        <f t="shared" si="15"/>
        <v>#DIV/0!</v>
      </c>
      <c r="G55" s="3469"/>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565</v>
      </c>
      <c r="B56" s="635" t="e">
        <f t="shared" si="17"/>
        <v>#DIV/0!</v>
      </c>
      <c r="C56" s="376">
        <f t="shared" si="16"/>
        <v>0</v>
      </c>
      <c r="D56" s="2226">
        <v>0.25</v>
      </c>
      <c r="E56" s="636"/>
      <c r="F56" s="1947" t="e">
        <f t="shared" si="15"/>
        <v>#DIV/0!</v>
      </c>
      <c r="G56" s="3469"/>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566</v>
      </c>
      <c r="B57" s="635" t="e">
        <f t="shared" si="17"/>
        <v>#DIV/0!</v>
      </c>
      <c r="C57" s="376">
        <f t="shared" si="16"/>
        <v>0</v>
      </c>
      <c r="D57" s="2226">
        <v>0.25</v>
      </c>
      <c r="E57" s="636"/>
      <c r="F57" s="1947" t="e">
        <f t="shared" si="15"/>
        <v>#DIV/0!</v>
      </c>
      <c r="G57" s="3469"/>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2326</v>
      </c>
      <c r="B58" s="635" t="e">
        <f t="shared" si="17"/>
        <v>#DIV/0!</v>
      </c>
      <c r="C58" s="376">
        <f t="shared" si="16"/>
        <v>0</v>
      </c>
      <c r="D58" s="2226">
        <v>0.25</v>
      </c>
      <c r="E58" s="638">
        <f>'数据-汇总表'!E11</f>
        <v>0</v>
      </c>
      <c r="F58" s="1947" t="e">
        <f t="shared" si="15"/>
        <v>#DIV/0!</v>
      </c>
      <c r="G58" s="1953" t="s">
        <v>2284</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567</v>
      </c>
      <c r="B59" s="635" t="e">
        <f t="shared" si="17"/>
        <v>#DIV/0!</v>
      </c>
      <c r="C59" s="376">
        <f t="shared" si="16"/>
        <v>0</v>
      </c>
      <c r="D59" s="2226">
        <v>0.25</v>
      </c>
      <c r="E59" s="638">
        <f>'数据-汇总表'!E12</f>
        <v>0</v>
      </c>
      <c r="F59" s="1947" t="e">
        <f t="shared" si="15"/>
        <v>#DIV/0!</v>
      </c>
      <c r="G59" s="1943" t="s">
        <v>1673</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568</v>
      </c>
      <c r="B60" s="635" t="e">
        <f t="shared" si="17"/>
        <v>#DIV/0!</v>
      </c>
      <c r="C60" s="376">
        <f t="shared" si="16"/>
        <v>0</v>
      </c>
      <c r="D60" s="2226">
        <v>0.25</v>
      </c>
      <c r="E60" s="638">
        <f>'数据-汇总表'!E13</f>
        <v>0</v>
      </c>
      <c r="F60" s="1947" t="e">
        <f t="shared" si="15"/>
        <v>#DIV/0!</v>
      </c>
      <c r="G60" s="1943" t="s">
        <v>918</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569</v>
      </c>
      <c r="B61" s="635" t="e">
        <f t="shared" si="17"/>
        <v>#DIV/0!</v>
      </c>
      <c r="C61" s="376">
        <f t="shared" si="16"/>
        <v>0</v>
      </c>
      <c r="D61" s="2226">
        <v>0.25</v>
      </c>
      <c r="E61" s="638">
        <f>'数据-汇总表'!E14</f>
        <v>0</v>
      </c>
      <c r="F61" s="1947" t="e">
        <f t="shared" si="15"/>
        <v>#DIV/0!</v>
      </c>
      <c r="G61" s="1953" t="s">
        <v>2283</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570</v>
      </c>
      <c r="B62" s="635" t="e">
        <f t="shared" si="17"/>
        <v>#DIV/0!</v>
      </c>
      <c r="C62" s="376">
        <f t="shared" si="16"/>
        <v>0</v>
      </c>
      <c r="D62" s="2226">
        <v>0.25</v>
      </c>
      <c r="E62" s="638">
        <f>'数据-汇总表'!E15</f>
        <v>0</v>
      </c>
      <c r="F62" s="1947" t="e">
        <f t="shared" si="15"/>
        <v>#DIV/0!</v>
      </c>
      <c r="G62" s="1954" t="s">
        <v>2284</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571</v>
      </c>
      <c r="B63" s="640" t="s">
        <v>17</v>
      </c>
      <c r="C63" s="640" t="s">
        <v>18</v>
      </c>
      <c r="D63" s="640" t="s">
        <v>2292</v>
      </c>
      <c r="E63" s="640">
        <f>IF(B43="楼面地价",SUM(E53:E62),'数据-汇总表'!D3)</f>
        <v>72299.64</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2018-1-1</v>
      </c>
      <c r="D65" s="2821">
        <f>EDATE(C65,-3)</f>
        <v>43009</v>
      </c>
      <c r="E65" s="2821">
        <f t="shared" ref="E65:N65" si="18">EDATE(D65,-3)</f>
        <v>42917</v>
      </c>
      <c r="F65" s="2821">
        <f t="shared" si="18"/>
        <v>42826</v>
      </c>
      <c r="G65" s="2821">
        <f t="shared" si="18"/>
        <v>42736</v>
      </c>
      <c r="H65" s="2821">
        <f t="shared" si="18"/>
        <v>42644</v>
      </c>
      <c r="I65" s="2821">
        <f t="shared" si="18"/>
        <v>42552</v>
      </c>
      <c r="J65" s="2821">
        <f t="shared" si="18"/>
        <v>42461</v>
      </c>
      <c r="K65" s="2821">
        <f t="shared" si="18"/>
        <v>42370</v>
      </c>
      <c r="L65" s="2821">
        <f t="shared" si="18"/>
        <v>42278</v>
      </c>
      <c r="M65" s="2821">
        <f t="shared" si="18"/>
        <v>42186</v>
      </c>
      <c r="N65" s="2821">
        <f t="shared" si="18"/>
        <v>42095</v>
      </c>
      <c r="O65" s="2142"/>
      <c r="P65" s="2142"/>
      <c r="Q65" s="2142"/>
      <c r="R65" s="2142"/>
      <c r="S65" s="2142"/>
      <c r="T65" s="2142"/>
      <c r="U65" s="2142"/>
      <c r="V65" s="2142"/>
      <c r="W65" s="2142"/>
      <c r="X65" s="2142"/>
      <c r="Y65" s="2142"/>
      <c r="Z65" s="2142"/>
      <c r="AA65" s="2142"/>
      <c r="AB65" s="2142"/>
      <c r="AC65" s="2142"/>
    </row>
    <row r="66" spans="1:29" ht="21.75" thickBot="1">
      <c r="A66" s="1581" t="s">
        <v>572</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4" customFormat="1" ht="15">
      <c r="A67" s="2588" t="s">
        <v>2532</v>
      </c>
      <c r="B67" s="643"/>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7" customFormat="1" ht="27.75" customHeight="1">
      <c r="A68" s="2820" t="s">
        <v>2650</v>
      </c>
      <c r="B68" s="477" t="str">
        <f>"北京市平均增长率"&amp;TEXT(基准地价!P24,"0.00%")</f>
        <v>北京市平均增长率0.00%</v>
      </c>
      <c r="C68" s="891">
        <v>100</v>
      </c>
      <c r="D68" s="727"/>
      <c r="E68" s="727"/>
      <c r="F68" s="727"/>
      <c r="G68" s="727"/>
      <c r="H68" s="727"/>
      <c r="I68" s="727"/>
      <c r="J68" s="727"/>
      <c r="K68" s="727"/>
      <c r="L68" s="727"/>
      <c r="M68" s="2814"/>
      <c r="N68" s="2815"/>
      <c r="O68" s="2159"/>
      <c r="P68" s="2155"/>
      <c r="Q68" s="1990"/>
      <c r="R68" s="1990"/>
      <c r="S68" s="1990"/>
      <c r="T68" s="1990"/>
      <c r="U68" s="1990"/>
      <c r="V68" s="1990"/>
      <c r="W68" s="1990"/>
      <c r="X68" s="1990"/>
      <c r="Y68" s="1990"/>
      <c r="Z68" s="1990"/>
      <c r="AA68" s="1990"/>
      <c r="AB68" s="1990"/>
      <c r="AC68" s="1990"/>
    </row>
    <row r="69" spans="1:29" s="1217" customFormat="1" ht="15.75" thickBot="1">
      <c r="A69" s="650" t="s">
        <v>573</v>
      </c>
      <c r="B69" s="651"/>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7" customFormat="1" ht="15">
      <c r="A70" s="656" t="s">
        <v>529</v>
      </c>
      <c r="B70" s="645"/>
      <c r="C70" s="657" t="s">
        <v>574</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575</v>
      </c>
      <c r="B72" s="662" t="s">
        <v>532</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535</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536</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537</v>
      </c>
      <c r="B85" s="662" t="s">
        <v>600</v>
      </c>
      <c r="C85" s="700" t="s">
        <v>577</v>
      </c>
      <c r="D85" s="700" t="s">
        <v>578</v>
      </c>
      <c r="E85" s="700" t="s">
        <v>579</v>
      </c>
      <c r="F85" s="700" t="s">
        <v>580</v>
      </c>
      <c r="G85" s="700" t="s">
        <v>581</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584</v>
      </c>
      <c r="C87" s="705" t="s">
        <v>577</v>
      </c>
      <c r="D87" s="705" t="s">
        <v>578</v>
      </c>
      <c r="E87" s="705" t="s">
        <v>579</v>
      </c>
      <c r="F87" s="705" t="s">
        <v>580</v>
      </c>
      <c r="G87" s="705" t="s">
        <v>581</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585</v>
      </c>
      <c r="C89" s="705" t="s">
        <v>577</v>
      </c>
      <c r="D89" s="705" t="s">
        <v>578</v>
      </c>
      <c r="E89" s="705" t="s">
        <v>579</v>
      </c>
      <c r="F89" s="705" t="s">
        <v>580</v>
      </c>
      <c r="G89" s="705" t="s">
        <v>581</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586</v>
      </c>
      <c r="C91" s="700" t="s">
        <v>577</v>
      </c>
      <c r="D91" s="700" t="s">
        <v>578</v>
      </c>
      <c r="E91" s="700" t="s">
        <v>579</v>
      </c>
      <c r="F91" s="700" t="s">
        <v>580</v>
      </c>
      <c r="G91" s="700" t="s">
        <v>581</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2547</v>
      </c>
      <c r="C93" s="700" t="s">
        <v>577</v>
      </c>
      <c r="D93" s="700" t="s">
        <v>578</v>
      </c>
      <c r="E93" s="700" t="s">
        <v>579</v>
      </c>
      <c r="F93" s="700" t="s">
        <v>580</v>
      </c>
      <c r="G93" s="700" t="s">
        <v>581</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617" t="s">
        <v>2549</v>
      </c>
      <c r="C95" s="2618" t="s">
        <v>2550</v>
      </c>
      <c r="D95" s="2618" t="s">
        <v>2551</v>
      </c>
      <c r="E95" s="2618" t="s">
        <v>2552</v>
      </c>
      <c r="F95" s="2618" t="s">
        <v>2553</v>
      </c>
      <c r="G95" s="2618" t="s">
        <v>2554</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0"/>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587</v>
      </c>
      <c r="D97" s="671" t="s">
        <v>588</v>
      </c>
      <c r="E97" s="671" t="s">
        <v>589</v>
      </c>
      <c r="F97" s="671" t="s">
        <v>590</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546</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547</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549</v>
      </c>
      <c r="B109" s="662" t="s">
        <v>591</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5" t="str">
        <f t="shared" si="25"/>
        <v>(含)-</v>
      </c>
      <c r="L109" s="3116" t="str">
        <f t="shared" si="25"/>
        <v>(含)-</v>
      </c>
      <c r="M109" s="311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592</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2424</v>
      </c>
      <c r="C114" s="1373"/>
      <c r="D114" s="1373"/>
      <c r="E114" s="1373"/>
      <c r="F114" s="1373"/>
      <c r="G114" s="1373"/>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594</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1690</v>
      </c>
      <c r="B1" s="1397"/>
      <c r="C1" s="1403" t="s">
        <v>2425</v>
      </c>
      <c r="D1" s="1518">
        <f>SUM(D29:D30,D33:D39)</f>
        <v>0</v>
      </c>
      <c r="E1" s="1403" t="s">
        <v>2426</v>
      </c>
      <c r="F1" s="2472"/>
      <c r="G1" s="1398"/>
      <c r="H1" s="1398"/>
      <c r="I1" s="1398"/>
      <c r="J1" s="1398"/>
      <c r="K1" s="1398"/>
      <c r="L1" s="1879" t="s">
        <v>2236</v>
      </c>
      <c r="M1" s="1880">
        <f>SUMPRODUCT((区片价!B5:B9=I2)*(区片价!C3:F3=E2)*(区片价!C5:F9))</f>
        <v>0</v>
      </c>
      <c r="N1" s="1881">
        <f>SUMPRODUCT((因素修正幅度!B5:B9=I2)*(因素修正幅度!C3:F3=E2)*(因素修正幅度!C5:F9))</f>
        <v>0</v>
      </c>
      <c r="O1" s="2186"/>
      <c r="P1" s="2186"/>
      <c r="Q1" s="2186"/>
      <c r="R1" s="2958" t="s">
        <v>2763</v>
      </c>
      <c r="S1" s="2958" t="s">
        <v>2764</v>
      </c>
      <c r="T1" s="2958" t="s">
        <v>2785</v>
      </c>
      <c r="U1" s="2958" t="s">
        <v>2786</v>
      </c>
      <c r="V1" s="2958" t="s">
        <v>2787</v>
      </c>
      <c r="W1" s="2186"/>
      <c r="X1" s="2186"/>
      <c r="Y1" s="2186"/>
      <c r="Z1" s="2186"/>
      <c r="AA1" s="2186"/>
      <c r="AB1" s="2186"/>
      <c r="AC1" s="2187"/>
    </row>
    <row r="2" spans="1:39" ht="15.75">
      <c r="A2" s="1403" t="s">
        <v>915</v>
      </c>
      <c r="B2" s="1035" t="e">
        <f>C26</f>
        <v>#DIV/0!</v>
      </c>
      <c r="C2" s="1404" t="s">
        <v>916</v>
      </c>
      <c r="D2" s="1405" t="s">
        <v>917</v>
      </c>
      <c r="E2" s="1406"/>
      <c r="F2" s="1405" t="s">
        <v>919</v>
      </c>
      <c r="G2" s="1649">
        <f>IF(E2="商业",项目基本情况!B43,IF(E2="办公",项目基本情况!C43,IF(E2="住宅",项目基本情况!D43,项目基本情况!E43)))</f>
        <v>0</v>
      </c>
      <c r="H2" s="1405" t="s">
        <v>921</v>
      </c>
      <c r="I2" s="1650">
        <f>IF(E2="商业",项目基本情况!B44,IF(E2="办公",项目基本情况!C44,IF(E2="住宅",项目基本情况!D44,项目基本情况!E44)))</f>
        <v>0</v>
      </c>
      <c r="J2" s="1407"/>
      <c r="K2" s="1398"/>
      <c r="L2" s="1882" t="s">
        <v>2237</v>
      </c>
      <c r="M2" s="1883">
        <f>SUMPRODUCT((区片价!B10:B28=I2)*(区片价!C3:F3=E2)*(区片价!C10:F28))</f>
        <v>0</v>
      </c>
      <c r="N2" s="1884">
        <f>SUMPRODUCT((因素修正幅度!B10:B28=I2)*(因素修正幅度!C3:F3=E2)*(因素修正幅度!C10:F28))</f>
        <v>0</v>
      </c>
      <c r="O2" s="2186"/>
      <c r="P2" s="2186"/>
      <c r="Q2" s="2186"/>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6"/>
      <c r="X2" s="2186"/>
      <c r="Y2" s="2186"/>
      <c r="Z2" s="2186"/>
      <c r="AA2" s="2186"/>
      <c r="AB2" s="2186"/>
      <c r="AC2" s="2187"/>
    </row>
    <row r="3" spans="1:39" ht="15.75">
      <c r="A3" s="1408" t="s">
        <v>1683</v>
      </c>
      <c r="B3" s="1035" t="e">
        <f>ROUND(B2*10000/D1,0)</f>
        <v>#DIV/0!</v>
      </c>
      <c r="C3" s="1404" t="s">
        <v>922</v>
      </c>
      <c r="D3" s="1405" t="s">
        <v>923</v>
      </c>
      <c r="E3" s="1409"/>
      <c r="F3" s="1410" t="s">
        <v>2938</v>
      </c>
      <c r="G3" s="1036">
        <f>IF(F3="宗地容积率",'数据-汇总表'!I4,IF(F3="估价对象容积率",'数据-汇总表'!I6,'数据-汇总表'!I7))</f>
        <v>3.42</v>
      </c>
      <c r="H3" s="1411" t="s">
        <v>924</v>
      </c>
      <c r="I3" s="1037">
        <v>8</v>
      </c>
      <c r="J3" s="1407" t="s">
        <v>925</v>
      </c>
      <c r="K3" s="1398"/>
      <c r="L3" s="1882" t="s">
        <v>2238</v>
      </c>
      <c r="M3" s="1883">
        <f>SUMPRODUCT((区片价!B29:B48=I2)*(区片价!C3:F3=E2)*(区片价!C29:F48))</f>
        <v>0</v>
      </c>
      <c r="N3" s="1884">
        <f>SUMPRODUCT((因素修正幅度!B29:B48=I2)*(因素修正幅度!C3:F3=E2)*(因素修正幅度!C29:F48))</f>
        <v>0</v>
      </c>
      <c r="O3" s="2186"/>
      <c r="P3" s="2186"/>
      <c r="Q3" s="2186"/>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6"/>
      <c r="X3" s="2186"/>
      <c r="Y3" s="2186"/>
      <c r="Z3" s="2186"/>
      <c r="AA3" s="2186"/>
      <c r="AB3" s="2186"/>
      <c r="AC3" s="2187"/>
    </row>
    <row r="4" spans="1:39" ht="28.5">
      <c r="A4" s="1888" t="s">
        <v>2278</v>
      </c>
      <c r="B4" s="2473" t="e">
        <f>ROUND(B2*10000/F1,0)</f>
        <v>#DIV/0!</v>
      </c>
      <c r="C4" s="1891" t="s">
        <v>2252</v>
      </c>
      <c r="D4" s="1891" t="e">
        <f>ROUND(B2/(F1/666.67),0)</f>
        <v>#DIV/0!</v>
      </c>
      <c r="E4" s="1891" t="s">
        <v>2253</v>
      </c>
      <c r="F4" s="1889"/>
      <c r="G4" s="1889"/>
      <c r="H4" s="1889"/>
      <c r="I4" s="1889"/>
      <c r="J4" s="1890"/>
      <c r="K4" s="1398"/>
      <c r="L4" s="1882" t="s">
        <v>2239</v>
      </c>
      <c r="M4" s="1883">
        <f>SUMPRODUCT((区片价!B49:B75=I2)*(区片价!C3:F3=E2)*(区片价!C49:F75))</f>
        <v>0</v>
      </c>
      <c r="N4" s="1884">
        <f>SUMPRODUCT((因素修正幅度!B49:B75=I2)*(因素修正幅度!C3:F3=E2)*(因素修正幅度!C49:F75))</f>
        <v>0</v>
      </c>
      <c r="O4" s="2186"/>
      <c r="P4" s="2186"/>
      <c r="Q4" s="2186"/>
      <c r="R4" s="2959">
        <v>3</v>
      </c>
      <c r="S4" s="2959">
        <f>ROUND(IF(G3&gt;1,IF(R4&lt;7,SUMPRODUCT((B93:B98=R4)*(C92:N92=G2)*(C93:N98)),SUMIF(C92:N92,G2,C100:N100)),IF(R4&lt;7,SUMPRODUCT((B102:B107=R4)*(C92:N92=G2)*(C102:N107)),SUMIF(C92:N92,G2,C109:N109))),4)</f>
        <v>0</v>
      </c>
      <c r="T4" s="2959" t="e">
        <f t="shared" si="0"/>
        <v>#DIV/0!</v>
      </c>
      <c r="U4" s="2948"/>
      <c r="V4" s="2959" t="e">
        <f t="shared" si="1"/>
        <v>#DIV/0!</v>
      </c>
      <c r="W4" s="2186"/>
      <c r="X4" s="2186"/>
      <c r="Y4" s="2186"/>
      <c r="Z4" s="2186"/>
      <c r="AA4" s="2186"/>
      <c r="AB4" s="2186"/>
      <c r="AC4" s="2187"/>
    </row>
    <row r="5" spans="1:39" s="1418" customFormat="1" ht="15.75" thickBot="1">
      <c r="A5" s="1635" t="s">
        <v>1819</v>
      </c>
      <c r="B5" s="1412" t="s">
        <v>926</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2" t="s">
        <v>2240</v>
      </c>
      <c r="M5" s="1883">
        <f>SUMPRODUCT((区片价!B76:B109=I2)*(区片价!C3:F3=E2)*(区片价!C76:F109))</f>
        <v>0</v>
      </c>
      <c r="N5" s="1884">
        <f>SUMPRODUCT((因素修正幅度!B76:B109=I2)*(因素修正幅度!C3:F3=E2)*(因素修正幅度!C76:F109))</f>
        <v>0</v>
      </c>
      <c r="O5" s="2186"/>
      <c r="P5" s="2186"/>
      <c r="Q5" s="2186"/>
      <c r="R5" s="2959">
        <v>4</v>
      </c>
      <c r="S5" s="2959">
        <f>ROUND(IF(G3&gt;1,IF(R5&lt;7,SUMPRODUCT((B93:B98=R5)*(C92:N92=G2)*(C93:N98)),SUMIF(C92:N92,G2,C100:N100)),IF(R5&lt;7,SUMPRODUCT((B102:B107=R5)*(C92:N92=G2)*(C102:N107)),SUMIF(C92:N92,G2,C109:N109))),4)</f>
        <v>0</v>
      </c>
      <c r="T5" s="2959" t="e">
        <f t="shared" si="0"/>
        <v>#DIV/0!</v>
      </c>
      <c r="U5" s="2948"/>
      <c r="V5" s="2959"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1866</v>
      </c>
      <c r="B6" s="1419" t="s">
        <v>926</v>
      </c>
      <c r="C6" s="1039">
        <f>SUMIF(L1:L12,基准地价!G2,M1:M12)</f>
        <v>0</v>
      </c>
      <c r="D6" s="1420" t="s">
        <v>1691</v>
      </c>
      <c r="E6" s="1421"/>
      <c r="F6" s="1421"/>
      <c r="G6" s="1422"/>
      <c r="H6" s="1422"/>
      <c r="I6" s="1422"/>
      <c r="J6" s="1423"/>
      <c r="K6" s="1592"/>
      <c r="L6" s="1882" t="s">
        <v>2241</v>
      </c>
      <c r="M6" s="1883">
        <f>SUMPRODUCT((区片价!B110:B157=I2)*(区片价!C3:F3=E2)*(区片价!C110:F157))</f>
        <v>0</v>
      </c>
      <c r="N6" s="1884">
        <f>SUMPRODUCT((因素修正幅度!B110:B157=I2)*(因素修正幅度!C3:F3=E2)*(因素修正幅度!C110:F157))</f>
        <v>0</v>
      </c>
      <c r="O6" s="2186"/>
      <c r="P6" s="2186"/>
      <c r="Q6" s="2186"/>
      <c r="R6" s="2959">
        <v>5</v>
      </c>
      <c r="S6" s="2959">
        <f>ROUND(IF(G3&gt;1,IF(R6&lt;7,SUMPRODUCT((B93:B98=R6)*(C92:N92=G2)*(C93:N98)),SUMIF(C92:N92,G2,C100:N100)),IF(R6&lt;7,SUMPRODUCT((B102:B107=R6)*(C92:N92=G2)*(C102:N107)),SUMIF(C92:N92,G2,C109:N109))),4)</f>
        <v>0</v>
      </c>
      <c r="T6" s="2959" t="e">
        <f t="shared" si="0"/>
        <v>#DIV/0!</v>
      </c>
      <c r="U6" s="2948"/>
      <c r="V6" s="2959" t="e">
        <f t="shared" si="1"/>
        <v>#DIV/0!</v>
      </c>
      <c r="W6" s="2186"/>
      <c r="X6" s="2186"/>
      <c r="Y6" s="2186"/>
      <c r="Z6" s="2186"/>
      <c r="AA6" s="2186"/>
      <c r="AB6" s="2186"/>
      <c r="AC6" s="2188"/>
      <c r="AD6" s="1416"/>
      <c r="AE6" s="1416"/>
      <c r="AF6" s="1416"/>
      <c r="AG6" s="1416"/>
      <c r="AH6" s="1416"/>
      <c r="AI6" s="1416"/>
      <c r="AJ6" s="1417"/>
    </row>
    <row r="7" spans="1:39" ht="24">
      <c r="A7" s="3479" t="str">
        <f>IF(E2="商业",IF(C8="不临58条商业街","",2),"")</f>
        <v/>
      </c>
      <c r="B7" s="1424" t="s">
        <v>927</v>
      </c>
      <c r="C7" s="1040" t="e">
        <f>IF(C8="不临58条商业街",1,ROUND(1+(1.6*E8+1.2*E9+0.8*E10+0.4*E11)*C9,4))</f>
        <v>#DIV/0!</v>
      </c>
      <c r="D7" s="1425" t="s">
        <v>928</v>
      </c>
      <c r="E7" s="1041"/>
      <c r="F7" s="1426"/>
      <c r="G7" s="1427"/>
      <c r="H7" s="1427"/>
      <c r="I7" s="1427"/>
      <c r="J7" s="1428"/>
      <c r="K7" s="1592"/>
      <c r="L7" s="1882" t="s">
        <v>2242</v>
      </c>
      <c r="M7" s="1883">
        <f>SUMPRODUCT((区片价!B158:B205=I2)*(区片价!C3:F3=E2)*(区片价!C158:F205))</f>
        <v>0</v>
      </c>
      <c r="N7" s="1884">
        <f>SUMPRODUCT((因素修正幅度!B158:B205=I2)*(因素修正幅度!C3:F3=E2)*(因素修正幅度!C158:F205))</f>
        <v>0</v>
      </c>
      <c r="O7" s="2186"/>
      <c r="P7" s="2186"/>
      <c r="Q7" s="2186"/>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3.42</v>
      </c>
      <c r="AA7" s="2189"/>
      <c r="AB7" s="2189"/>
      <c r="AC7" s="2190"/>
      <c r="AD7" s="2951"/>
      <c r="AE7" s="2951"/>
      <c r="AF7" s="2951"/>
      <c r="AG7" s="2951"/>
      <c r="AH7" s="2951"/>
      <c r="AI7" s="2951"/>
      <c r="AJ7" s="2952"/>
    </row>
    <row r="8" spans="1:39" ht="15">
      <c r="A8" s="3480"/>
      <c r="B8" s="1411" t="s">
        <v>929</v>
      </c>
      <c r="C8" s="1526"/>
      <c r="D8" s="1042" t="s">
        <v>930</v>
      </c>
      <c r="E8" s="1043" t="e">
        <f>ROUND(C11/E7,4)</f>
        <v>#DIV/0!</v>
      </c>
      <c r="F8" s="1429" t="s">
        <v>931</v>
      </c>
      <c r="G8" s="1430"/>
      <c r="H8" s="1430"/>
      <c r="I8" s="1430"/>
      <c r="J8" s="1431"/>
      <c r="K8" s="1398"/>
      <c r="L8" s="1882" t="s">
        <v>2243</v>
      </c>
      <c r="M8" s="1883">
        <f>SUMPRODUCT((区片价!B206:B244=I2)*(区片价!C3:F3=E2)*(区片价!C206:F244))</f>
        <v>0</v>
      </c>
      <c r="N8" s="1884">
        <f>SUMPRODUCT((因素修正幅度!B206:B244=I2)*(因素修正幅度!C3:F3=E2)*(因素修正幅度!C206:F244))</f>
        <v>0</v>
      </c>
      <c r="O8" s="2186"/>
      <c r="P8" s="2186"/>
      <c r="Q8" s="2186"/>
      <c r="R8" s="2959">
        <v>7</v>
      </c>
      <c r="S8" s="2948"/>
      <c r="T8" s="2959" t="e">
        <f t="shared" si="0"/>
        <v>#DIV/0!</v>
      </c>
      <c r="U8" s="2948"/>
      <c r="V8" s="2959" t="e">
        <f t="shared" si="1"/>
        <v>#DIV/0!</v>
      </c>
      <c r="W8" s="3471" t="s">
        <v>2784</v>
      </c>
      <c r="X8" s="3472"/>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80"/>
      <c r="B9" s="1411" t="s">
        <v>932</v>
      </c>
      <c r="C9" s="1044">
        <f>SUMIF(修正!C59:C119,C8,修正!E59:E119)</f>
        <v>0</v>
      </c>
      <c r="D9" s="1045" t="s">
        <v>933</v>
      </c>
      <c r="E9" s="1045" t="e">
        <f>ROUND(C11/E7,4)</f>
        <v>#DIV/0!</v>
      </c>
      <c r="F9" s="1429" t="s">
        <v>934</v>
      </c>
      <c r="G9" s="1430"/>
      <c r="H9" s="1430"/>
      <c r="I9" s="1430"/>
      <c r="J9" s="1431"/>
      <c r="K9" s="1398"/>
      <c r="L9" s="1882" t="s">
        <v>2244</v>
      </c>
      <c r="M9" s="1883">
        <f>SUMPRODUCT((区片价!B245:B289=I2)*(区片价!C3:F3=E2)*(区片价!C245:F289))</f>
        <v>0</v>
      </c>
      <c r="N9" s="1884">
        <f>SUMPRODUCT((因素修正幅度!B245:B289=I2)*(因素修正幅度!C3:F3=E2)*(因素修正幅度!C245:F289))</f>
        <v>0</v>
      </c>
      <c r="O9" s="2186"/>
      <c r="P9" s="2186"/>
      <c r="Q9" s="2186"/>
      <c r="R9" s="2959">
        <v>8</v>
      </c>
      <c r="S9" s="2948"/>
      <c r="T9" s="2959" t="e">
        <f t="shared" si="0"/>
        <v>#DIV/0!</v>
      </c>
      <c r="U9" s="2948"/>
      <c r="V9" s="2959" t="e">
        <f t="shared" si="1"/>
        <v>#DIV/0!</v>
      </c>
      <c r="W9" s="3470" t="s">
        <v>2780</v>
      </c>
      <c r="X9" s="2953" t="s">
        <v>2781</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80"/>
      <c r="B10" s="1411" t="s">
        <v>935</v>
      </c>
      <c r="C10" s="1045">
        <f>SUMIF(修正!C59:C119,C8,修正!F59:F119)</f>
        <v>0</v>
      </c>
      <c r="D10" s="1045" t="s">
        <v>936</v>
      </c>
      <c r="E10" s="1045" t="e">
        <f>ROUND(C11/E7,4)</f>
        <v>#DIV/0!</v>
      </c>
      <c r="F10" s="1429" t="s">
        <v>937</v>
      </c>
      <c r="G10" s="1430"/>
      <c r="H10" s="1430"/>
      <c r="I10" s="1430"/>
      <c r="J10" s="1431"/>
      <c r="K10" s="1398"/>
      <c r="L10" s="1882" t="s">
        <v>2245</v>
      </c>
      <c r="M10" s="1883">
        <f>SUMPRODUCT((区片价!B290:B316=I2)*(区片价!C3:F3=E2)*(区片价!C290:F316))</f>
        <v>0</v>
      </c>
      <c r="N10" s="1884">
        <f>SUMPRODUCT((因素修正幅度!B290:B316=I2)*(因素修正幅度!C3:F3=E2)*(因素修正幅度!C290:F316))</f>
        <v>0</v>
      </c>
      <c r="O10" s="2186"/>
      <c r="P10" s="2186"/>
      <c r="Q10" s="2186"/>
      <c r="R10" s="2959">
        <v>9</v>
      </c>
      <c r="S10" s="2948"/>
      <c r="T10" s="2959" t="e">
        <f t="shared" si="0"/>
        <v>#DIV/0!</v>
      </c>
      <c r="U10" s="2948"/>
      <c r="V10" s="2959" t="e">
        <f t="shared" si="1"/>
        <v>#DIV/0!</v>
      </c>
      <c r="W10" s="347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80"/>
      <c r="B11" s="1432" t="s">
        <v>938</v>
      </c>
      <c r="C11" s="1046">
        <f>C10/4</f>
        <v>0</v>
      </c>
      <c r="D11" s="1046" t="s">
        <v>939</v>
      </c>
      <c r="E11" s="1046" t="e">
        <f>ROUND(C11/E7,4)</f>
        <v>#DIV/0!</v>
      </c>
      <c r="F11" s="1433" t="s">
        <v>940</v>
      </c>
      <c r="G11" s="1434"/>
      <c r="H11" s="1434"/>
      <c r="I11" s="1434"/>
      <c r="J11" s="1435"/>
      <c r="K11" s="1398"/>
      <c r="L11" s="1882" t="s">
        <v>2246</v>
      </c>
      <c r="M11" s="1883">
        <f>SUMPRODUCT((区片价!B317:B337=I2)*(区片价!C3:F3=E2)*(区片价!C317:F337))</f>
        <v>0</v>
      </c>
      <c r="N11" s="1884">
        <f>SUMPRODUCT((因素修正幅度!B317:B337=I2)*(因素修正幅度!C3:F3=E2)*(因素修正幅度!C317:F337))</f>
        <v>0</v>
      </c>
      <c r="O11" s="2186"/>
      <c r="P11" s="2186"/>
      <c r="Q11" s="2186"/>
      <c r="R11" s="2959">
        <v>10</v>
      </c>
      <c r="S11" s="2948"/>
      <c r="T11" s="2959" t="e">
        <f t="shared" si="0"/>
        <v>#DIV/0!</v>
      </c>
      <c r="U11" s="2948"/>
      <c r="V11" s="2959" t="e">
        <f t="shared" si="1"/>
        <v>#DIV/0!</v>
      </c>
      <c r="W11" s="3470" t="s">
        <v>2782</v>
      </c>
      <c r="X11" s="1045" t="s">
        <v>2767</v>
      </c>
      <c r="Y11" s="1650">
        <f>$G$3</f>
        <v>3.42</v>
      </c>
      <c r="Z11" s="1650">
        <f t="shared" ref="Z11:AJ11" si="3">$G$3</f>
        <v>3.42</v>
      </c>
      <c r="AA11" s="1650">
        <f t="shared" si="3"/>
        <v>3.42</v>
      </c>
      <c r="AB11" s="1650">
        <f t="shared" si="3"/>
        <v>3.42</v>
      </c>
      <c r="AC11" s="1650">
        <f t="shared" si="3"/>
        <v>3.42</v>
      </c>
      <c r="AD11" s="1650">
        <f t="shared" si="3"/>
        <v>3.42</v>
      </c>
      <c r="AE11" s="1650">
        <f t="shared" si="3"/>
        <v>3.42</v>
      </c>
      <c r="AF11" s="1650">
        <f t="shared" si="3"/>
        <v>3.42</v>
      </c>
      <c r="AG11" s="1650">
        <f t="shared" si="3"/>
        <v>3.42</v>
      </c>
      <c r="AH11" s="1650">
        <f t="shared" si="3"/>
        <v>3.42</v>
      </c>
      <c r="AI11" s="1650">
        <f t="shared" si="3"/>
        <v>3.42</v>
      </c>
      <c r="AJ11" s="1650">
        <f t="shared" si="3"/>
        <v>3.42</v>
      </c>
    </row>
    <row r="12" spans="1:39" ht="25.5" thickBot="1">
      <c r="A12" s="3479" t="s">
        <v>1867</v>
      </c>
      <c r="B12" s="1436" t="s">
        <v>941</v>
      </c>
      <c r="C12" s="1040">
        <f>ROUND(C15*D15*E15*F15*G15*H15*I15*J15,4)</f>
        <v>1</v>
      </c>
      <c r="D12" s="1437" t="s">
        <v>942</v>
      </c>
      <c r="E12" s="1438"/>
      <c r="F12" s="1438"/>
      <c r="G12" s="1439"/>
      <c r="H12" s="1439"/>
      <c r="I12" s="1439"/>
      <c r="J12" s="1440"/>
      <c r="K12" s="1398"/>
      <c r="L12" s="1885" t="s">
        <v>2247</v>
      </c>
      <c r="M12" s="1886">
        <f>SUMPRODUCT((区片价!B338:B344=I2)*(区片价!C3:F3=E2)*(区片价!C338:F344))</f>
        <v>0</v>
      </c>
      <c r="N12" s="1887">
        <f>SUMPRODUCT((因素修正幅度!B338:B344=I2)*(因素修正幅度!C3:F3=E2)*(因素修正幅度!C338:F344))</f>
        <v>0</v>
      </c>
      <c r="O12" s="2186"/>
      <c r="P12" s="2186"/>
      <c r="Q12" s="2186"/>
      <c r="R12" s="2959">
        <v>11</v>
      </c>
      <c r="S12" s="2948"/>
      <c r="T12" s="2959" t="e">
        <f t="shared" si="0"/>
        <v>#DIV/0!</v>
      </c>
      <c r="U12" s="2948"/>
      <c r="V12" s="2959" t="e">
        <f t="shared" si="1"/>
        <v>#DIV/0!</v>
      </c>
      <c r="W12" s="3470"/>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1"/>
      <c r="B13" s="1441" t="s">
        <v>1692</v>
      </c>
      <c r="C13" s="1442" t="s">
        <v>1693</v>
      </c>
      <c r="D13" s="1086" t="s">
        <v>1694</v>
      </c>
      <c r="E13" s="1086" t="s">
        <v>1695</v>
      </c>
      <c r="F13" s="1443" t="s">
        <v>943</v>
      </c>
      <c r="G13" s="1444" t="s">
        <v>1638</v>
      </c>
      <c r="H13" s="1445" t="s">
        <v>1638</v>
      </c>
      <c r="I13" s="1446" t="s">
        <v>1638</v>
      </c>
      <c r="J13" s="1447" t="s">
        <v>1638</v>
      </c>
      <c r="K13" s="1398"/>
      <c r="L13" s="2186"/>
      <c r="M13" s="2186"/>
      <c r="N13" s="2186"/>
      <c r="O13" s="2186"/>
      <c r="P13" s="2186"/>
      <c r="Q13" s="2186"/>
      <c r="R13" s="2959">
        <v>12</v>
      </c>
      <c r="S13" s="2948"/>
      <c r="T13" s="2959" t="e">
        <f t="shared" si="0"/>
        <v>#DIV/0!</v>
      </c>
      <c r="U13" s="2948"/>
      <c r="V13" s="2959" t="e">
        <f t="shared" si="1"/>
        <v>#DIV/0!</v>
      </c>
      <c r="W13" s="3470"/>
      <c r="X13" s="2956"/>
      <c r="Y13" s="2955">
        <f>(-0.163*(Y12^2)-0.59*Y12+7617)*(10^(-4))/Y11</f>
        <v>0.22271929824561404</v>
      </c>
      <c r="Z13" s="2955">
        <f t="shared" ref="Z13:AJ13" si="5">(-0.163*(Z12^2)-0.59*Z12+7617)*(10^(-4))/Z11</f>
        <v>0.22271929824561404</v>
      </c>
      <c r="AA13" s="2955">
        <f t="shared" si="5"/>
        <v>0.22271929824561404</v>
      </c>
      <c r="AB13" s="2955">
        <f t="shared" si="5"/>
        <v>0.22271929824561404</v>
      </c>
      <c r="AC13" s="2955">
        <f t="shared" si="5"/>
        <v>0.22271929824561404</v>
      </c>
      <c r="AD13" s="2955">
        <f t="shared" si="5"/>
        <v>0.22271929824561404</v>
      </c>
      <c r="AE13" s="2955">
        <f t="shared" si="5"/>
        <v>0.22271929824561404</v>
      </c>
      <c r="AF13" s="2955">
        <f t="shared" si="5"/>
        <v>0.22271929824561404</v>
      </c>
      <c r="AG13" s="2955">
        <f t="shared" si="5"/>
        <v>0.22271929824561404</v>
      </c>
      <c r="AH13" s="2955">
        <f t="shared" si="5"/>
        <v>0.22271929824561404</v>
      </c>
      <c r="AI13" s="2955">
        <f t="shared" si="5"/>
        <v>0.22271929824561404</v>
      </c>
      <c r="AJ13" s="2955">
        <f t="shared" si="5"/>
        <v>0.22271929824561404</v>
      </c>
    </row>
    <row r="14" spans="1:39" ht="12.75" customHeight="1" thickBot="1">
      <c r="A14" s="3481"/>
      <c r="B14" s="1448"/>
      <c r="C14" s="1449"/>
      <c r="D14" s="1450"/>
      <c r="E14" s="1450"/>
      <c r="F14" s="1451"/>
      <c r="G14" s="1452" t="s">
        <v>944</v>
      </c>
      <c r="H14" s="1453"/>
      <c r="I14" s="1454"/>
      <c r="J14" s="1455"/>
      <c r="K14" s="1398"/>
      <c r="L14" s="2186"/>
      <c r="M14" s="2186"/>
      <c r="N14" s="2186"/>
      <c r="O14" s="2186"/>
      <c r="P14" s="2186"/>
      <c r="Q14" s="2186"/>
      <c r="R14" s="2959">
        <v>13</v>
      </c>
      <c r="S14" s="2948"/>
      <c r="T14" s="2959" t="e">
        <f t="shared" si="0"/>
        <v>#DIV/0!</v>
      </c>
      <c r="U14" s="2948"/>
      <c r="V14" s="2959" t="e">
        <f t="shared" si="1"/>
        <v>#DIV/0!</v>
      </c>
      <c r="W14" s="2186"/>
      <c r="X14" s="2186"/>
      <c r="Y14" s="2186"/>
      <c r="Z14" s="2186"/>
      <c r="AA14" s="2186"/>
      <c r="AB14" s="2186"/>
      <c r="AC14" s="2187"/>
    </row>
    <row r="15" spans="1:39" ht="13.5" customHeight="1" thickBot="1">
      <c r="A15" s="3482"/>
      <c r="B15" s="1456" t="s">
        <v>1696</v>
      </c>
      <c r="C15" s="1048">
        <f>IF(C14="有",1.1,1)</f>
        <v>1</v>
      </c>
      <c r="D15" s="1048">
        <f>IF(D14="有",1.1,1)</f>
        <v>1</v>
      </c>
      <c r="E15" s="1048">
        <f>IF(E14="有",1.1,1)</f>
        <v>1</v>
      </c>
      <c r="F15" s="1048">
        <f>IF(F14="500米范围内",1.2,IF(F14="500-1000米",1.1,1))</f>
        <v>1</v>
      </c>
      <c r="G15" s="1049">
        <v>1</v>
      </c>
      <c r="H15" s="1049">
        <v>1</v>
      </c>
      <c r="I15" s="1049">
        <v>1</v>
      </c>
      <c r="J15" s="1050">
        <v>1</v>
      </c>
      <c r="K15" s="1398"/>
      <c r="L15" s="1595" t="s">
        <v>893</v>
      </c>
      <c r="M15" s="1425" t="s">
        <v>979</v>
      </c>
      <c r="N15" s="1425" t="s">
        <v>980</v>
      </c>
      <c r="O15" s="1425" t="s">
        <v>897</v>
      </c>
      <c r="P15" s="1473" t="s">
        <v>981</v>
      </c>
      <c r="Q15" s="2186"/>
      <c r="R15" s="2959">
        <v>14</v>
      </c>
      <c r="S15" s="2948"/>
      <c r="T15" s="2959" t="e">
        <f t="shared" si="0"/>
        <v>#DIV/0!</v>
      </c>
      <c r="U15" s="2948"/>
      <c r="V15" s="2959" t="e">
        <f t="shared" si="1"/>
        <v>#DIV/0!</v>
      </c>
      <c r="W15" s="2186"/>
      <c r="X15" s="2186"/>
      <c r="Y15" s="2186"/>
      <c r="Z15" s="2186"/>
      <c r="AA15" s="2186"/>
      <c r="AB15" s="2186"/>
      <c r="AC15" s="2187"/>
    </row>
    <row r="16" spans="1:39" ht="24">
      <c r="A16" s="3479" t="s">
        <v>1834</v>
      </c>
      <c r="B16" s="1424" t="s">
        <v>945</v>
      </c>
      <c r="C16" s="1051" t="e">
        <f>ROUND(SUM(G17:J17)/C17,0)</f>
        <v>#DIV/0!</v>
      </c>
      <c r="D16" s="1457" t="s">
        <v>946</v>
      </c>
      <c r="E16" s="1458"/>
      <c r="F16" s="1459"/>
      <c r="G16" s="1460"/>
      <c r="H16" s="1460"/>
      <c r="I16" s="1460"/>
      <c r="J16" s="1460"/>
      <c r="K16" s="1398"/>
      <c r="L16" s="1461" t="s">
        <v>983</v>
      </c>
      <c r="M16" s="1044">
        <v>0.25</v>
      </c>
      <c r="N16" s="1044">
        <v>0.2</v>
      </c>
      <c r="O16" s="1044">
        <v>0.15</v>
      </c>
      <c r="P16" s="1536">
        <v>0.1</v>
      </c>
      <c r="Q16" s="2189"/>
      <c r="R16" s="2959">
        <v>15</v>
      </c>
      <c r="S16" s="2948"/>
      <c r="T16" s="2959" t="e">
        <f t="shared" si="0"/>
        <v>#DIV/0!</v>
      </c>
      <c r="U16" s="2948"/>
      <c r="V16" s="2959" t="e">
        <f t="shared" si="1"/>
        <v>#DIV/0!</v>
      </c>
      <c r="W16" s="2189"/>
      <c r="X16" s="2189"/>
      <c r="Y16" s="2189"/>
      <c r="Z16" s="2189"/>
      <c r="AA16" s="2189"/>
      <c r="AB16" s="2189"/>
      <c r="AC16" s="2190"/>
    </row>
    <row r="17" spans="1:40" ht="13.5" thickBot="1">
      <c r="A17" s="3480"/>
      <c r="B17" s="1462" t="s">
        <v>948</v>
      </c>
      <c r="C17" s="1052">
        <f>SUMPRODUCT((修正!A2:A5=E2)*(修正!B1:M1=G2)*(修正!B2:M5))</f>
        <v>0</v>
      </c>
      <c r="D17" s="1464" t="s">
        <v>949</v>
      </c>
      <c r="E17" s="1465" t="str">
        <f>IF(OR(G2="八级",G2="九级",G2="十级",G2="十一级",G2="十二级"),"五通一平","七通一平")</f>
        <v>七通一平</v>
      </c>
      <c r="F17" s="1463" t="s">
        <v>950</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969</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1825</v>
      </c>
      <c r="B18" s="2794" t="s">
        <v>951</v>
      </c>
      <c r="C18" s="2795">
        <f>SUMIF(修正!C18:C39,E3,修正!E18:E39)</f>
        <v>0</v>
      </c>
      <c r="D18" s="2796"/>
      <c r="E18" s="2797"/>
      <c r="F18" s="2798"/>
      <c r="G18" s="2792"/>
      <c r="H18" s="2792"/>
      <c r="I18" s="2792"/>
      <c r="J18" s="2799"/>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1831</v>
      </c>
      <c r="B19" s="1467" t="s">
        <v>952</v>
      </c>
      <c r="C19" s="1054" t="e">
        <f>ROUND(IF(H19="按公示增长率计算",SUMPRODUCT((地价!A3:A20=YEAR(G19)&amp;"-"&amp;ROUNDUP(MONTH(G19)/3,0))*(地价!X2:AB2=E2)*(地价!X3:AB20)),IF(H19="地价指数",M20/M19,(1+I19)^O19)),4)</f>
        <v>#DIV/0!</v>
      </c>
      <c r="D19" s="1471" t="s">
        <v>953</v>
      </c>
      <c r="E19" s="1055">
        <v>41640</v>
      </c>
      <c r="F19" s="1471" t="s">
        <v>954</v>
      </c>
      <c r="G19" s="1056">
        <f>'数据-取费表'!B2</f>
        <v>43109</v>
      </c>
      <c r="H19" s="1472" t="s">
        <v>2939</v>
      </c>
      <c r="I19" s="2806" t="str">
        <f>IF(H19="季度增幅（自定义）",SUMIF(N21:N24,E2,O21:O24),"")</f>
        <v/>
      </c>
      <c r="J19" s="1468"/>
      <c r="K19" s="1478"/>
      <c r="L19" s="3062" t="s">
        <v>2842</v>
      </c>
      <c r="M19" s="3063">
        <f>ROUND(SUMIF(地价!B2:F2,E2,地价!B20:F20),0)</f>
        <v>0</v>
      </c>
      <c r="N19" s="2808" t="s">
        <v>1672</v>
      </c>
      <c r="O19" s="2807">
        <f>ROUNDDOWN(DATEDIF(E19,G19,"M")/3,0)</f>
        <v>16</v>
      </c>
      <c r="P19" s="1593"/>
      <c r="R19" s="2947"/>
      <c r="S19" s="2947"/>
      <c r="T19" s="2947"/>
      <c r="U19" s="2947"/>
      <c r="V19" s="2947"/>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800" t="s">
        <v>1832</v>
      </c>
      <c r="B20" s="2801" t="s">
        <v>967</v>
      </c>
      <c r="C20" s="2802" t="e">
        <f>ROUND(POWER(1+G20,J20-I20)*(POWER(1+G20,I20)-1)/(POWER(1+G20,J20)-1),4)</f>
        <v>#DIV/0!</v>
      </c>
      <c r="D20" s="2803" t="s">
        <v>968</v>
      </c>
      <c r="E20" s="3118">
        <f ca="1">存贷款利率!I4/100</f>
        <v>4.3499999999999997E-2</v>
      </c>
      <c r="F20" s="2803" t="s">
        <v>969</v>
      </c>
      <c r="G20" s="2804">
        <f>SUMIF(M15:P15,E2,M17:P17)</f>
        <v>0</v>
      </c>
      <c r="H20" s="2803" t="s">
        <v>970</v>
      </c>
      <c r="I20" s="2793" t="e">
        <f>SUMIF('数据-取费表'!C6:C15,E2,'数据-取费表'!F6:F15)/COUNTIF('数据-取费表'!C6:C15,E2)</f>
        <v>#DIV/0!</v>
      </c>
      <c r="J20" s="2805">
        <f>IF(E2="住宅",70,IF(E2="商业",40,50))</f>
        <v>50</v>
      </c>
      <c r="K20" s="1478"/>
      <c r="L20" s="3064" t="s">
        <v>2843</v>
      </c>
      <c r="M20" s="3065">
        <f>ROUND(SUMPRODUCT((地价!A5:A20=YEAR(G19)&amp;"-"&amp;ROUNDUP(MONTH(G19)/3,0))*(地价!B2:F2=E2)*(地价!B5:F20)),0)</f>
        <v>0</v>
      </c>
      <c r="N20" s="2811" t="s">
        <v>2646</v>
      </c>
      <c r="O20" s="2809" t="s">
        <v>2645</v>
      </c>
      <c r="P20" s="2810" t="s">
        <v>2651</v>
      </c>
      <c r="R20" s="2947"/>
      <c r="S20" s="2947"/>
      <c r="T20" s="2947"/>
      <c r="U20" s="2947"/>
      <c r="V20" s="2947"/>
      <c r="W20" s="2192"/>
      <c r="X20" s="2192"/>
      <c r="Y20" s="2192"/>
      <c r="Z20" s="2192"/>
      <c r="AA20" s="2192"/>
      <c r="AB20" s="2192"/>
      <c r="AC20" s="2192"/>
      <c r="AD20" s="1469"/>
      <c r="AE20" s="1469"/>
      <c r="AF20" s="1469"/>
      <c r="AG20" s="1469"/>
      <c r="AH20" s="1469"/>
      <c r="AI20" s="1469"/>
    </row>
    <row r="21" spans="1:40" s="1418" customFormat="1" ht="14.25">
      <c r="A21" s="1639" t="s">
        <v>1833</v>
      </c>
      <c r="B21" s="1477" t="s">
        <v>2762</v>
      </c>
      <c r="C21" s="1155">
        <f>IF(B21="容积率修正",IF(G3&lt;=10,D22,J22),C23)</f>
        <v>0</v>
      </c>
      <c r="D21" s="1478"/>
      <c r="E21" s="1478"/>
      <c r="F21" s="1478"/>
      <c r="G21" s="1478"/>
      <c r="H21" s="1478"/>
      <c r="I21" s="1478"/>
      <c r="J21" s="1479"/>
      <c r="K21" s="1478"/>
      <c r="L21" s="1478"/>
      <c r="M21" s="1478"/>
      <c r="N21" s="1475" t="s">
        <v>971</v>
      </c>
      <c r="O21" s="1539"/>
      <c r="P21" s="2791">
        <f>SUMPRODUCT((地价!A3:A20=YEAR(G19)&amp;"-"&amp;ROUNDUP(MONTH(G19)/3,0))*(地价!AD2:AH2=N21)*(地价!AD3:AH20))</f>
        <v>0</v>
      </c>
      <c r="R21" s="2947"/>
      <c r="S21" s="2947"/>
      <c r="T21" s="2947"/>
      <c r="U21" s="2947"/>
      <c r="V21" s="2947"/>
      <c r="W21" s="2192"/>
      <c r="X21" s="2192"/>
      <c r="Y21" s="2192"/>
      <c r="Z21" s="2192"/>
      <c r="AA21" s="2192"/>
      <c r="AB21" s="2192"/>
      <c r="AC21" s="2192"/>
      <c r="AD21" s="1400"/>
      <c r="AE21" s="1400"/>
      <c r="AF21" s="1400"/>
      <c r="AG21" s="1400"/>
      <c r="AH21" s="1469"/>
      <c r="AI21" s="1469"/>
    </row>
    <row r="22" spans="1:40" s="1418" customFormat="1" ht="14.25">
      <c r="A22" s="1640" t="s">
        <v>1866</v>
      </c>
      <c r="B22" s="1480" t="s">
        <v>972</v>
      </c>
      <c r="C22" s="1057" t="s">
        <v>1698</v>
      </c>
      <c r="D22" s="1057">
        <f>IF(E22=G22,F22,IF(G3&lt;=10,ROUND(F22+(H22-F22)*(G3-E22)/(G22-E22),4),"——"))</f>
        <v>0</v>
      </c>
      <c r="E22" s="1036">
        <f>ROUNDDOWN(G3,1)</f>
        <v>3.4</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973</v>
      </c>
      <c r="J22" s="1057" t="str">
        <f>IF(G3&gt;10,D113,"——")</f>
        <v>——</v>
      </c>
      <c r="K22" s="1478"/>
      <c r="L22" s="1478"/>
      <c r="M22" s="1478"/>
      <c r="N22" s="1475" t="s">
        <v>974</v>
      </c>
      <c r="O22" s="1539"/>
      <c r="P22" s="2791">
        <f>SUMPRODUCT((地价!A3:A20=YEAR(G19)&amp;"-"&amp;ROUNDUP(MONTH(G19)/3,0))*(地价!AD2:AH2=N22)*(地价!AD3:AH20))</f>
        <v>0</v>
      </c>
      <c r="R22" s="2947"/>
      <c r="S22" s="2947"/>
      <c r="T22" s="2947"/>
      <c r="U22" s="2947"/>
      <c r="V22" s="2947"/>
      <c r="W22" s="2192"/>
      <c r="X22" s="2192"/>
      <c r="Y22" s="2192"/>
      <c r="Z22" s="2192"/>
      <c r="AA22" s="2192"/>
      <c r="AB22" s="2192"/>
      <c r="AC22" s="2192"/>
      <c r="AD22" s="1469"/>
      <c r="AE22" s="1469"/>
      <c r="AF22" s="1469"/>
      <c r="AG22" s="1469"/>
      <c r="AH22" s="1469"/>
      <c r="AI22" s="1469"/>
    </row>
    <row r="23" spans="1:40" ht="27.75" thickBot="1">
      <c r="A23" s="1640" t="s">
        <v>1867</v>
      </c>
      <c r="B23" s="1480" t="s">
        <v>975</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918</v>
      </c>
      <c r="O23" s="1539"/>
      <c r="P23" s="2791">
        <f>SUMPRODUCT((地价!A3:A20=YEAR(G19)&amp;"-"&amp;ROUNDUP(MONTH(G19)/3,0))*(地价!AD2:AH2=N23)*(地价!AD3:AH20))</f>
        <v>0</v>
      </c>
      <c r="R23" s="2947"/>
      <c r="S23" s="2947"/>
      <c r="T23" s="2947"/>
      <c r="U23" s="2947"/>
      <c r="V23" s="2947"/>
      <c r="W23" s="2192"/>
      <c r="X23" s="2192"/>
      <c r="Y23" s="2192"/>
      <c r="Z23" s="2192"/>
      <c r="AA23" s="2192"/>
      <c r="AB23" s="2192"/>
      <c r="AC23" s="2192"/>
      <c r="AN23" s="1401"/>
    </row>
    <row r="24" spans="1:40" s="1418" customFormat="1" ht="15.75" thickBot="1">
      <c r="A24" s="1638" t="s">
        <v>1868</v>
      </c>
      <c r="B24" s="1412" t="s">
        <v>976</v>
      </c>
      <c r="C24" s="1059">
        <f>SUMIF(A44:A87,E2,B44:B87)</f>
        <v>0</v>
      </c>
      <c r="D24" s="1532"/>
      <c r="E24" s="1533"/>
      <c r="F24" s="1533"/>
      <c r="G24" s="1533"/>
      <c r="H24" s="1533"/>
      <c r="I24" s="1533"/>
      <c r="J24" s="1533"/>
      <c r="K24" s="1478"/>
      <c r="L24" s="1478"/>
      <c r="M24" s="1478"/>
      <c r="N24" s="1481" t="s">
        <v>977</v>
      </c>
      <c r="O24" s="1540"/>
      <c r="P24" s="1538">
        <f>SUMPRODUCT((地价!A3:A20=YEAR(G19)&amp;"-"&amp;ROUNDUP(MONTH(G19)/3,0))*(地价!AD2:AH2=N24)*(地价!AD3:AH20))</f>
        <v>0</v>
      </c>
      <c r="R24" s="2947"/>
      <c r="S24" s="2947"/>
      <c r="T24" s="2947"/>
      <c r="U24" s="2947"/>
      <c r="V24" s="2947"/>
      <c r="W24" s="2192"/>
      <c r="X24" s="2192"/>
      <c r="Y24" s="2192"/>
      <c r="Z24" s="2192"/>
      <c r="AA24" s="2192"/>
      <c r="AB24" s="2192"/>
      <c r="AC24" s="2192"/>
      <c r="AD24" s="1469"/>
      <c r="AE24" s="1469"/>
      <c r="AF24" s="1469"/>
      <c r="AG24" s="1469"/>
      <c r="AH24" s="1469"/>
      <c r="AI24" s="1469"/>
    </row>
    <row r="25" spans="1:40" ht="15" thickBot="1">
      <c r="A25" s="1638" t="s">
        <v>1869</v>
      </c>
      <c r="B25" s="1483" t="s">
        <v>978</v>
      </c>
      <c r="C25" s="1484"/>
      <c r="D25" s="1427"/>
      <c r="E25" s="1427"/>
      <c r="F25" s="1485"/>
      <c r="G25" s="1427"/>
      <c r="H25" s="1427"/>
      <c r="I25" s="1427"/>
      <c r="J25" s="1428"/>
      <c r="K25" s="1398"/>
      <c r="L25" s="2192"/>
      <c r="M25" s="2192"/>
      <c r="N25" s="2819" t="s">
        <v>2649</v>
      </c>
      <c r="O25" s="2192"/>
      <c r="P25" s="1538">
        <f>SUMPRODUCT((地价!A3:A20=YEAR(G19)&amp;"-"&amp;ROUNDUP(MONTH(G19)/3,0))*(地价!AD2:AH2=N25)*(地价!AD3:AH20))</f>
        <v>0</v>
      </c>
      <c r="R25" s="2947"/>
      <c r="S25" s="2947"/>
      <c r="T25" s="2947"/>
      <c r="U25" s="2947"/>
      <c r="V25" s="2947"/>
      <c r="W25" s="2192"/>
      <c r="X25" s="2192"/>
      <c r="Y25" s="2192"/>
      <c r="Z25" s="2192"/>
      <c r="AA25" s="2192"/>
      <c r="AB25" s="2192"/>
      <c r="AC25" s="2192"/>
    </row>
    <row r="26" spans="1:40" ht="14.25">
      <c r="A26" s="1486"/>
      <c r="B26" s="1480" t="s">
        <v>982</v>
      </c>
      <c r="C26" s="1060" t="e">
        <f>E29+SUM(E33:E39)</f>
        <v>#DIV/0!</v>
      </c>
      <c r="D26" s="1487"/>
      <c r="E26" s="1453"/>
      <c r="F26" s="1488"/>
      <c r="G26" s="1453"/>
      <c r="H26" s="1453"/>
      <c r="I26" s="1453"/>
      <c r="J26" s="1489"/>
      <c r="K26" s="1398"/>
      <c r="L26" s="2192"/>
      <c r="M26" s="2192"/>
      <c r="N26" s="2192"/>
      <c r="O26" s="2192"/>
      <c r="P26" s="2192"/>
      <c r="Q26" s="2192"/>
      <c r="R26" s="2947"/>
      <c r="S26" s="2947"/>
      <c r="T26" s="2947"/>
      <c r="U26" s="2947"/>
      <c r="V26" s="2947"/>
      <c r="W26" s="2192"/>
      <c r="X26" s="2192"/>
      <c r="Y26" s="2192"/>
      <c r="Z26" s="2192"/>
      <c r="AA26" s="2192"/>
      <c r="AB26" s="2192"/>
      <c r="AC26" s="2192"/>
      <c r="AD26" s="1469"/>
      <c r="AE26" s="1469"/>
      <c r="AF26" s="1469"/>
      <c r="AG26" s="1469"/>
    </row>
    <row r="27" spans="1:40" ht="15" thickBot="1">
      <c r="A27" s="1486"/>
      <c r="B27" s="1490" t="s">
        <v>984</v>
      </c>
      <c r="C27" s="1061" t="e">
        <f>E30+SUM(I33:I39)</f>
        <v>#DIV/0!</v>
      </c>
      <c r="D27" s="1491"/>
      <c r="E27" s="1492"/>
      <c r="F27" s="1493"/>
      <c r="G27" s="1492"/>
      <c r="H27" s="1492"/>
      <c r="I27" s="1492"/>
      <c r="J27" s="1494"/>
      <c r="K27" s="1398"/>
      <c r="L27" s="2192"/>
      <c r="M27" s="2192"/>
      <c r="N27" s="2192"/>
      <c r="O27" s="2192"/>
      <c r="P27" s="2192"/>
      <c r="Q27" s="2192"/>
      <c r="R27" s="2947"/>
      <c r="S27" s="2947"/>
      <c r="T27" s="2947"/>
      <c r="U27" s="2947"/>
      <c r="V27" s="2947"/>
      <c r="W27" s="2192"/>
      <c r="X27" s="2192"/>
      <c r="Y27" s="2192"/>
      <c r="Z27" s="2192"/>
      <c r="AA27" s="2192"/>
      <c r="AB27" s="2192"/>
      <c r="AC27" s="2192"/>
    </row>
    <row r="28" spans="1:40" ht="14.25">
      <c r="A28" s="1482"/>
      <c r="B28" s="1495" t="s">
        <v>985</v>
      </c>
      <c r="C28" s="1496" t="s">
        <v>986</v>
      </c>
      <c r="D28" s="1496" t="s">
        <v>987</v>
      </c>
      <c r="E28" s="1497" t="s">
        <v>988</v>
      </c>
      <c r="F28" s="1498"/>
      <c r="G28" s="1439"/>
      <c r="H28" s="1439"/>
      <c r="I28" s="1439"/>
      <c r="J28" s="1440"/>
      <c r="K28" s="1398"/>
      <c r="L28" s="2192"/>
      <c r="M28" s="2192"/>
      <c r="N28" s="2192"/>
      <c r="O28" s="2192"/>
      <c r="P28" s="2192"/>
      <c r="Q28" s="2192"/>
      <c r="R28" s="2947"/>
      <c r="S28" s="2947"/>
      <c r="T28" s="2947"/>
      <c r="U28" s="2947"/>
      <c r="V28" s="2947"/>
      <c r="W28" s="2192"/>
      <c r="X28" s="2192"/>
      <c r="Y28" s="2192"/>
      <c r="Z28" s="2192"/>
      <c r="AA28" s="2192"/>
      <c r="AB28" s="2192"/>
      <c r="AC28" s="2192"/>
      <c r="AD28" s="1469"/>
      <c r="AE28" s="1469"/>
      <c r="AF28" s="1469"/>
      <c r="AG28" s="1469"/>
    </row>
    <row r="29" spans="1:40" ht="24">
      <c r="A29" s="1499"/>
      <c r="B29" s="1500" t="s">
        <v>989</v>
      </c>
      <c r="C29" s="1060" t="e">
        <f>ROUND(C5*C18*C19*C20*C21*C24,0)</f>
        <v>#DIV/0!</v>
      </c>
      <c r="D29" s="1501"/>
      <c r="E29" s="1846" t="e">
        <f>ROUND(C29*D29/10000,0)</f>
        <v>#DIV/0!</v>
      </c>
      <c r="F29" s="1502" t="s">
        <v>1697</v>
      </c>
      <c r="G29" s="1503"/>
      <c r="H29" s="1503"/>
      <c r="I29" s="1503"/>
      <c r="J29" s="1504"/>
      <c r="K29" s="1398"/>
      <c r="L29" s="2192"/>
      <c r="M29" s="2192"/>
      <c r="N29" s="2192"/>
      <c r="O29" s="2192"/>
      <c r="P29" s="2192"/>
      <c r="Q29" s="2192"/>
      <c r="R29" s="2947"/>
      <c r="S29" s="2947"/>
      <c r="T29" s="2947"/>
      <c r="U29" s="2947"/>
      <c r="V29" s="2947"/>
      <c r="W29" s="2192"/>
      <c r="X29" s="2192"/>
      <c r="Y29" s="2192"/>
      <c r="Z29" s="2192"/>
      <c r="AA29" s="2192"/>
      <c r="AB29" s="2192"/>
      <c r="AC29" s="2192"/>
      <c r="AH29" s="1399"/>
      <c r="AI29" s="1399"/>
      <c r="AJ29" s="1402"/>
      <c r="AK29" s="1402"/>
      <c r="AL29" s="1402"/>
      <c r="AM29" s="1402"/>
    </row>
    <row r="30" spans="1:40" ht="24.75" thickBot="1">
      <c r="A30" s="1505"/>
      <c r="B30" s="1506" t="s">
        <v>990</v>
      </c>
      <c r="C30" s="1048" t="e">
        <f>ROUND(IF(E2="工业",C29*M39,C29*M38),0)</f>
        <v>#DIV/0!</v>
      </c>
      <c r="D30" s="1507"/>
      <c r="E30" s="1846" t="e">
        <f>ROUND(C30*D30/10000,0)</f>
        <v>#DIV/0!</v>
      </c>
      <c r="F30" s="1508" t="s">
        <v>991</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992</v>
      </c>
      <c r="C31" s="1513" t="s">
        <v>993</v>
      </c>
      <c r="D31" s="1439"/>
      <c r="E31" s="1513"/>
      <c r="F31" s="1513"/>
      <c r="G31" s="1437" t="s">
        <v>991</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986</v>
      </c>
      <c r="D32" s="1517" t="s">
        <v>987</v>
      </c>
      <c r="E32" s="1517" t="s">
        <v>988</v>
      </c>
      <c r="F32" s="1518" t="s">
        <v>994</v>
      </c>
      <c r="G32" s="1476" t="s">
        <v>986</v>
      </c>
      <c r="H32" s="1476" t="s">
        <v>987</v>
      </c>
      <c r="I32" s="1476" t="s">
        <v>988</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85" t="s">
        <v>2966</v>
      </c>
      <c r="B33" s="1521" t="s">
        <v>995</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86"/>
      <c r="B34" s="1442" t="s">
        <v>996</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86"/>
      <c r="B35" s="1442" t="s">
        <v>997</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7"/>
      <c r="B36" s="1442" t="s">
        <v>998</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999</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1699</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1000</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1701</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1001</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1700</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39" t="s">
        <v>1002</v>
      </c>
      <c r="B44" s="2440"/>
      <c r="C44" s="2441"/>
      <c r="D44" s="2442"/>
      <c r="E44" s="2442"/>
      <c r="F44" s="2443"/>
      <c r="G44" s="1063"/>
      <c r="H44" s="2443"/>
      <c r="I44" s="1063"/>
      <c r="J44" s="1063"/>
      <c r="K44" s="1063"/>
      <c r="L44" s="1063"/>
      <c r="M44" s="1063"/>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4" t="s">
        <v>1003</v>
      </c>
      <c r="B45" s="2445">
        <f>1+E47</f>
        <v>1</v>
      </c>
      <c r="C45" s="2446"/>
      <c r="D45" s="2447"/>
      <c r="E45" s="2448"/>
      <c r="F45" s="2449"/>
      <c r="G45" s="2443"/>
      <c r="H45" s="2443"/>
      <c r="I45" s="1063"/>
      <c r="J45" s="1063"/>
      <c r="K45" s="1063"/>
      <c r="L45" s="1063"/>
      <c r="M45" s="1063"/>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4" t="s">
        <v>1004</v>
      </c>
      <c r="B46" s="2428" t="s">
        <v>1005</v>
      </c>
      <c r="C46" s="2450" t="s">
        <v>1006</v>
      </c>
      <c r="D46" s="2451" t="s">
        <v>1007</v>
      </c>
      <c r="E46" s="2452" t="s">
        <v>1009</v>
      </c>
      <c r="F46" s="2453" t="s">
        <v>2248</v>
      </c>
      <c r="G46" s="2451" t="s">
        <v>1010</v>
      </c>
      <c r="H46" s="2434" t="s">
        <v>2417</v>
      </c>
      <c r="I46" s="2451" t="s">
        <v>1008</v>
      </c>
      <c r="J46" s="2454" t="s">
        <v>1011</v>
      </c>
      <c r="K46" s="2454" t="s">
        <v>1012</v>
      </c>
      <c r="L46" s="2454" t="s">
        <v>1013</v>
      </c>
      <c r="M46" s="2454" t="s">
        <v>1014</v>
      </c>
      <c r="N46" s="2454" t="s">
        <v>1015</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4" t="s">
        <v>1016</v>
      </c>
      <c r="B47" s="2431" t="str">
        <f>估价对象房地状况!C16</f>
        <v>估价对象位于XX商圈，周边商业氛围成熟，人流量大，商业繁华度好</v>
      </c>
      <c r="C47" s="1047"/>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4" t="s">
        <v>1017</v>
      </c>
      <c r="B48" s="2428" t="str">
        <f>估价对象房地状况!C18</f>
        <v>估价对象周边道路状况、公共交通通达情况、停车便捷程度，综合评价交通便捷度较好148.208、212、215、348、503、912</v>
      </c>
      <c r="C48" s="1047"/>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4" t="s">
        <v>1018</v>
      </c>
      <c r="B49" s="2428">
        <f>估价对象房地状况!C19</f>
        <v>0</v>
      </c>
      <c r="C49" s="1047"/>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4" t="s">
        <v>1019</v>
      </c>
      <c r="B50" s="3120" t="s">
        <v>2941</v>
      </c>
      <c r="C50" s="1047"/>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4" t="s">
        <v>1020</v>
      </c>
      <c r="B51" s="2428">
        <f>估价对象房地状况!C24</f>
        <v>0</v>
      </c>
      <c r="C51" s="1047"/>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4" t="s">
        <v>1021</v>
      </c>
      <c r="B52" s="3119" t="s">
        <v>2940</v>
      </c>
      <c r="C52" s="1047"/>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0" t="s">
        <v>1022</v>
      </c>
      <c r="B53" s="2429" t="str">
        <f>估价对象房地状况!C21</f>
        <v>估价对象所在区域公共配套设施齐备情况</v>
      </c>
      <c r="C53" s="1047"/>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0" t="s">
        <v>1023</v>
      </c>
      <c r="B54" s="2428" t="str">
        <f>估价对象房地状况!C22</f>
        <v>估价对象所在区域基础设施水平</v>
      </c>
      <c r="C54" s="1047"/>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61" t="s">
        <v>1024</v>
      </c>
      <c r="B55" s="2432" t="str">
        <f>估价对象房地状况!C20</f>
        <v>区域自然环境：；人文环境；综合评价环境状况一般</v>
      </c>
      <c r="C55" s="1047"/>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4" t="s">
        <v>1025</v>
      </c>
      <c r="B56" s="2445">
        <f>1+E58</f>
        <v>1</v>
      </c>
      <c r="C56" s="2464"/>
      <c r="D56" s="2447"/>
      <c r="E56" s="2448"/>
      <c r="F56" s="2449"/>
      <c r="G56" s="2443"/>
      <c r="H56" s="2443"/>
      <c r="I56" s="2443"/>
      <c r="J56" s="1063"/>
      <c r="K56" s="1063"/>
      <c r="L56" s="1063"/>
      <c r="M56" s="1063"/>
      <c r="N56" s="1063"/>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4" t="s">
        <v>1004</v>
      </c>
      <c r="B57" s="2428"/>
      <c r="C57" s="2450" t="s">
        <v>1006</v>
      </c>
      <c r="D57" s="2451" t="s">
        <v>1007</v>
      </c>
      <c r="E57" s="2452" t="s">
        <v>1009</v>
      </c>
      <c r="F57" s="2453" t="s">
        <v>2249</v>
      </c>
      <c r="G57" s="2451" t="s">
        <v>1010</v>
      </c>
      <c r="H57" s="2434" t="s">
        <v>2417</v>
      </c>
      <c r="I57" s="2451" t="s">
        <v>1008</v>
      </c>
      <c r="J57" s="2454" t="s">
        <v>1011</v>
      </c>
      <c r="K57" s="2454" t="s">
        <v>1012</v>
      </c>
      <c r="L57" s="2454" t="s">
        <v>1013</v>
      </c>
      <c r="M57" s="2454" t="s">
        <v>1014</v>
      </c>
      <c r="N57" s="2454" t="s">
        <v>1015</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4" t="s">
        <v>1026</v>
      </c>
      <c r="B58" s="2431" t="str">
        <f>估价对象房地状况!C17</f>
        <v>估价对象位于XX商圈，周边办公楼项目较多，入驻率高，办公集聚程度较好</v>
      </c>
      <c r="C58" s="1047"/>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4" t="s">
        <v>1017</v>
      </c>
      <c r="B59" s="2428" t="str">
        <f>估价对象房地状况!C18</f>
        <v>估价对象周边道路状况、公共交通通达情况、停车便捷程度，综合评价交通便捷度较好148.208、212、215、348、503、912</v>
      </c>
      <c r="C59" s="1047"/>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4" t="s">
        <v>1018</v>
      </c>
      <c r="B60" s="2428">
        <f>估价对象房地状况!C19</f>
        <v>0</v>
      </c>
      <c r="C60" s="1047"/>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4" t="s">
        <v>1019</v>
      </c>
      <c r="B61" s="3120" t="s">
        <v>2942</v>
      </c>
      <c r="C61" s="1047"/>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4" t="s">
        <v>1020</v>
      </c>
      <c r="B62" s="2428">
        <f>估价对象房地状况!C24</f>
        <v>0</v>
      </c>
      <c r="C62" s="1047"/>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4" t="s">
        <v>1021</v>
      </c>
      <c r="B63" s="3119" t="s">
        <v>2940</v>
      </c>
      <c r="C63" s="1047"/>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4" t="s">
        <v>1022</v>
      </c>
      <c r="B64" s="2429" t="str">
        <f>估价对象房地状况!C21</f>
        <v>估价对象所在区域公共配套设施齐备情况</v>
      </c>
      <c r="C64" s="1047"/>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4" t="s">
        <v>1023</v>
      </c>
      <c r="B65" s="2429" t="str">
        <f>估价对象房地状况!C22</f>
        <v>估价对象所在区域基础设施水平</v>
      </c>
      <c r="C65" s="1047"/>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61" t="s">
        <v>1024</v>
      </c>
      <c r="B66" s="2433" t="str">
        <f>估价对象房地状况!C20</f>
        <v>区域自然环境：；人文环境；综合评价环境状况一般</v>
      </c>
      <c r="C66" s="1047"/>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4" t="s">
        <v>1027</v>
      </c>
      <c r="B67" s="2445">
        <f>1+E69</f>
        <v>1</v>
      </c>
      <c r="C67" s="2464"/>
      <c r="D67" s="2447"/>
      <c r="E67" s="2448"/>
      <c r="F67" s="2449"/>
      <c r="G67" s="2443"/>
      <c r="H67" s="2443"/>
      <c r="I67" s="2443"/>
      <c r="J67" s="1063"/>
      <c r="K67" s="1063"/>
      <c r="L67" s="1063"/>
      <c r="M67" s="1063"/>
      <c r="N67" s="1063"/>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4" t="s">
        <v>1004</v>
      </c>
      <c r="B68" s="2428"/>
      <c r="C68" s="2450" t="s">
        <v>1006</v>
      </c>
      <c r="D68" s="2451" t="s">
        <v>1007</v>
      </c>
      <c r="E68" s="2452" t="s">
        <v>1009</v>
      </c>
      <c r="F68" s="2453" t="s">
        <v>2250</v>
      </c>
      <c r="G68" s="2451" t="s">
        <v>1010</v>
      </c>
      <c r="H68" s="2434" t="s">
        <v>2417</v>
      </c>
      <c r="I68" s="2451" t="s">
        <v>1008</v>
      </c>
      <c r="J68" s="2454" t="s">
        <v>1011</v>
      </c>
      <c r="K68" s="2454" t="s">
        <v>1012</v>
      </c>
      <c r="L68" s="2454" t="s">
        <v>1013</v>
      </c>
      <c r="M68" s="2454" t="s">
        <v>1014</v>
      </c>
      <c r="N68" s="2454" t="s">
        <v>1015</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4" t="s">
        <v>1028</v>
      </c>
      <c r="B69" s="2431" t="str">
        <f>估价对象房地状况!C15</f>
        <v>估价对象周边居住用地比例、居住小区规模和社区发展完善程度，综合评价居住社区成熟度一般</v>
      </c>
      <c r="C69" s="1156"/>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4" t="s">
        <v>1029</v>
      </c>
      <c r="B70" s="2428" t="str">
        <f>估价对象房地状况!C18</f>
        <v>估价对象周边道路状况、公共交通通达情况、停车便捷程度，综合评价交通便捷度较好148.208、212、215、348、503、912</v>
      </c>
      <c r="C70" s="1156"/>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4" t="s">
        <v>1018</v>
      </c>
      <c r="B71" s="2428">
        <f>估价对象房地状况!C19</f>
        <v>0</v>
      </c>
      <c r="C71" s="1156"/>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4" t="s">
        <v>1030</v>
      </c>
      <c r="B72" s="2428">
        <f>估价对象房地状况!C24</f>
        <v>0</v>
      </c>
      <c r="C72" s="1156"/>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4" t="s">
        <v>1022</v>
      </c>
      <c r="B73" s="2429" t="str">
        <f>估价对象房地状况!C21</f>
        <v>估价对象所在区域公共配套设施齐备情况</v>
      </c>
      <c r="C73" s="1156"/>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4" t="s">
        <v>1023</v>
      </c>
      <c r="B74" s="2429" t="str">
        <f>估价对象房地状况!C22</f>
        <v>估价对象所在区域基础设施水平</v>
      </c>
      <c r="C74" s="1156"/>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4" t="s">
        <v>1021</v>
      </c>
      <c r="B75" s="3119" t="s">
        <v>2940</v>
      </c>
      <c r="C75" s="1156"/>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4" t="s">
        <v>1024</v>
      </c>
      <c r="B76" s="2431" t="str">
        <f>估价对象房地状况!C20</f>
        <v>区域自然环境：；人文环境；综合评价环境状况一般</v>
      </c>
      <c r="C76" s="1156"/>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1" t="s">
        <v>1031</v>
      </c>
      <c r="B77" s="1847"/>
      <c r="C77" s="1156"/>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1032</v>
      </c>
      <c r="B78" s="2445">
        <f>1+E80</f>
        <v>1</v>
      </c>
      <c r="C78" s="2464"/>
      <c r="D78" s="2447"/>
      <c r="E78" s="2448"/>
      <c r="F78" s="2449"/>
      <c r="G78" s="2443"/>
      <c r="H78" s="2443"/>
      <c r="I78" s="2443"/>
      <c r="J78" s="1063"/>
      <c r="K78" s="1063"/>
      <c r="L78" s="1063"/>
      <c r="M78" s="1063"/>
      <c r="N78" s="1063"/>
      <c r="AC78" s="1402"/>
      <c r="AD78" s="1401"/>
      <c r="AJ78" s="1400"/>
      <c r="AN78" s="1401"/>
    </row>
    <row r="79" spans="1:40" ht="24">
      <c r="A79" s="1064" t="s">
        <v>1004</v>
      </c>
      <c r="B79" s="2428"/>
      <c r="C79" s="2450" t="s">
        <v>1006</v>
      </c>
      <c r="D79" s="2451" t="s">
        <v>1007</v>
      </c>
      <c r="E79" s="2452" t="s">
        <v>1009</v>
      </c>
      <c r="F79" s="2453" t="s">
        <v>2251</v>
      </c>
      <c r="G79" s="2451" t="s">
        <v>1010</v>
      </c>
      <c r="H79" s="2434" t="s">
        <v>2417</v>
      </c>
      <c r="I79" s="2451" t="s">
        <v>1008</v>
      </c>
      <c r="J79" s="2454" t="s">
        <v>1011</v>
      </c>
      <c r="K79" s="2454" t="s">
        <v>1012</v>
      </c>
      <c r="L79" s="2454" t="s">
        <v>1013</v>
      </c>
      <c r="M79" s="2454" t="s">
        <v>1014</v>
      </c>
      <c r="N79" s="2454" t="s">
        <v>1015</v>
      </c>
      <c r="AC79" s="1402"/>
      <c r="AD79" s="1401"/>
      <c r="AJ79" s="1400"/>
      <c r="AN79" s="1401"/>
    </row>
    <row r="80" spans="1:40" ht="36">
      <c r="A80" s="1064" t="s">
        <v>1033</v>
      </c>
      <c r="B80" s="2428" t="str">
        <f>估价对象房地状况!G15</f>
        <v>估价对象位于XX开发区，园区建设成熟度XX，产业集聚程度XX</v>
      </c>
      <c r="C80" s="1047"/>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4" t="s">
        <v>1029</v>
      </c>
      <c r="B81" s="2428" t="str">
        <f>估价对象房地状况!G16</f>
        <v>估价对象周边道路状况、公共交通通达情况、停车便捷程度，综合评价交通便捷度较好</v>
      </c>
      <c r="C81" s="1047"/>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4" t="s">
        <v>1018</v>
      </c>
      <c r="B82" s="2428">
        <f>估价对象房地状况!G17</f>
        <v>0</v>
      </c>
      <c r="C82" s="1047"/>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4" t="s">
        <v>1030</v>
      </c>
      <c r="B83" s="2428">
        <f>估价对象房地状况!G22</f>
        <v>0</v>
      </c>
      <c r="C83" s="1047"/>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4" t="s">
        <v>1022</v>
      </c>
      <c r="B84" s="2429" t="str">
        <f>估价对象房地状况!G19</f>
        <v>估价对象所在区域公共配套设施齐备情况</v>
      </c>
      <c r="C84" s="1047"/>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4" t="s">
        <v>1023</v>
      </c>
      <c r="B85" s="2429" t="str">
        <f>估价对象房地状况!G20</f>
        <v>估价对象所在区域基础设施水平</v>
      </c>
      <c r="C85" s="1047"/>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4" t="s">
        <v>1021</v>
      </c>
      <c r="B86" s="3119" t="s">
        <v>2940</v>
      </c>
      <c r="C86" s="1047"/>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1034</v>
      </c>
      <c r="B87" s="2430" t="str">
        <f>估价对象房地状况!G18</f>
        <v>该园区内是否有污染型企业，绿化情况，卫生条件，整体环境状况判断</v>
      </c>
      <c r="C87" s="1047"/>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83" t="s">
        <v>1629</v>
      </c>
      <c r="B90" s="3483"/>
      <c r="C90" s="3483"/>
      <c r="D90" s="3483"/>
      <c r="E90" s="3483"/>
      <c r="F90" s="3483"/>
      <c r="G90" s="3483"/>
      <c r="H90" s="3483"/>
      <c r="I90" s="3483"/>
      <c r="J90" s="3483"/>
      <c r="K90" s="2470"/>
      <c r="L90" s="2470"/>
      <c r="M90" s="2470"/>
      <c r="N90" s="2470"/>
    </row>
    <row r="91" spans="1:40">
      <c r="A91" s="3484" t="s">
        <v>1439</v>
      </c>
      <c r="B91" s="3484" t="s">
        <v>1630</v>
      </c>
      <c r="C91" s="1137" t="s">
        <v>1631</v>
      </c>
      <c r="D91" s="1138"/>
      <c r="E91" s="1138"/>
      <c r="F91" s="1138"/>
      <c r="G91" s="1138"/>
      <c r="H91" s="1138"/>
      <c r="I91" s="1138"/>
      <c r="J91" s="1139"/>
      <c r="K91" s="1131"/>
      <c r="L91" s="1131"/>
      <c r="M91" s="1131"/>
      <c r="N91" s="1131"/>
    </row>
    <row r="92" spans="1:40">
      <c r="A92" s="3484"/>
      <c r="B92" s="3484"/>
      <c r="C92" s="2469" t="s">
        <v>902</v>
      </c>
      <c r="D92" s="2469" t="s">
        <v>880</v>
      </c>
      <c r="E92" s="2469" t="s">
        <v>881</v>
      </c>
      <c r="F92" s="2469" t="s">
        <v>905</v>
      </c>
      <c r="G92" s="2469" t="s">
        <v>883</v>
      </c>
      <c r="H92" s="2469" t="s">
        <v>884</v>
      </c>
      <c r="I92" s="2469" t="s">
        <v>885</v>
      </c>
      <c r="J92" s="2469" t="s">
        <v>886</v>
      </c>
      <c r="K92" s="2469" t="s">
        <v>910</v>
      </c>
      <c r="L92" s="2469" t="s">
        <v>888</v>
      </c>
      <c r="M92" s="2469" t="s">
        <v>889</v>
      </c>
      <c r="N92" s="2469" t="s">
        <v>913</v>
      </c>
    </row>
    <row r="93" spans="1:40">
      <c r="A93" s="3473"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7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7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7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7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7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74"/>
      <c r="B99" s="1140" t="s">
        <v>1632</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7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73" t="s">
        <v>1633</v>
      </c>
      <c r="B101" s="1144" t="s">
        <v>901</v>
      </c>
      <c r="C101" s="1145">
        <f>$G$3</f>
        <v>3.42</v>
      </c>
      <c r="D101" s="1145">
        <f t="shared" ref="D101:N101" si="31">$G$3</f>
        <v>3.42</v>
      </c>
      <c r="E101" s="1145">
        <f t="shared" si="31"/>
        <v>3.42</v>
      </c>
      <c r="F101" s="1145">
        <f t="shared" si="31"/>
        <v>3.42</v>
      </c>
      <c r="G101" s="1145">
        <f t="shared" si="31"/>
        <v>3.42</v>
      </c>
      <c r="H101" s="1145">
        <f t="shared" si="31"/>
        <v>3.42</v>
      </c>
      <c r="I101" s="1145">
        <f t="shared" si="31"/>
        <v>3.42</v>
      </c>
      <c r="J101" s="1145">
        <f t="shared" si="31"/>
        <v>3.42</v>
      </c>
      <c r="K101" s="1145">
        <f t="shared" si="31"/>
        <v>3.42</v>
      </c>
      <c r="L101" s="1145">
        <f t="shared" si="31"/>
        <v>3.42</v>
      </c>
      <c r="M101" s="1145">
        <f t="shared" si="31"/>
        <v>3.42</v>
      </c>
      <c r="N101" s="1145">
        <f t="shared" si="31"/>
        <v>3.42</v>
      </c>
    </row>
    <row r="102" spans="1:14">
      <c r="A102" s="3474"/>
      <c r="B102" s="1140">
        <v>1</v>
      </c>
      <c r="C102" s="1141">
        <f>1.9362/C101</f>
        <v>0.56614035087719294</v>
      </c>
      <c r="D102" s="1141">
        <f>1.9362/D101</f>
        <v>0.56614035087719294</v>
      </c>
      <c r="E102" s="1141">
        <f>1.8629/E101</f>
        <v>0.54470760233918125</v>
      </c>
      <c r="F102" s="1141">
        <f>1.8629/F101</f>
        <v>0.54470760233918125</v>
      </c>
      <c r="G102" s="1141">
        <f>1.8629/G101</f>
        <v>0.54470760233918125</v>
      </c>
      <c r="H102" s="1141">
        <f>1.8629/H101</f>
        <v>0.54470760233918125</v>
      </c>
      <c r="I102" s="1141">
        <f>1.8629/I101</f>
        <v>0.54470760233918125</v>
      </c>
      <c r="J102" s="1141">
        <f>1.942/J101</f>
        <v>0.56783625730994147</v>
      </c>
      <c r="K102" s="1141">
        <f>1.942/K101</f>
        <v>0.56783625730994147</v>
      </c>
      <c r="L102" s="1141">
        <f>1.942/L101</f>
        <v>0.56783625730994147</v>
      </c>
      <c r="M102" s="1141">
        <f>1.942/M101</f>
        <v>0.56783625730994147</v>
      </c>
      <c r="N102" s="1141">
        <f>1.942/N101</f>
        <v>0.56783625730994147</v>
      </c>
    </row>
    <row r="103" spans="1:14">
      <c r="A103" s="3474"/>
      <c r="B103" s="1140">
        <v>2</v>
      </c>
      <c r="C103" s="1141">
        <f>1.4198/C101</f>
        <v>0.41514619883040937</v>
      </c>
      <c r="D103" s="1141">
        <f>1.4198/D101</f>
        <v>0.41514619883040937</v>
      </c>
      <c r="E103" s="1141">
        <f>1.3372/E101</f>
        <v>0.39099415204678362</v>
      </c>
      <c r="F103" s="1141">
        <f>1.3372/F101</f>
        <v>0.39099415204678362</v>
      </c>
      <c r="G103" s="1141">
        <f>1.3372/G101</f>
        <v>0.39099415204678362</v>
      </c>
      <c r="H103" s="1141">
        <f>1.3372/H101</f>
        <v>0.39099415204678362</v>
      </c>
      <c r="I103" s="1141">
        <f>1.3372/I101</f>
        <v>0.39099415204678362</v>
      </c>
      <c r="J103" s="1141">
        <f>1.2799/J101</f>
        <v>0.37423976608187137</v>
      </c>
      <c r="K103" s="1141">
        <f>1.2799/K101</f>
        <v>0.37423976608187137</v>
      </c>
      <c r="L103" s="1141">
        <f>1.2799/L101</f>
        <v>0.37423976608187137</v>
      </c>
      <c r="M103" s="1141">
        <f>1.2799/M101</f>
        <v>0.37423976608187137</v>
      </c>
      <c r="N103" s="1141">
        <f>1.2799/N101</f>
        <v>0.37423976608187137</v>
      </c>
    </row>
    <row r="104" spans="1:14">
      <c r="A104" s="3474"/>
      <c r="B104" s="1140">
        <v>3</v>
      </c>
      <c r="C104" s="1141">
        <f>1.1594/C101</f>
        <v>0.33900584795321637</v>
      </c>
      <c r="D104" s="1141">
        <f>1.1594/D101</f>
        <v>0.33900584795321637</v>
      </c>
      <c r="E104" s="1141">
        <f>1.0788/E101</f>
        <v>0.31543859649122807</v>
      </c>
      <c r="F104" s="1141">
        <f>1.0788/F101</f>
        <v>0.31543859649122807</v>
      </c>
      <c r="G104" s="1141">
        <f>1.0788/G101</f>
        <v>0.31543859649122807</v>
      </c>
      <c r="H104" s="1141">
        <f>1.0788/H101</f>
        <v>0.31543859649122807</v>
      </c>
      <c r="I104" s="1141">
        <f>1.0788/I101</f>
        <v>0.31543859649122807</v>
      </c>
      <c r="J104" s="1141">
        <f>1.0072/J101</f>
        <v>0.29450292397660821</v>
      </c>
      <c r="K104" s="1141">
        <f>1.0072/K101</f>
        <v>0.29450292397660821</v>
      </c>
      <c r="L104" s="1141">
        <f>1.0072/L101</f>
        <v>0.29450292397660821</v>
      </c>
      <c r="M104" s="1141">
        <f>1.0072/M101</f>
        <v>0.29450292397660821</v>
      </c>
      <c r="N104" s="1141">
        <f>1.0072/N101</f>
        <v>0.29450292397660821</v>
      </c>
    </row>
    <row r="105" spans="1:14">
      <c r="A105" s="3474"/>
      <c r="B105" s="1140">
        <v>4</v>
      </c>
      <c r="C105" s="1141">
        <f>0.9622/C101</f>
        <v>0.28134502923976612</v>
      </c>
      <c r="D105" s="1141">
        <f>0.9622/D101</f>
        <v>0.28134502923976612</v>
      </c>
      <c r="E105" s="1141">
        <f>0.8656/E101</f>
        <v>0.25309941520467838</v>
      </c>
      <c r="F105" s="1141">
        <f>0.8656/F101</f>
        <v>0.25309941520467838</v>
      </c>
      <c r="G105" s="1141">
        <f>0.8656/G101</f>
        <v>0.25309941520467838</v>
      </c>
      <c r="H105" s="1141">
        <f>0.8656/H101</f>
        <v>0.25309941520467838</v>
      </c>
      <c r="I105" s="1141">
        <f>0.8656/I101</f>
        <v>0.25309941520467838</v>
      </c>
      <c r="J105" s="1141">
        <f>0.7525/J101</f>
        <v>0.22002923976608185</v>
      </c>
      <c r="K105" s="1141">
        <f>0.7525/K101</f>
        <v>0.22002923976608185</v>
      </c>
      <c r="L105" s="1141">
        <f>0.7525/L101</f>
        <v>0.22002923976608185</v>
      </c>
      <c r="M105" s="1141">
        <f>0.7525/M101</f>
        <v>0.22002923976608185</v>
      </c>
      <c r="N105" s="1141">
        <f>0.7525/N101</f>
        <v>0.22002923976608185</v>
      </c>
    </row>
    <row r="106" spans="1:14">
      <c r="A106" s="3474"/>
      <c r="B106" s="1140">
        <v>5</v>
      </c>
      <c r="C106" s="1141">
        <f>0.8417/C101</f>
        <v>0.24611111111111111</v>
      </c>
      <c r="D106" s="1141">
        <f>0.8417/D101</f>
        <v>0.24611111111111111</v>
      </c>
      <c r="E106" s="1141">
        <f>0.7371/E101</f>
        <v>0.21552631578947368</v>
      </c>
      <c r="F106" s="1141">
        <f>0.7371/F101</f>
        <v>0.21552631578947368</v>
      </c>
      <c r="G106" s="1141">
        <f>0.7371/G101</f>
        <v>0.21552631578947368</v>
      </c>
      <c r="H106" s="1141">
        <f>0.7371/H101</f>
        <v>0.21552631578947368</v>
      </c>
      <c r="I106" s="1141">
        <f>0.7371/I101</f>
        <v>0.21552631578947368</v>
      </c>
      <c r="J106" s="1141">
        <f>0.5659/J101</f>
        <v>0.16546783625730993</v>
      </c>
      <c r="K106" s="1141">
        <f>0.5659/K101</f>
        <v>0.16546783625730993</v>
      </c>
      <c r="L106" s="1141">
        <f>0.5659/L101</f>
        <v>0.16546783625730993</v>
      </c>
      <c r="M106" s="1141">
        <f>0.5659/M101</f>
        <v>0.16546783625730993</v>
      </c>
      <c r="N106" s="1141">
        <f>0.5659/N101</f>
        <v>0.16546783625730993</v>
      </c>
    </row>
    <row r="107" spans="1:14">
      <c r="A107" s="3474"/>
      <c r="B107" s="1140">
        <v>6</v>
      </c>
      <c r="C107" s="1141">
        <f>0.7608/C101</f>
        <v>0.22245614035087721</v>
      </c>
      <c r="D107" s="1141">
        <f>0.7608/D101</f>
        <v>0.22245614035087721</v>
      </c>
      <c r="E107" s="1141">
        <f>0.6482/E101</f>
        <v>0.18953216374269005</v>
      </c>
      <c r="F107" s="1141">
        <f>0.6482/F101</f>
        <v>0.18953216374269005</v>
      </c>
      <c r="G107" s="1141">
        <f>0.6482/G101</f>
        <v>0.18953216374269005</v>
      </c>
      <c r="H107" s="1141">
        <f>0.6482/H101</f>
        <v>0.18953216374269005</v>
      </c>
      <c r="I107" s="1141">
        <f>0.6482/I101</f>
        <v>0.18953216374269005</v>
      </c>
      <c r="J107" s="1141">
        <f>0.4525/J101</f>
        <v>0.13230994152046785</v>
      </c>
      <c r="K107" s="1141">
        <f>0.4525/K101</f>
        <v>0.13230994152046785</v>
      </c>
      <c r="L107" s="1141">
        <f>0.4525/L101</f>
        <v>0.13230994152046785</v>
      </c>
      <c r="M107" s="1141">
        <f>0.4525/M101</f>
        <v>0.13230994152046785</v>
      </c>
      <c r="N107" s="1141">
        <f>0.4525/N101</f>
        <v>0.13230994152046785</v>
      </c>
    </row>
    <row r="108" spans="1:14">
      <c r="A108" s="3474"/>
      <c r="B108" s="3476" t="s">
        <v>1634</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75"/>
      <c r="B109" s="3477"/>
      <c r="C109" s="1143">
        <f>(-0.163*(C108^2)-0.59*C108+7617)*(10^(-4))/C101</f>
        <v>0.22227625730994152</v>
      </c>
      <c r="D109" s="1143">
        <f>(-0.163*(D108^2)-0.59*D108+7617)*(10^(-4))/D101</f>
        <v>0.22227625730994152</v>
      </c>
      <c r="E109" s="1143">
        <f>(-0.161*(E108^2)-7.509*E108+6533)*(10^(-4))/E101</f>
        <v>0.18896561403508771</v>
      </c>
      <c r="F109" s="1143">
        <f>(-0.161*(F108^2)-7.509*F108+6533)*(10^(-4))/F101</f>
        <v>0.18896561403508771</v>
      </c>
      <c r="G109" s="1143">
        <f>(-0.161*(G108^2)-7.509*G108+6533)*(10^(-4))/G101</f>
        <v>0.18896561403508771</v>
      </c>
      <c r="H109" s="1143">
        <f>(-0.161*(H108^2)-7.509*H108+6533)*(10^(-4))/H101</f>
        <v>0.18896561403508771</v>
      </c>
      <c r="I109" s="1143">
        <f>(-0.161*(I108^2)-7.509*I108+6533)*(10^(-4))/I101</f>
        <v>0.18896561403508771</v>
      </c>
      <c r="J109" s="1143">
        <f>(-0.214*(J108^2)-21.991*J108+4665)*(10^(-4))/J101</f>
        <v>0.13085894736842107</v>
      </c>
      <c r="K109" s="1143">
        <f>(-0.214*(K108^2)-21.991*K108+4665)*(10^(-4))/K101</f>
        <v>0.13085894736842107</v>
      </c>
      <c r="L109" s="1143">
        <f>(-0.214*(L108^2)-21.991*L108+4665)*(10^(-4))/L101</f>
        <v>0.13085894736842107</v>
      </c>
      <c r="M109" s="1143">
        <f>(-0.214*(M108^2)-21.991*M108+4665)*(10^(-4))/M101</f>
        <v>0.13085894736842107</v>
      </c>
      <c r="N109" s="1143">
        <f>(-0.214*(N108^2)-21.991*N108+4665)*(10^(-4))/N101</f>
        <v>0.13085894736842107</v>
      </c>
    </row>
    <row r="110" spans="1:14">
      <c r="A110" s="3478" t="s">
        <v>1635</v>
      </c>
      <c r="B110" s="3478"/>
      <c r="C110" s="3478"/>
      <c r="D110" s="3478"/>
      <c r="E110" s="3478"/>
      <c r="F110" s="3478"/>
      <c r="G110" s="3478"/>
      <c r="H110" s="3478"/>
      <c r="I110" s="3478"/>
      <c r="J110" s="3478"/>
      <c r="K110" s="2468"/>
      <c r="L110" s="2468"/>
      <c r="M110" s="2468"/>
      <c r="N110" s="2468"/>
    </row>
    <row r="112" spans="1:14" ht="12.75" thickBot="1"/>
    <row r="113" spans="1:13" ht="25.5" thickBot="1">
      <c r="A113" s="1013" t="s">
        <v>891</v>
      </c>
      <c r="B113" s="2471">
        <f>G3</f>
        <v>3.42</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0.90139999999999998</v>
      </c>
      <c r="C115" s="1027">
        <f>B115</f>
        <v>0.90139999999999998</v>
      </c>
      <c r="D115" s="1027">
        <f>ROUND(0.8331-0.0109*B113,4)</f>
        <v>0.79579999999999995</v>
      </c>
      <c r="E115" s="1027">
        <f>D115</f>
        <v>0.79579999999999995</v>
      </c>
      <c r="F115" s="1027">
        <f>E115</f>
        <v>0.79579999999999995</v>
      </c>
      <c r="G115" s="1027">
        <f>F115</f>
        <v>0.79579999999999995</v>
      </c>
      <c r="H115" s="1027">
        <f>G115</f>
        <v>0.79579999999999995</v>
      </c>
      <c r="I115" s="1027">
        <f>ROUND(0.689-0.0155*B113,4)</f>
        <v>0.63600000000000001</v>
      </c>
      <c r="J115" s="1027">
        <f t="shared" ref="J115:M118" si="33">I115</f>
        <v>0.63600000000000001</v>
      </c>
      <c r="K115" s="1027">
        <f t="shared" si="33"/>
        <v>0.63600000000000001</v>
      </c>
      <c r="L115" s="1027">
        <f t="shared" si="33"/>
        <v>0.63600000000000001</v>
      </c>
      <c r="M115" s="1028">
        <f t="shared" si="33"/>
        <v>0.63600000000000001</v>
      </c>
    </row>
    <row r="116" spans="1:13" ht="12.75">
      <c r="A116" s="1026" t="s">
        <v>896</v>
      </c>
      <c r="B116" s="1027">
        <f>ROUND(0.949-0.012*B113,4)</f>
        <v>0.90800000000000003</v>
      </c>
      <c r="C116" s="1027">
        <f>B116</f>
        <v>0.90800000000000003</v>
      </c>
      <c r="D116" s="1027">
        <f>ROUND(0.8567-0.013*B113,4)</f>
        <v>0.81220000000000003</v>
      </c>
      <c r="E116" s="1027">
        <f t="shared" ref="E116:H117" si="34">D116</f>
        <v>0.81220000000000003</v>
      </c>
      <c r="F116" s="1027">
        <f t="shared" si="34"/>
        <v>0.81220000000000003</v>
      </c>
      <c r="G116" s="1027">
        <f t="shared" si="34"/>
        <v>0.81220000000000003</v>
      </c>
      <c r="H116" s="1027">
        <f t="shared" si="34"/>
        <v>0.81220000000000003</v>
      </c>
      <c r="I116" s="1027">
        <f>ROUND(0.7694-0.014*B113,4)</f>
        <v>0.72150000000000003</v>
      </c>
      <c r="J116" s="1027">
        <f t="shared" si="33"/>
        <v>0.72150000000000003</v>
      </c>
      <c r="K116" s="1027">
        <f t="shared" si="33"/>
        <v>0.72150000000000003</v>
      </c>
      <c r="L116" s="1027">
        <f t="shared" si="33"/>
        <v>0.72150000000000003</v>
      </c>
      <c r="M116" s="1028">
        <f t="shared" si="33"/>
        <v>0.72150000000000003</v>
      </c>
    </row>
    <row r="117" spans="1:13" ht="12.75">
      <c r="A117" s="1029" t="s">
        <v>897</v>
      </c>
      <c r="B117" s="1027">
        <f>ROUND(0.8808-0.006*B113,4)</f>
        <v>0.86029999999999995</v>
      </c>
      <c r="C117" s="1027">
        <f>B117</f>
        <v>0.86029999999999995</v>
      </c>
      <c r="D117" s="1027">
        <f>ROUND(0.8748-0.008*B113,4)</f>
        <v>0.84740000000000004</v>
      </c>
      <c r="E117" s="1027">
        <f t="shared" si="34"/>
        <v>0.84740000000000004</v>
      </c>
      <c r="F117" s="1027">
        <f t="shared" si="34"/>
        <v>0.84740000000000004</v>
      </c>
      <c r="G117" s="1027">
        <f t="shared" si="34"/>
        <v>0.84740000000000004</v>
      </c>
      <c r="H117" s="1027">
        <f t="shared" si="34"/>
        <v>0.84740000000000004</v>
      </c>
      <c r="I117" s="1027">
        <f>ROUND(0.7412-0.0095*B113,4)</f>
        <v>0.7087</v>
      </c>
      <c r="J117" s="1027">
        <f t="shared" si="33"/>
        <v>0.7087</v>
      </c>
      <c r="K117" s="1027">
        <f t="shared" si="33"/>
        <v>0.7087</v>
      </c>
      <c r="L117" s="1027">
        <f t="shared" si="33"/>
        <v>0.7087</v>
      </c>
      <c r="M117" s="1028">
        <f t="shared" si="33"/>
        <v>0.7087</v>
      </c>
    </row>
    <row r="118" spans="1:13" ht="13.5" thickBot="1">
      <c r="A118" s="1030" t="s">
        <v>898</v>
      </c>
      <c r="B118" s="1031">
        <f>ROUND(0.7275-0.01*B113,4)</f>
        <v>0.69330000000000003</v>
      </c>
      <c r="C118" s="1031">
        <f>B118</f>
        <v>0.69330000000000003</v>
      </c>
      <c r="D118" s="1031">
        <f>ROUND(0.7043-0.012*B113,4)</f>
        <v>0.6633</v>
      </c>
      <c r="E118" s="1031">
        <f>D118</f>
        <v>0.6633</v>
      </c>
      <c r="F118" s="1031">
        <f>E118</f>
        <v>0.6633</v>
      </c>
      <c r="G118" s="1031">
        <f>ROUND(0.6299-0.0122*B113,4)</f>
        <v>0.58819999999999995</v>
      </c>
      <c r="H118" s="1031">
        <f>G118</f>
        <v>0.58819999999999995</v>
      </c>
      <c r="I118" s="1031">
        <f>ROUND(0.5667-0.0136*B113,4)</f>
        <v>0.5202</v>
      </c>
      <c r="J118" s="1031">
        <f t="shared" si="33"/>
        <v>0.5202</v>
      </c>
      <c r="K118" s="1031">
        <f t="shared" si="33"/>
        <v>0.5202</v>
      </c>
      <c r="L118" s="1031">
        <f t="shared" si="33"/>
        <v>0.5202</v>
      </c>
      <c r="M118" s="1032">
        <f t="shared" si="33"/>
        <v>0.5202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受贵公司委托，我公司对8号地块出让国有建设用地使用权抵押价格进行了预评估。</v>
      </c>
    </row>
    <row r="5" spans="1:4" ht="18.75">
      <c r="A5" s="1792" t="s">
        <v>1901</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56.25">
      <c r="A7" s="1793" t="s">
        <v>2748</v>
      </c>
    </row>
    <row r="8" spans="1:4" ht="18.75">
      <c r="A8" s="1792" t="s">
        <v>1902</v>
      </c>
    </row>
    <row r="9" spans="1:4" ht="75">
      <c r="A9" s="1794"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2018年1月9日（评估专业人员勘察现场之日）</v>
      </c>
    </row>
    <row r="12" spans="1:4" ht="18.75">
      <c r="A12" s="1795" t="s">
        <v>2023</v>
      </c>
    </row>
    <row r="13" spans="1:4" ht="18.75">
      <c r="A13" s="1789" t="s">
        <v>2945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1427</v>
      </c>
      <c r="B1" s="1069" t="s">
        <v>902</v>
      </c>
      <c r="C1" s="1069" t="s">
        <v>903</v>
      </c>
      <c r="D1" s="1069" t="s">
        <v>904</v>
      </c>
      <c r="E1" s="1069" t="s">
        <v>905</v>
      </c>
      <c r="F1" s="1069" t="s">
        <v>906</v>
      </c>
      <c r="G1" s="1069" t="s">
        <v>907</v>
      </c>
      <c r="H1" s="1069" t="s">
        <v>908</v>
      </c>
      <c r="I1" s="1069" t="s">
        <v>909</v>
      </c>
      <c r="J1" s="1069" t="s">
        <v>910</v>
      </c>
      <c r="K1" s="1069" t="s">
        <v>911</v>
      </c>
      <c r="L1" s="1069" t="s">
        <v>912</v>
      </c>
      <c r="M1" s="1070" t="s">
        <v>913</v>
      </c>
    </row>
    <row r="2" spans="1:13" ht="19.5" customHeight="1">
      <c r="A2" s="1104" t="s">
        <v>1003</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1025</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1027</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1428</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1429</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1430</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1431</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1432</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1433</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1434</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1435</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1436</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1437</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1438</v>
      </c>
      <c r="B16" s="1123"/>
      <c r="C16" s="1124"/>
      <c r="D16" s="1124"/>
      <c r="E16" s="1123"/>
      <c r="F16" s="1124"/>
      <c r="G16" s="1124"/>
    </row>
    <row r="17" spans="1:9" ht="19.5" customHeight="1">
      <c r="A17" s="1065" t="s">
        <v>1439</v>
      </c>
      <c r="B17" s="1125" t="s">
        <v>1440</v>
      </c>
      <c r="C17" s="1125" t="s">
        <v>1639</v>
      </c>
      <c r="D17" s="1126"/>
      <c r="E17" s="1065" t="s">
        <v>1441</v>
      </c>
      <c r="F17" s="1127"/>
      <c r="G17" s="1127"/>
    </row>
    <row r="18" spans="1:9" s="1596" customFormat="1" ht="19.5" customHeight="1">
      <c r="A18" s="3484" t="s">
        <v>1003</v>
      </c>
      <c r="B18" s="1151" t="s">
        <v>1442</v>
      </c>
      <c r="C18" s="1128" t="s">
        <v>1443</v>
      </c>
      <c r="D18" s="1129"/>
      <c r="E18" s="1151">
        <v>1</v>
      </c>
      <c r="F18" s="1130" t="s">
        <v>1444</v>
      </c>
      <c r="G18" s="1131"/>
      <c r="H18" s="1102"/>
      <c r="I18" s="1102"/>
    </row>
    <row r="19" spans="1:9" s="1596" customFormat="1" ht="19.5" customHeight="1">
      <c r="A19" s="3484"/>
      <c r="B19" s="3484" t="s">
        <v>1445</v>
      </c>
      <c r="C19" s="1128" t="s">
        <v>1446</v>
      </c>
      <c r="D19" s="1129"/>
      <c r="E19" s="1151">
        <v>0.9</v>
      </c>
      <c r="F19" s="1130" t="s">
        <v>1447</v>
      </c>
      <c r="G19" s="1131"/>
      <c r="H19" s="1102"/>
      <c r="I19" s="1102"/>
    </row>
    <row r="20" spans="1:9" s="1596" customFormat="1" ht="19.5" customHeight="1">
      <c r="A20" s="3484"/>
      <c r="B20" s="3484"/>
      <c r="C20" s="1128" t="s">
        <v>1448</v>
      </c>
      <c r="D20" s="1129"/>
      <c r="E20" s="1151">
        <v>1.1000000000000001</v>
      </c>
      <c r="F20" s="1130" t="s">
        <v>1449</v>
      </c>
      <c r="G20" s="1131"/>
      <c r="H20" s="1102"/>
      <c r="I20" s="1102"/>
    </row>
    <row r="21" spans="1:9" s="1596" customFormat="1" ht="19.5" customHeight="1">
      <c r="A21" s="3484"/>
      <c r="B21" s="3484"/>
      <c r="C21" s="1128" t="s">
        <v>1450</v>
      </c>
      <c r="D21" s="1129"/>
      <c r="E21" s="1151">
        <v>0.8</v>
      </c>
      <c r="F21" s="1130" t="s">
        <v>1451</v>
      </c>
      <c r="G21" s="1131"/>
      <c r="H21" s="1102"/>
      <c r="I21" s="1102"/>
    </row>
    <row r="22" spans="1:9" s="1596" customFormat="1" ht="19.5" customHeight="1">
      <c r="A22" s="3484"/>
      <c r="B22" s="3484"/>
      <c r="C22" s="1128" t="s">
        <v>1452</v>
      </c>
      <c r="D22" s="1129"/>
      <c r="E22" s="1151">
        <v>0.5</v>
      </c>
      <c r="F22" s="1130"/>
      <c r="G22" s="1131"/>
      <c r="H22" s="1102"/>
      <c r="I22" s="1102"/>
    </row>
    <row r="23" spans="1:9" s="1596" customFormat="1" ht="19.5" customHeight="1">
      <c r="A23" s="3484" t="s">
        <v>1025</v>
      </c>
      <c r="B23" s="1151" t="s">
        <v>1442</v>
      </c>
      <c r="C23" s="1128" t="s">
        <v>1453</v>
      </c>
      <c r="D23" s="1129"/>
      <c r="E23" s="1151">
        <v>1</v>
      </c>
      <c r="F23" s="1130" t="s">
        <v>1454</v>
      </c>
      <c r="G23" s="1131"/>
      <c r="H23" s="1102"/>
      <c r="I23" s="1102"/>
    </row>
    <row r="24" spans="1:9" s="1596" customFormat="1" ht="19.5" customHeight="1">
      <c r="A24" s="3484"/>
      <c r="B24" s="3484" t="s">
        <v>1445</v>
      </c>
      <c r="C24" s="1128" t="s">
        <v>1455</v>
      </c>
      <c r="D24" s="1129"/>
      <c r="E24" s="1151">
        <v>0.5</v>
      </c>
      <c r="F24" s="1130"/>
      <c r="G24" s="1131"/>
      <c r="H24" s="1102"/>
      <c r="I24" s="1102"/>
    </row>
    <row r="25" spans="1:9" s="1596" customFormat="1" ht="19.5" customHeight="1">
      <c r="A25" s="3484"/>
      <c r="B25" s="3484"/>
      <c r="C25" s="1128" t="s">
        <v>1456</v>
      </c>
      <c r="D25" s="1129"/>
      <c r="E25" s="1151">
        <v>1.1000000000000001</v>
      </c>
      <c r="F25" s="1130"/>
      <c r="G25" s="1131"/>
      <c r="H25" s="1102"/>
      <c r="I25" s="1102"/>
    </row>
    <row r="26" spans="1:9" s="1596" customFormat="1" ht="19.5" customHeight="1">
      <c r="A26" s="3484"/>
      <c r="B26" s="3484"/>
      <c r="C26" s="1128" t="s">
        <v>1457</v>
      </c>
      <c r="D26" s="1129"/>
      <c r="E26" s="1151">
        <v>1.1000000000000001</v>
      </c>
      <c r="F26" s="1130"/>
      <c r="G26" s="1131"/>
      <c r="H26" s="1102"/>
      <c r="I26" s="1102"/>
    </row>
    <row r="27" spans="1:9" s="1596" customFormat="1" ht="19.5" customHeight="1">
      <c r="A27" s="3484"/>
      <c r="B27" s="3484"/>
      <c r="C27" s="1128" t="s">
        <v>1458</v>
      </c>
      <c r="D27" s="1129"/>
      <c r="E27" s="1151">
        <v>0.9</v>
      </c>
      <c r="F27" s="1130" t="s">
        <v>1459</v>
      </c>
      <c r="G27" s="1131"/>
      <c r="H27" s="1102"/>
      <c r="I27" s="1102"/>
    </row>
    <row r="28" spans="1:9" s="1596" customFormat="1" ht="19.5" customHeight="1">
      <c r="A28" s="3484"/>
      <c r="B28" s="3484"/>
      <c r="C28" s="1128" t="s">
        <v>1460</v>
      </c>
      <c r="D28" s="1129"/>
      <c r="E28" s="1151">
        <v>0.9</v>
      </c>
      <c r="F28" s="1130" t="s">
        <v>1461</v>
      </c>
      <c r="G28" s="1131"/>
      <c r="H28" s="1102"/>
      <c r="I28" s="1102"/>
    </row>
    <row r="29" spans="1:9" s="1596" customFormat="1" ht="19.5" customHeight="1">
      <c r="A29" s="3484"/>
      <c r="B29" s="3484"/>
      <c r="C29" s="1128" t="s">
        <v>1462</v>
      </c>
      <c r="D29" s="1129"/>
      <c r="E29" s="1151">
        <v>0.9</v>
      </c>
      <c r="F29" s="1130" t="s">
        <v>1463</v>
      </c>
      <c r="G29" s="1131"/>
      <c r="H29" s="1102"/>
      <c r="I29" s="1102"/>
    </row>
    <row r="30" spans="1:9" s="1596" customFormat="1" ht="19.5" customHeight="1">
      <c r="A30" s="3484"/>
      <c r="B30" s="3484"/>
      <c r="C30" s="1128" t="s">
        <v>1464</v>
      </c>
      <c r="D30" s="1129"/>
      <c r="E30" s="1151">
        <v>0.9</v>
      </c>
      <c r="F30" s="1130" t="s">
        <v>1465</v>
      </c>
      <c r="G30" s="1131"/>
      <c r="H30" s="1102"/>
      <c r="I30" s="1102"/>
    </row>
    <row r="31" spans="1:9" s="1596" customFormat="1" ht="19.5" customHeight="1">
      <c r="A31" s="3484"/>
      <c r="B31" s="3484"/>
      <c r="C31" s="1128" t="s">
        <v>1466</v>
      </c>
      <c r="D31" s="1129"/>
      <c r="E31" s="1151">
        <v>0.8</v>
      </c>
      <c r="F31" s="1130" t="s">
        <v>1467</v>
      </c>
      <c r="G31" s="1131"/>
      <c r="H31" s="1102"/>
      <c r="I31" s="1102"/>
    </row>
    <row r="32" spans="1:9" s="1596" customFormat="1" ht="19.5" customHeight="1">
      <c r="A32" s="3484"/>
      <c r="B32" s="3484"/>
      <c r="C32" s="1128" t="s">
        <v>1468</v>
      </c>
      <c r="D32" s="1129"/>
      <c r="E32" s="1151">
        <v>0.8</v>
      </c>
      <c r="F32" s="1130" t="s">
        <v>1469</v>
      </c>
      <c r="G32" s="1131"/>
      <c r="H32" s="1102"/>
      <c r="I32" s="1102"/>
    </row>
    <row r="33" spans="1:9" s="1596" customFormat="1" ht="19.5" customHeight="1">
      <c r="A33" s="3484" t="s">
        <v>1470</v>
      </c>
      <c r="B33" s="1151" t="s">
        <v>1442</v>
      </c>
      <c r="C33" s="1128" t="s">
        <v>1471</v>
      </c>
      <c r="D33" s="1129"/>
      <c r="E33" s="1151">
        <v>1</v>
      </c>
      <c r="F33" s="1130" t="s">
        <v>1472</v>
      </c>
      <c r="G33" s="1131"/>
      <c r="H33" s="1102"/>
      <c r="I33" s="1102"/>
    </row>
    <row r="34" spans="1:9" s="1596" customFormat="1" ht="19.5" customHeight="1">
      <c r="A34" s="3484"/>
      <c r="B34" s="1151" t="s">
        <v>1445</v>
      </c>
      <c r="C34" s="1128" t="s">
        <v>1473</v>
      </c>
      <c r="D34" s="1129"/>
      <c r="E34" s="1151">
        <v>1.5</v>
      </c>
      <c r="F34" s="1130" t="s">
        <v>1474</v>
      </c>
      <c r="G34" s="1131"/>
      <c r="H34" s="1102"/>
      <c r="I34" s="1102"/>
    </row>
    <row r="35" spans="1:9" s="1596" customFormat="1" ht="19.5" customHeight="1">
      <c r="A35" s="3484" t="s">
        <v>1428</v>
      </c>
      <c r="B35" s="1151" t="s">
        <v>1442</v>
      </c>
      <c r="C35" s="1128" t="s">
        <v>1475</v>
      </c>
      <c r="D35" s="1129"/>
      <c r="E35" s="1151">
        <v>1</v>
      </c>
      <c r="F35" s="1130" t="s">
        <v>1476</v>
      </c>
      <c r="G35" s="1131"/>
      <c r="H35" s="1102"/>
      <c r="I35" s="1102"/>
    </row>
    <row r="36" spans="1:9" s="1596" customFormat="1" ht="19.5" customHeight="1">
      <c r="A36" s="3484"/>
      <c r="B36" s="3484" t="s">
        <v>1445</v>
      </c>
      <c r="C36" s="1128" t="s">
        <v>1477</v>
      </c>
      <c r="D36" s="1129"/>
      <c r="E36" s="1151">
        <v>1</v>
      </c>
      <c r="F36" s="1130" t="s">
        <v>1478</v>
      </c>
      <c r="G36" s="1131"/>
      <c r="H36" s="1102"/>
      <c r="I36" s="1102"/>
    </row>
    <row r="37" spans="1:9" s="1596" customFormat="1" ht="19.5" customHeight="1">
      <c r="A37" s="3484"/>
      <c r="B37" s="3484"/>
      <c r="C37" s="1128" t="s">
        <v>1479</v>
      </c>
      <c r="D37" s="1129"/>
      <c r="E37" s="1151">
        <v>1.5</v>
      </c>
      <c r="F37" s="1130" t="s">
        <v>1480</v>
      </c>
      <c r="G37" s="1131"/>
      <c r="H37" s="1102"/>
      <c r="I37" s="1102"/>
    </row>
    <row r="38" spans="1:9" s="1596" customFormat="1" ht="19.5" customHeight="1">
      <c r="A38" s="3484"/>
      <c r="B38" s="3484"/>
      <c r="C38" s="1128" t="s">
        <v>1481</v>
      </c>
      <c r="D38" s="1129"/>
      <c r="E38" s="1151">
        <v>1</v>
      </c>
      <c r="F38" s="1130" t="s">
        <v>1482</v>
      </c>
      <c r="G38" s="1131"/>
      <c r="H38" s="1102"/>
      <c r="I38" s="1102"/>
    </row>
    <row r="39" spans="1:9" s="1596" customFormat="1" ht="19.5" customHeight="1">
      <c r="A39" s="3484"/>
      <c r="B39" s="3484"/>
      <c r="C39" s="1128" t="s">
        <v>1483</v>
      </c>
      <c r="D39" s="1129"/>
      <c r="E39" s="1151">
        <v>1</v>
      </c>
      <c r="F39" s="1130" t="s">
        <v>1484</v>
      </c>
      <c r="G39" s="1131"/>
      <c r="H39" s="1102"/>
      <c r="I39" s="1102"/>
    </row>
    <row r="40" spans="1:9" s="1596" customFormat="1" ht="19.5" customHeight="1">
      <c r="A40" s="1597" t="s">
        <v>1485</v>
      </c>
      <c r="B40" s="1597"/>
      <c r="C40" s="1597"/>
      <c r="D40" s="1597"/>
      <c r="E40" s="1597"/>
      <c r="F40" s="1130"/>
      <c r="G40" s="1130"/>
      <c r="H40" s="1102"/>
      <c r="I40" s="1102"/>
    </row>
    <row r="42" spans="1:9" ht="19.5" customHeight="1">
      <c r="A42" s="1132"/>
      <c r="B42" s="1065" t="s">
        <v>1486</v>
      </c>
      <c r="C42" s="1065" t="s">
        <v>1486</v>
      </c>
      <c r="D42" s="1065" t="s">
        <v>1486</v>
      </c>
      <c r="E42" s="1150" t="s">
        <v>1486</v>
      </c>
      <c r="F42" s="1150" t="s">
        <v>1486</v>
      </c>
      <c r="G42" s="1150" t="s">
        <v>1487</v>
      </c>
      <c r="H42" s="1150" t="s">
        <v>1486</v>
      </c>
    </row>
    <row r="43" spans="1:9" ht="19.5" customHeight="1">
      <c r="A43" s="1133"/>
      <c r="B43" s="1150" t="s">
        <v>1003</v>
      </c>
      <c r="C43" s="1150" t="s">
        <v>1003</v>
      </c>
      <c r="D43" s="1150" t="s">
        <v>1003</v>
      </c>
      <c r="E43" s="1150" t="s">
        <v>1003</v>
      </c>
      <c r="F43" s="1065" t="s">
        <v>1025</v>
      </c>
      <c r="G43" s="1065" t="s">
        <v>1428</v>
      </c>
      <c r="H43" s="1065" t="s">
        <v>1488</v>
      </c>
    </row>
    <row r="44" spans="1:9" ht="19.5" customHeight="1">
      <c r="A44" s="1134"/>
      <c r="B44" s="1065">
        <v>1</v>
      </c>
      <c r="C44" s="1065">
        <v>2</v>
      </c>
      <c r="D44" s="1065">
        <v>3</v>
      </c>
      <c r="E44" s="1150">
        <v>4</v>
      </c>
      <c r="F44" s="1126" t="s">
        <v>1489</v>
      </c>
      <c r="G44" s="1126" t="s">
        <v>1489</v>
      </c>
      <c r="H44" s="1126" t="s">
        <v>1489</v>
      </c>
    </row>
    <row r="45" spans="1:9" ht="19.5" customHeight="1">
      <c r="A45" s="1149" t="s">
        <v>902</v>
      </c>
      <c r="B45" s="1065">
        <v>0.8</v>
      </c>
      <c r="C45" s="1065">
        <v>0.5</v>
      </c>
      <c r="D45" s="1065">
        <v>0.36</v>
      </c>
      <c r="E45" s="1065">
        <v>0.3</v>
      </c>
      <c r="F45" s="1126">
        <v>0.3</v>
      </c>
      <c r="G45" s="1065">
        <v>0.3</v>
      </c>
      <c r="H45" s="1065">
        <v>0.25</v>
      </c>
    </row>
    <row r="46" spans="1:9" ht="19.5" customHeight="1">
      <c r="A46" s="1149" t="s">
        <v>903</v>
      </c>
      <c r="B46" s="1065">
        <v>0.8</v>
      </c>
      <c r="C46" s="1065">
        <v>0.5</v>
      </c>
      <c r="D46" s="1065">
        <v>0.36</v>
      </c>
      <c r="E46" s="1065">
        <v>0.3</v>
      </c>
      <c r="F46" s="1065">
        <v>0.3</v>
      </c>
      <c r="G46" s="1065">
        <v>0.3</v>
      </c>
      <c r="H46" s="1065">
        <v>0.25</v>
      </c>
    </row>
    <row r="47" spans="1:9" ht="19.5" customHeight="1">
      <c r="A47" s="1149" t="s">
        <v>904</v>
      </c>
      <c r="B47" s="1065">
        <v>0.7</v>
      </c>
      <c r="C47" s="1065">
        <v>0.4</v>
      </c>
      <c r="D47" s="1065">
        <v>0.28000000000000003</v>
      </c>
      <c r="E47" s="1065">
        <v>0.25</v>
      </c>
      <c r="F47" s="1065">
        <v>0.25</v>
      </c>
      <c r="G47" s="1065">
        <v>0.25</v>
      </c>
      <c r="H47" s="1065">
        <v>0.2</v>
      </c>
    </row>
    <row r="48" spans="1:9" ht="19.5" customHeight="1">
      <c r="A48" s="1149" t="s">
        <v>905</v>
      </c>
      <c r="B48" s="1065">
        <v>0.7</v>
      </c>
      <c r="C48" s="1065">
        <v>0.4</v>
      </c>
      <c r="D48" s="1065">
        <v>0.28000000000000003</v>
      </c>
      <c r="E48" s="1065">
        <v>0.25</v>
      </c>
      <c r="F48" s="1065">
        <v>0.25</v>
      </c>
      <c r="G48" s="1065">
        <v>0.25</v>
      </c>
      <c r="H48" s="1065">
        <v>0.2</v>
      </c>
    </row>
    <row r="49" spans="1:8" s="1102" customFormat="1" ht="19.5" customHeight="1">
      <c r="A49" s="1149" t="s">
        <v>906</v>
      </c>
      <c r="B49" s="1065">
        <v>0.7</v>
      </c>
      <c r="C49" s="1065">
        <v>0.4</v>
      </c>
      <c r="D49" s="1065">
        <v>0.28000000000000003</v>
      </c>
      <c r="E49" s="1065">
        <v>0.25</v>
      </c>
      <c r="F49" s="1065">
        <v>0.25</v>
      </c>
      <c r="G49" s="1065">
        <v>0.25</v>
      </c>
      <c r="H49" s="1065">
        <v>0.2</v>
      </c>
    </row>
    <row r="50" spans="1:8" s="1102" customFormat="1" ht="19.5" customHeight="1">
      <c r="A50" s="1149" t="s">
        <v>907</v>
      </c>
      <c r="B50" s="1065">
        <v>0.7</v>
      </c>
      <c r="C50" s="1065">
        <v>0.4</v>
      </c>
      <c r="D50" s="1065">
        <v>0.28000000000000003</v>
      </c>
      <c r="E50" s="1065">
        <v>0.25</v>
      </c>
      <c r="F50" s="1065">
        <v>0.25</v>
      </c>
      <c r="G50" s="1065">
        <v>0.25</v>
      </c>
      <c r="H50" s="1065">
        <v>0.2</v>
      </c>
    </row>
    <row r="51" spans="1:8" s="1102" customFormat="1" ht="19.5" customHeight="1">
      <c r="A51" s="1149" t="s">
        <v>908</v>
      </c>
      <c r="B51" s="1065">
        <v>0.7</v>
      </c>
      <c r="C51" s="1065">
        <v>0.4</v>
      </c>
      <c r="D51" s="1065">
        <v>0.28000000000000003</v>
      </c>
      <c r="E51" s="1065">
        <v>0.25</v>
      </c>
      <c r="F51" s="1065">
        <v>0.25</v>
      </c>
      <c r="G51" s="1065">
        <v>0.25</v>
      </c>
      <c r="H51" s="1065">
        <v>0.2</v>
      </c>
    </row>
    <row r="52" spans="1:8" s="1102" customFormat="1" ht="19.5" customHeight="1">
      <c r="A52" s="1149" t="s">
        <v>909</v>
      </c>
      <c r="B52" s="1065">
        <v>0.6</v>
      </c>
      <c r="C52" s="1065">
        <v>0.3</v>
      </c>
      <c r="D52" s="1065">
        <v>0.2</v>
      </c>
      <c r="E52" s="1065">
        <v>0.2</v>
      </c>
      <c r="F52" s="1065">
        <v>0.2</v>
      </c>
      <c r="G52" s="1065">
        <v>0.2</v>
      </c>
      <c r="H52" s="1065">
        <v>0.15</v>
      </c>
    </row>
    <row r="53" spans="1:8" s="1102" customFormat="1" ht="19.5" customHeight="1">
      <c r="A53" s="1149" t="s">
        <v>910</v>
      </c>
      <c r="B53" s="1065">
        <v>0.6</v>
      </c>
      <c r="C53" s="1065">
        <v>0.3</v>
      </c>
      <c r="D53" s="1065">
        <v>0.2</v>
      </c>
      <c r="E53" s="1065">
        <v>0.2</v>
      </c>
      <c r="F53" s="1065">
        <v>0.2</v>
      </c>
      <c r="G53" s="1065">
        <v>0.2</v>
      </c>
      <c r="H53" s="1065">
        <v>0.15</v>
      </c>
    </row>
    <row r="54" spans="1:8" s="1102" customFormat="1" ht="19.5" customHeight="1">
      <c r="A54" s="1149" t="s">
        <v>911</v>
      </c>
      <c r="B54" s="1065">
        <v>0.6</v>
      </c>
      <c r="C54" s="1065">
        <v>0.3</v>
      </c>
      <c r="D54" s="1065">
        <v>0.2</v>
      </c>
      <c r="E54" s="1065">
        <v>0.2</v>
      </c>
      <c r="F54" s="1065">
        <v>0.2</v>
      </c>
      <c r="G54" s="1065">
        <v>0.2</v>
      </c>
      <c r="H54" s="1065">
        <v>0.15</v>
      </c>
    </row>
    <row r="55" spans="1:8" s="1102" customFormat="1" ht="19.5" customHeight="1">
      <c r="A55" s="1149" t="s">
        <v>912</v>
      </c>
      <c r="B55" s="1065">
        <v>0.6</v>
      </c>
      <c r="C55" s="1065">
        <v>0.3</v>
      </c>
      <c r="D55" s="1065">
        <v>0.2</v>
      </c>
      <c r="E55" s="1065">
        <v>0.2</v>
      </c>
      <c r="F55" s="1065">
        <v>0.2</v>
      </c>
      <c r="G55" s="1065">
        <v>0.2</v>
      </c>
      <c r="H55" s="1065">
        <v>0.15</v>
      </c>
    </row>
    <row r="56" spans="1:8" s="1102" customFormat="1" ht="19.5" customHeight="1">
      <c r="A56" s="1149" t="s">
        <v>913</v>
      </c>
      <c r="B56" s="1065">
        <v>0.6</v>
      </c>
      <c r="C56" s="1065">
        <v>0.3</v>
      </c>
      <c r="D56" s="1065">
        <v>0.2</v>
      </c>
      <c r="E56" s="1065">
        <v>0.2</v>
      </c>
      <c r="F56" s="1065">
        <v>0.2</v>
      </c>
      <c r="G56" s="1065">
        <v>0.2</v>
      </c>
      <c r="H56" s="1065">
        <v>0.15</v>
      </c>
    </row>
    <row r="58" spans="1:8" s="1102" customFormat="1" ht="19.5" customHeight="1">
      <c r="A58" s="1135"/>
      <c r="B58" s="1123"/>
      <c r="C58" s="1123"/>
      <c r="D58" s="1123" t="s">
        <v>1490</v>
      </c>
      <c r="E58" s="1123"/>
      <c r="F58" s="1123"/>
    </row>
    <row r="59" spans="1:8" s="1102" customFormat="1" ht="19.5" customHeight="1">
      <c r="A59" s="1151" t="s">
        <v>1491</v>
      </c>
      <c r="B59" s="1151" t="s">
        <v>1492</v>
      </c>
      <c r="C59" s="1151" t="s">
        <v>1493</v>
      </c>
      <c r="D59" s="1151" t="s">
        <v>1494</v>
      </c>
      <c r="E59" s="1151" t="s">
        <v>1495</v>
      </c>
      <c r="F59" s="1151" t="s">
        <v>1496</v>
      </c>
    </row>
    <row r="60" spans="1:8" s="1102" customFormat="1" ht="19.5" customHeight="1">
      <c r="A60" s="1151"/>
      <c r="B60" s="1151"/>
      <c r="C60" s="1151" t="s">
        <v>1628</v>
      </c>
      <c r="D60" s="1151"/>
      <c r="E60" s="1136" t="s">
        <v>1437</v>
      </c>
      <c r="F60" s="1151" t="s">
        <v>1437</v>
      </c>
    </row>
    <row r="61" spans="1:8" s="1102" customFormat="1" ht="24">
      <c r="A61" s="1151">
        <v>1</v>
      </c>
      <c r="B61" s="3484" t="s">
        <v>1497</v>
      </c>
      <c r="C61" s="1065" t="s">
        <v>1498</v>
      </c>
      <c r="D61" s="1065" t="s">
        <v>1499</v>
      </c>
      <c r="E61" s="1136">
        <v>0.5</v>
      </c>
      <c r="F61" s="1151">
        <v>80</v>
      </c>
      <c r="H61" s="1102">
        <f>SUMIF(C59:C119,基准地价!C8,E59:E119)</f>
        <v>0</v>
      </c>
    </row>
    <row r="62" spans="1:8" s="1102" customFormat="1" ht="24">
      <c r="A62" s="1151">
        <v>2</v>
      </c>
      <c r="B62" s="3484"/>
      <c r="C62" s="1065" t="s">
        <v>1500</v>
      </c>
      <c r="D62" s="1065" t="s">
        <v>1501</v>
      </c>
      <c r="E62" s="1136">
        <v>0.5</v>
      </c>
      <c r="F62" s="1151">
        <v>80</v>
      </c>
    </row>
    <row r="63" spans="1:8" s="1102" customFormat="1" ht="36">
      <c r="A63" s="1151">
        <v>3</v>
      </c>
      <c r="B63" s="3484"/>
      <c r="C63" s="1065" t="s">
        <v>1502</v>
      </c>
      <c r="D63" s="1065" t="s">
        <v>1503</v>
      </c>
      <c r="E63" s="1136">
        <v>0.5</v>
      </c>
      <c r="F63" s="1151">
        <v>80</v>
      </c>
    </row>
    <row r="64" spans="1:8" s="1102" customFormat="1" ht="36">
      <c r="A64" s="1151">
        <v>4</v>
      </c>
      <c r="B64" s="3484"/>
      <c r="C64" s="1065" t="s">
        <v>1504</v>
      </c>
      <c r="D64" s="1065" t="s">
        <v>1505</v>
      </c>
      <c r="E64" s="1136">
        <v>0.4</v>
      </c>
      <c r="F64" s="1151">
        <v>60</v>
      </c>
    </row>
    <row r="65" spans="1:6" s="1102" customFormat="1" ht="36">
      <c r="A65" s="1151">
        <v>5</v>
      </c>
      <c r="B65" s="3484"/>
      <c r="C65" s="1065" t="s">
        <v>1506</v>
      </c>
      <c r="D65" s="1065" t="s">
        <v>1507</v>
      </c>
      <c r="E65" s="1136">
        <v>0.2</v>
      </c>
      <c r="F65" s="1151">
        <v>30</v>
      </c>
    </row>
    <row r="66" spans="1:6" s="1102" customFormat="1" ht="36">
      <c r="A66" s="1151">
        <v>6</v>
      </c>
      <c r="B66" s="3484"/>
      <c r="C66" s="1065" t="s">
        <v>1508</v>
      </c>
      <c r="D66" s="1065" t="s">
        <v>1509</v>
      </c>
      <c r="E66" s="1136">
        <v>0.3</v>
      </c>
      <c r="F66" s="1151">
        <v>50</v>
      </c>
    </row>
    <row r="67" spans="1:6" s="1102" customFormat="1" ht="36">
      <c r="A67" s="1151">
        <v>7</v>
      </c>
      <c r="B67" s="3484"/>
      <c r="C67" s="1065" t="s">
        <v>1510</v>
      </c>
      <c r="D67" s="1065" t="s">
        <v>1511</v>
      </c>
      <c r="E67" s="1136">
        <v>0.2</v>
      </c>
      <c r="F67" s="1151">
        <v>30</v>
      </c>
    </row>
    <row r="68" spans="1:6" s="1102" customFormat="1" ht="36">
      <c r="A68" s="1151">
        <v>8</v>
      </c>
      <c r="B68" s="3484"/>
      <c r="C68" s="1065" t="s">
        <v>1512</v>
      </c>
      <c r="D68" s="1065" t="s">
        <v>1513</v>
      </c>
      <c r="E68" s="1136">
        <v>0.2</v>
      </c>
      <c r="F68" s="1151">
        <v>30</v>
      </c>
    </row>
    <row r="69" spans="1:6" s="1102" customFormat="1" ht="36">
      <c r="A69" s="1151">
        <v>9</v>
      </c>
      <c r="B69" s="3484"/>
      <c r="C69" s="1065" t="s">
        <v>1514</v>
      </c>
      <c r="D69" s="1065" t="s">
        <v>1515</v>
      </c>
      <c r="E69" s="1136">
        <v>0.2</v>
      </c>
      <c r="F69" s="1151">
        <v>30</v>
      </c>
    </row>
    <row r="70" spans="1:6" s="1102" customFormat="1" ht="48">
      <c r="A70" s="1151">
        <v>10</v>
      </c>
      <c r="B70" s="3484"/>
      <c r="C70" s="1065" t="s">
        <v>1516</v>
      </c>
      <c r="D70" s="1065" t="s">
        <v>1517</v>
      </c>
      <c r="E70" s="1136">
        <v>0.2</v>
      </c>
      <c r="F70" s="1151">
        <v>30</v>
      </c>
    </row>
    <row r="71" spans="1:6" s="1102" customFormat="1" ht="48">
      <c r="A71" s="1151">
        <v>11</v>
      </c>
      <c r="B71" s="3484"/>
      <c r="C71" s="1065" t="s">
        <v>1518</v>
      </c>
      <c r="D71" s="1065" t="s">
        <v>1519</v>
      </c>
      <c r="E71" s="1136">
        <v>0.2</v>
      </c>
      <c r="F71" s="1151">
        <v>30</v>
      </c>
    </row>
    <row r="72" spans="1:6" s="1102" customFormat="1" ht="36">
      <c r="A72" s="1151">
        <v>12</v>
      </c>
      <c r="B72" s="3484"/>
      <c r="C72" s="1065" t="s">
        <v>1520</v>
      </c>
      <c r="D72" s="1065" t="s">
        <v>1521</v>
      </c>
      <c r="E72" s="1136">
        <v>0.5</v>
      </c>
      <c r="F72" s="1151">
        <v>80</v>
      </c>
    </row>
    <row r="73" spans="1:6" s="1102" customFormat="1" ht="24">
      <c r="A73" s="1151">
        <v>13</v>
      </c>
      <c r="B73" s="3484"/>
      <c r="C73" s="1065" t="s">
        <v>1522</v>
      </c>
      <c r="D73" s="1065" t="s">
        <v>1523</v>
      </c>
      <c r="E73" s="1136">
        <v>0.4</v>
      </c>
      <c r="F73" s="1151">
        <v>60</v>
      </c>
    </row>
    <row r="74" spans="1:6" s="1102" customFormat="1" ht="24">
      <c r="A74" s="1151">
        <v>14</v>
      </c>
      <c r="B74" s="3484"/>
      <c r="C74" s="1065" t="s">
        <v>1524</v>
      </c>
      <c r="D74" s="1065" t="s">
        <v>1525</v>
      </c>
      <c r="E74" s="1136">
        <v>0.2</v>
      </c>
      <c r="F74" s="1151">
        <v>30</v>
      </c>
    </row>
    <row r="75" spans="1:6" s="1102" customFormat="1" ht="24">
      <c r="A75" s="1151">
        <v>15</v>
      </c>
      <c r="B75" s="3484"/>
      <c r="C75" s="1065" t="s">
        <v>1526</v>
      </c>
      <c r="D75" s="1065" t="s">
        <v>1527</v>
      </c>
      <c r="E75" s="1136">
        <v>0.2</v>
      </c>
      <c r="F75" s="1151">
        <v>30</v>
      </c>
    </row>
    <row r="76" spans="1:6" s="1102" customFormat="1" ht="24">
      <c r="A76" s="1151">
        <v>16</v>
      </c>
      <c r="B76" s="3484" t="s">
        <v>1528</v>
      </c>
      <c r="C76" s="1065" t="s">
        <v>1529</v>
      </c>
      <c r="D76" s="1065" t="s">
        <v>1530</v>
      </c>
      <c r="E76" s="1136">
        <v>0.5</v>
      </c>
      <c r="F76" s="1151">
        <v>80</v>
      </c>
    </row>
    <row r="77" spans="1:6" s="1102" customFormat="1" ht="24">
      <c r="A77" s="1151">
        <v>17</v>
      </c>
      <c r="B77" s="3484"/>
      <c r="C77" s="1065" t="s">
        <v>1531</v>
      </c>
      <c r="D77" s="1065" t="s">
        <v>1532</v>
      </c>
      <c r="E77" s="1136">
        <v>0.5</v>
      </c>
      <c r="F77" s="1151">
        <v>80</v>
      </c>
    </row>
    <row r="78" spans="1:6" s="1102" customFormat="1" ht="24">
      <c r="A78" s="1151">
        <v>18</v>
      </c>
      <c r="B78" s="3484"/>
      <c r="C78" s="1065" t="s">
        <v>1533</v>
      </c>
      <c r="D78" s="1065" t="s">
        <v>1534</v>
      </c>
      <c r="E78" s="1136">
        <v>0.2</v>
      </c>
      <c r="F78" s="1151">
        <v>30</v>
      </c>
    </row>
    <row r="79" spans="1:6" s="1102" customFormat="1" ht="24">
      <c r="A79" s="1151">
        <v>19</v>
      </c>
      <c r="B79" s="3484"/>
      <c r="C79" s="1065" t="s">
        <v>1535</v>
      </c>
      <c r="D79" s="1065" t="s">
        <v>1536</v>
      </c>
      <c r="E79" s="1136">
        <v>0.5</v>
      </c>
      <c r="F79" s="1151">
        <v>80</v>
      </c>
    </row>
    <row r="80" spans="1:6" s="1102" customFormat="1" ht="36">
      <c r="A80" s="1151">
        <v>20</v>
      </c>
      <c r="B80" s="3484"/>
      <c r="C80" s="1065" t="s">
        <v>1537</v>
      </c>
      <c r="D80" s="1065" t="s">
        <v>1538</v>
      </c>
      <c r="E80" s="1136">
        <v>0.2</v>
      </c>
      <c r="F80" s="1151">
        <v>30</v>
      </c>
    </row>
    <row r="81" spans="1:6" s="1102" customFormat="1" ht="36">
      <c r="A81" s="1151">
        <v>21</v>
      </c>
      <c r="B81" s="3484"/>
      <c r="C81" s="1065" t="s">
        <v>1539</v>
      </c>
      <c r="D81" s="1065" t="s">
        <v>1540</v>
      </c>
      <c r="E81" s="1136">
        <v>0.2</v>
      </c>
      <c r="F81" s="1151">
        <v>30</v>
      </c>
    </row>
    <row r="82" spans="1:6" s="1102" customFormat="1" ht="48">
      <c r="A82" s="1151">
        <v>22</v>
      </c>
      <c r="B82" s="3484"/>
      <c r="C82" s="1065" t="s">
        <v>1541</v>
      </c>
      <c r="D82" s="1065" t="s">
        <v>1542</v>
      </c>
      <c r="E82" s="1136">
        <v>0.2</v>
      </c>
      <c r="F82" s="1151">
        <v>30</v>
      </c>
    </row>
    <row r="83" spans="1:6" s="1102" customFormat="1" ht="48">
      <c r="A83" s="1151">
        <v>23</v>
      </c>
      <c r="B83" s="3484"/>
      <c r="C83" s="1065" t="s">
        <v>1543</v>
      </c>
      <c r="D83" s="1065" t="s">
        <v>1544</v>
      </c>
      <c r="E83" s="1136">
        <v>0.2</v>
      </c>
      <c r="F83" s="1151">
        <v>30</v>
      </c>
    </row>
    <row r="84" spans="1:6" s="1102" customFormat="1" ht="36">
      <c r="A84" s="1151">
        <v>24</v>
      </c>
      <c r="B84" s="3484"/>
      <c r="C84" s="1065" t="s">
        <v>1545</v>
      </c>
      <c r="D84" s="1065" t="s">
        <v>1546</v>
      </c>
      <c r="E84" s="1136">
        <v>0.2</v>
      </c>
      <c r="F84" s="1151">
        <v>30</v>
      </c>
    </row>
    <row r="85" spans="1:6" s="1102" customFormat="1" ht="36">
      <c r="A85" s="1151">
        <v>25</v>
      </c>
      <c r="B85" s="3484"/>
      <c r="C85" s="1065" t="s">
        <v>1547</v>
      </c>
      <c r="D85" s="1065" t="s">
        <v>1548</v>
      </c>
      <c r="E85" s="1136">
        <v>0.5</v>
      </c>
      <c r="F85" s="1151">
        <v>80</v>
      </c>
    </row>
    <row r="86" spans="1:6" s="1102" customFormat="1" ht="36">
      <c r="A86" s="1151">
        <v>26</v>
      </c>
      <c r="B86" s="3484"/>
      <c r="C86" s="1065" t="s">
        <v>1549</v>
      </c>
      <c r="D86" s="1065" t="s">
        <v>1550</v>
      </c>
      <c r="E86" s="1136">
        <v>0.2</v>
      </c>
      <c r="F86" s="1151">
        <v>30</v>
      </c>
    </row>
    <row r="87" spans="1:6" s="1102" customFormat="1" ht="36">
      <c r="A87" s="1151">
        <v>27</v>
      </c>
      <c r="B87" s="3484"/>
      <c r="C87" s="1065" t="s">
        <v>1551</v>
      </c>
      <c r="D87" s="1065" t="s">
        <v>1552</v>
      </c>
      <c r="E87" s="1136">
        <v>0.2</v>
      </c>
      <c r="F87" s="1151">
        <v>30</v>
      </c>
    </row>
    <row r="88" spans="1:6" s="1102" customFormat="1" ht="36">
      <c r="A88" s="1151">
        <v>28</v>
      </c>
      <c r="B88" s="3484"/>
      <c r="C88" s="1065" t="s">
        <v>1553</v>
      </c>
      <c r="D88" s="1065" t="s">
        <v>1554</v>
      </c>
      <c r="E88" s="1136">
        <v>0.2</v>
      </c>
      <c r="F88" s="1151">
        <v>30</v>
      </c>
    </row>
    <row r="89" spans="1:6" s="1102" customFormat="1" ht="24">
      <c r="A89" s="1151">
        <v>29</v>
      </c>
      <c r="B89" s="3484"/>
      <c r="C89" s="1065" t="s">
        <v>1555</v>
      </c>
      <c r="D89" s="1065" t="s">
        <v>1556</v>
      </c>
      <c r="E89" s="1136">
        <v>0.2</v>
      </c>
      <c r="F89" s="1151">
        <v>30</v>
      </c>
    </row>
    <row r="90" spans="1:6" s="1102" customFormat="1" ht="24">
      <c r="A90" s="1151">
        <v>30</v>
      </c>
      <c r="B90" s="3484"/>
      <c r="C90" s="1065" t="s">
        <v>1557</v>
      </c>
      <c r="D90" s="1065" t="s">
        <v>1558</v>
      </c>
      <c r="E90" s="1136">
        <v>0.2</v>
      </c>
      <c r="F90" s="1151">
        <v>30</v>
      </c>
    </row>
    <row r="91" spans="1:6" s="1102" customFormat="1" ht="36">
      <c r="A91" s="1151">
        <v>31</v>
      </c>
      <c r="B91" s="3484"/>
      <c r="C91" s="1065" t="s">
        <v>1559</v>
      </c>
      <c r="D91" s="1065" t="s">
        <v>1560</v>
      </c>
      <c r="E91" s="1136">
        <v>0.2</v>
      </c>
      <c r="F91" s="1151">
        <v>30</v>
      </c>
    </row>
    <row r="92" spans="1:6" s="1102" customFormat="1" ht="24">
      <c r="A92" s="1151">
        <v>32</v>
      </c>
      <c r="B92" s="3484" t="s">
        <v>1561</v>
      </c>
      <c r="C92" s="1151" t="s">
        <v>1562</v>
      </c>
      <c r="D92" s="1065" t="s">
        <v>1563</v>
      </c>
      <c r="E92" s="1136">
        <v>0.2</v>
      </c>
      <c r="F92" s="1151">
        <v>30</v>
      </c>
    </row>
    <row r="93" spans="1:6" s="1102" customFormat="1" ht="36">
      <c r="A93" s="1151">
        <v>33</v>
      </c>
      <c r="B93" s="3484"/>
      <c r="C93" s="1151" t="s">
        <v>1564</v>
      </c>
      <c r="D93" s="1065" t="s">
        <v>1565</v>
      </c>
      <c r="E93" s="1136">
        <v>0.2</v>
      </c>
      <c r="F93" s="1151">
        <v>30</v>
      </c>
    </row>
    <row r="94" spans="1:6" s="1102" customFormat="1" ht="48">
      <c r="A94" s="1151">
        <v>34</v>
      </c>
      <c r="B94" s="3484"/>
      <c r="C94" s="1151" t="s">
        <v>1566</v>
      </c>
      <c r="D94" s="1065" t="s">
        <v>1567</v>
      </c>
      <c r="E94" s="1136">
        <v>0.2</v>
      </c>
      <c r="F94" s="1151">
        <v>30</v>
      </c>
    </row>
    <row r="95" spans="1:6" s="1102" customFormat="1" ht="36">
      <c r="A95" s="1151">
        <v>35</v>
      </c>
      <c r="B95" s="3484"/>
      <c r="C95" s="1151" t="s">
        <v>1568</v>
      </c>
      <c r="D95" s="1065" t="s">
        <v>1569</v>
      </c>
      <c r="E95" s="1136">
        <v>0.2</v>
      </c>
      <c r="F95" s="1151">
        <v>30</v>
      </c>
    </row>
    <row r="96" spans="1:6" s="1102" customFormat="1" ht="48">
      <c r="A96" s="1151">
        <v>36</v>
      </c>
      <c r="B96" s="3484"/>
      <c r="C96" s="1065" t="s">
        <v>1570</v>
      </c>
      <c r="D96" s="1065" t="s">
        <v>1571</v>
      </c>
      <c r="E96" s="1136">
        <v>0.2</v>
      </c>
      <c r="F96" s="1151">
        <v>30</v>
      </c>
    </row>
    <row r="97" spans="1:6" s="1102" customFormat="1" ht="36">
      <c r="A97" s="1151">
        <v>37</v>
      </c>
      <c r="B97" s="3484"/>
      <c r="C97" s="1151" t="s">
        <v>1572</v>
      </c>
      <c r="D97" s="1065" t="s">
        <v>1573</v>
      </c>
      <c r="E97" s="1136">
        <v>0.2</v>
      </c>
      <c r="F97" s="1151">
        <v>30</v>
      </c>
    </row>
    <row r="98" spans="1:6" s="1102" customFormat="1" ht="36">
      <c r="A98" s="1151">
        <v>38</v>
      </c>
      <c r="B98" s="3484"/>
      <c r="C98" s="1151" t="s">
        <v>1574</v>
      </c>
      <c r="D98" s="1065" t="s">
        <v>1575</v>
      </c>
      <c r="E98" s="1136">
        <v>0.2</v>
      </c>
      <c r="F98" s="1151">
        <v>30</v>
      </c>
    </row>
    <row r="99" spans="1:6" s="1102" customFormat="1" ht="36">
      <c r="A99" s="1151">
        <v>39</v>
      </c>
      <c r="B99" s="3484" t="s">
        <v>1576</v>
      </c>
      <c r="C99" s="1151" t="s">
        <v>1577</v>
      </c>
      <c r="D99" s="1065" t="s">
        <v>1578</v>
      </c>
      <c r="E99" s="1136">
        <v>0.3</v>
      </c>
      <c r="F99" s="1151">
        <v>50</v>
      </c>
    </row>
    <row r="100" spans="1:6" s="1102" customFormat="1" ht="24">
      <c r="A100" s="1151">
        <v>40</v>
      </c>
      <c r="B100" s="3484"/>
      <c r="C100" s="1151" t="s">
        <v>1579</v>
      </c>
      <c r="D100" s="1065" t="s">
        <v>1580</v>
      </c>
      <c r="E100" s="1136">
        <v>0.2</v>
      </c>
      <c r="F100" s="1151">
        <v>30</v>
      </c>
    </row>
    <row r="101" spans="1:6" s="1102" customFormat="1" ht="36">
      <c r="A101" s="1151">
        <v>41</v>
      </c>
      <c r="B101" s="3484"/>
      <c r="C101" s="1151" t="s">
        <v>1581</v>
      </c>
      <c r="D101" s="1065" t="s">
        <v>1578</v>
      </c>
      <c r="E101" s="1136">
        <v>0.2</v>
      </c>
      <c r="F101" s="1151">
        <v>30</v>
      </c>
    </row>
    <row r="102" spans="1:6" s="1102" customFormat="1" ht="48">
      <c r="A102" s="1151">
        <v>42</v>
      </c>
      <c r="B102" s="1151" t="s">
        <v>1582</v>
      </c>
      <c r="C102" s="1065" t="s">
        <v>1583</v>
      </c>
      <c r="D102" s="1065" t="s">
        <v>1584</v>
      </c>
      <c r="E102" s="1136">
        <v>0.2</v>
      </c>
      <c r="F102" s="1151">
        <v>30</v>
      </c>
    </row>
    <row r="103" spans="1:6" s="1102" customFormat="1" ht="24">
      <c r="A103" s="1151">
        <v>43</v>
      </c>
      <c r="B103" s="1151" t="s">
        <v>1585</v>
      </c>
      <c r="C103" s="1151" t="s">
        <v>1586</v>
      </c>
      <c r="D103" s="1065" t="s">
        <v>1587</v>
      </c>
      <c r="E103" s="1136">
        <v>0.2</v>
      </c>
      <c r="F103" s="1151">
        <v>30</v>
      </c>
    </row>
    <row r="104" spans="1:6" s="1102" customFormat="1" ht="36">
      <c r="A104" s="1151">
        <v>44</v>
      </c>
      <c r="B104" s="1151" t="s">
        <v>1588</v>
      </c>
      <c r="C104" s="1151" t="s">
        <v>1589</v>
      </c>
      <c r="D104" s="1065" t="s">
        <v>1590</v>
      </c>
      <c r="E104" s="1136">
        <v>0.2</v>
      </c>
      <c r="F104" s="1151">
        <v>30</v>
      </c>
    </row>
    <row r="105" spans="1:6" s="1102" customFormat="1" ht="36">
      <c r="A105" s="1151">
        <v>45</v>
      </c>
      <c r="B105" s="3484" t="s">
        <v>1591</v>
      </c>
      <c r="C105" s="1151" t="s">
        <v>1592</v>
      </c>
      <c r="D105" s="1065" t="s">
        <v>1593</v>
      </c>
      <c r="E105" s="1136">
        <v>0.2</v>
      </c>
      <c r="F105" s="1151">
        <v>30</v>
      </c>
    </row>
    <row r="106" spans="1:6" s="1102" customFormat="1" ht="36">
      <c r="A106" s="1151">
        <v>46</v>
      </c>
      <c r="B106" s="3484"/>
      <c r="C106" s="1151" t="s">
        <v>1594</v>
      </c>
      <c r="D106" s="1065" t="s">
        <v>1595</v>
      </c>
      <c r="E106" s="1136">
        <v>0.2</v>
      </c>
      <c r="F106" s="1151">
        <v>30</v>
      </c>
    </row>
    <row r="107" spans="1:6" s="1102" customFormat="1" ht="36">
      <c r="A107" s="1151">
        <v>47</v>
      </c>
      <c r="B107" s="3484" t="s">
        <v>1596</v>
      </c>
      <c r="C107" s="1151" t="s">
        <v>1597</v>
      </c>
      <c r="D107" s="1065" t="s">
        <v>1598</v>
      </c>
      <c r="E107" s="1136">
        <v>0.3</v>
      </c>
      <c r="F107" s="1151">
        <v>50</v>
      </c>
    </row>
    <row r="108" spans="1:6" s="1102" customFormat="1" ht="36">
      <c r="A108" s="1151">
        <v>48</v>
      </c>
      <c r="B108" s="3484"/>
      <c r="C108" s="1151" t="s">
        <v>1599</v>
      </c>
      <c r="D108" s="1065" t="s">
        <v>1600</v>
      </c>
      <c r="E108" s="1136">
        <v>0.2</v>
      </c>
      <c r="F108" s="1151">
        <v>30</v>
      </c>
    </row>
    <row r="109" spans="1:6" s="1102" customFormat="1" ht="36">
      <c r="A109" s="1151">
        <v>49</v>
      </c>
      <c r="B109" s="1151" t="s">
        <v>1601</v>
      </c>
      <c r="C109" s="1151" t="s">
        <v>1602</v>
      </c>
      <c r="D109" s="1065" t="s">
        <v>1603</v>
      </c>
      <c r="E109" s="1136">
        <v>0.2</v>
      </c>
      <c r="F109" s="1151">
        <v>30</v>
      </c>
    </row>
    <row r="110" spans="1:6" s="1102" customFormat="1" ht="36">
      <c r="A110" s="1151">
        <v>50</v>
      </c>
      <c r="B110" s="1151" t="s">
        <v>1604</v>
      </c>
      <c r="C110" s="1151" t="s">
        <v>1605</v>
      </c>
      <c r="D110" s="1065" t="s">
        <v>1606</v>
      </c>
      <c r="E110" s="1136">
        <v>0.2</v>
      </c>
      <c r="F110" s="1151">
        <v>30</v>
      </c>
    </row>
    <row r="111" spans="1:6" s="1102" customFormat="1" ht="36">
      <c r="A111" s="1151">
        <v>51</v>
      </c>
      <c r="B111" s="3484" t="s">
        <v>1607</v>
      </c>
      <c r="C111" s="1151" t="s">
        <v>1608</v>
      </c>
      <c r="D111" s="1065" t="s">
        <v>1609</v>
      </c>
      <c r="E111" s="1136">
        <v>0.2</v>
      </c>
      <c r="F111" s="1151">
        <v>30</v>
      </c>
    </row>
    <row r="112" spans="1:6" s="1102" customFormat="1" ht="24">
      <c r="A112" s="1151">
        <v>52</v>
      </c>
      <c r="B112" s="3484"/>
      <c r="C112" s="1151" t="s">
        <v>1610</v>
      </c>
      <c r="D112" s="1065" t="s">
        <v>1611</v>
      </c>
      <c r="E112" s="1136">
        <v>0.2</v>
      </c>
      <c r="F112" s="1151">
        <v>30</v>
      </c>
    </row>
    <row r="113" spans="1:14" s="1102" customFormat="1" ht="24">
      <c r="A113" s="1151">
        <v>53</v>
      </c>
      <c r="B113" s="3484"/>
      <c r="C113" s="1151" t="s">
        <v>1612</v>
      </c>
      <c r="D113" s="1065" t="s">
        <v>1613</v>
      </c>
      <c r="E113" s="1136">
        <v>0.2</v>
      </c>
      <c r="F113" s="1151">
        <v>30</v>
      </c>
    </row>
    <row r="114" spans="1:14" ht="36">
      <c r="A114" s="1151">
        <v>54</v>
      </c>
      <c r="B114" s="1151" t="s">
        <v>1614</v>
      </c>
      <c r="C114" s="1151" t="s">
        <v>1615</v>
      </c>
      <c r="D114" s="1065" t="s">
        <v>1616</v>
      </c>
      <c r="E114" s="1136">
        <v>0.2</v>
      </c>
      <c r="F114" s="1151">
        <v>30</v>
      </c>
    </row>
    <row r="115" spans="1:14" ht="24">
      <c r="A115" s="1151">
        <v>55</v>
      </c>
      <c r="B115" s="1151" t="s">
        <v>1617</v>
      </c>
      <c r="C115" s="1151" t="s">
        <v>1618</v>
      </c>
      <c r="D115" s="1065" t="s">
        <v>1619</v>
      </c>
      <c r="E115" s="1136">
        <v>0.2</v>
      </c>
      <c r="F115" s="1151">
        <v>30</v>
      </c>
    </row>
    <row r="116" spans="1:14" ht="24">
      <c r="A116" s="1151">
        <v>56</v>
      </c>
      <c r="B116" s="3484" t="s">
        <v>1620</v>
      </c>
      <c r="C116" s="1151" t="s">
        <v>1621</v>
      </c>
      <c r="D116" s="1065" t="s">
        <v>1622</v>
      </c>
      <c r="E116" s="1136">
        <v>0.2</v>
      </c>
      <c r="F116" s="1151">
        <v>30</v>
      </c>
    </row>
    <row r="117" spans="1:14" ht="36">
      <c r="A117" s="1151">
        <v>57</v>
      </c>
      <c r="B117" s="3484"/>
      <c r="C117" s="1151" t="s">
        <v>1623</v>
      </c>
      <c r="D117" s="1065" t="s">
        <v>1624</v>
      </c>
      <c r="E117" s="1136">
        <v>0.2</v>
      </c>
      <c r="F117" s="1151">
        <v>30</v>
      </c>
    </row>
    <row r="118" spans="1:14" ht="36">
      <c r="A118" s="1151">
        <v>58</v>
      </c>
      <c r="B118" s="1151" t="s">
        <v>1625</v>
      </c>
      <c r="C118" s="1151" t="s">
        <v>1626</v>
      </c>
      <c r="D118" s="1065" t="s">
        <v>1627</v>
      </c>
      <c r="E118" s="1136">
        <v>0.2</v>
      </c>
      <c r="F118" s="1151">
        <v>30</v>
      </c>
    </row>
    <row r="119" spans="1:14" ht="13.5">
      <c r="A119" s="1151"/>
      <c r="B119" s="1151"/>
      <c r="C119" s="1151"/>
      <c r="D119" s="1151"/>
      <c r="E119" s="1136"/>
      <c r="F119" s="1151"/>
    </row>
    <row r="121" spans="1:14" ht="19.5" customHeight="1">
      <c r="A121" s="3483" t="s">
        <v>1629</v>
      </c>
      <c r="B121" s="3483"/>
      <c r="C121" s="3483"/>
      <c r="D121" s="3483"/>
      <c r="E121" s="3483"/>
      <c r="F121" s="3483"/>
      <c r="G121" s="3483"/>
      <c r="H121" s="3483"/>
      <c r="I121" s="3483"/>
      <c r="J121" s="348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88" t="s">
        <v>1035</v>
      </c>
      <c r="B1" s="3488"/>
      <c r="C1" s="3488"/>
      <c r="D1" s="3488"/>
      <c r="E1" s="3488"/>
      <c r="F1" s="3488"/>
      <c r="H1" s="1067"/>
      <c r="I1" s="1068" t="s">
        <v>1036</v>
      </c>
      <c r="J1" s="1069" t="s">
        <v>1037</v>
      </c>
      <c r="K1" s="1069" t="s">
        <v>1038</v>
      </c>
      <c r="L1" s="1069" t="s">
        <v>1039</v>
      </c>
      <c r="M1" s="1069" t="s">
        <v>1040</v>
      </c>
      <c r="N1" s="1069" t="s">
        <v>1041</v>
      </c>
      <c r="O1" s="1069" t="s">
        <v>1042</v>
      </c>
      <c r="P1" s="1069" t="s">
        <v>1043</v>
      </c>
      <c r="Q1" s="1069" t="s">
        <v>1044</v>
      </c>
      <c r="R1" s="1069" t="s">
        <v>1045</v>
      </c>
      <c r="S1" s="1069" t="s">
        <v>1046</v>
      </c>
      <c r="T1" s="1070" t="s">
        <v>1047</v>
      </c>
    </row>
    <row r="2" spans="1:20" ht="14.25" thickBot="1">
      <c r="A2" s="3489" t="s">
        <v>1048</v>
      </c>
      <c r="B2" s="3489"/>
      <c r="C2" s="3489"/>
      <c r="D2" s="3489"/>
      <c r="E2" s="3489"/>
      <c r="F2" s="3489"/>
      <c r="I2" s="1071" t="s">
        <v>1049</v>
      </c>
      <c r="J2" s="1072" t="s">
        <v>1050</v>
      </c>
      <c r="K2" s="1072" t="s">
        <v>1051</v>
      </c>
      <c r="L2" s="1072" t="s">
        <v>1052</v>
      </c>
      <c r="M2" s="1072" t="s">
        <v>1053</v>
      </c>
      <c r="N2" s="1072" t="s">
        <v>1054</v>
      </c>
      <c r="O2" s="1072" t="s">
        <v>1055</v>
      </c>
      <c r="P2" s="1072" t="s">
        <v>1056</v>
      </c>
      <c r="Q2" s="1072" t="s">
        <v>1057</v>
      </c>
      <c r="R2" s="1072" t="s">
        <v>1058</v>
      </c>
      <c r="S2" s="1072" t="s">
        <v>1059</v>
      </c>
      <c r="T2" s="1072" t="s">
        <v>1060</v>
      </c>
    </row>
    <row r="3" spans="1:20" s="1067" customFormat="1" ht="19.5" customHeight="1">
      <c r="A3" s="3490" t="s">
        <v>1061</v>
      </c>
      <c r="B3" s="1073"/>
      <c r="C3" s="1074" t="s">
        <v>1062</v>
      </c>
      <c r="D3" s="1074" t="s">
        <v>1063</v>
      </c>
      <c r="E3" s="1074" t="s">
        <v>1064</v>
      </c>
      <c r="F3" s="1074" t="s">
        <v>1065</v>
      </c>
      <c r="G3" s="1075"/>
      <c r="I3" s="1071" t="s">
        <v>1066</v>
      </c>
      <c r="J3" s="1072" t="s">
        <v>1067</v>
      </c>
      <c r="K3" s="1072" t="s">
        <v>1068</v>
      </c>
      <c r="L3" s="1072" t="s">
        <v>1069</v>
      </c>
      <c r="M3" s="1072" t="s">
        <v>1070</v>
      </c>
      <c r="N3" s="1072" t="s">
        <v>1071</v>
      </c>
      <c r="O3" s="1072" t="s">
        <v>1072</v>
      </c>
      <c r="P3" s="1072" t="s">
        <v>1073</v>
      </c>
      <c r="Q3" s="1072" t="s">
        <v>1074</v>
      </c>
      <c r="R3" s="1072" t="s">
        <v>1075</v>
      </c>
      <c r="S3" s="1072" t="s">
        <v>1076</v>
      </c>
      <c r="T3" s="1072" t="s">
        <v>1077</v>
      </c>
    </row>
    <row r="4" spans="1:20" s="1067" customFormat="1" ht="19.5" customHeight="1" thickBot="1">
      <c r="A4" s="3491"/>
      <c r="B4" s="1076" t="s">
        <v>1078</v>
      </c>
      <c r="C4" s="1076" t="s">
        <v>1079</v>
      </c>
      <c r="D4" s="1076" t="s">
        <v>1079</v>
      </c>
      <c r="E4" s="1076" t="s">
        <v>1079</v>
      </c>
      <c r="F4" s="1077" t="s">
        <v>1079</v>
      </c>
      <c r="G4" s="1075"/>
      <c r="I4" s="1071" t="s">
        <v>1080</v>
      </c>
      <c r="J4" s="1072" t="s">
        <v>1081</v>
      </c>
      <c r="K4" s="1072" t="s">
        <v>1082</v>
      </c>
      <c r="L4" s="1072" t="s">
        <v>1083</v>
      </c>
      <c r="M4" s="1072" t="s">
        <v>1084</v>
      </c>
      <c r="N4" s="1072" t="s">
        <v>1085</v>
      </c>
      <c r="O4" s="1072" t="s">
        <v>1086</v>
      </c>
      <c r="P4" s="1072" t="s">
        <v>1087</v>
      </c>
      <c r="Q4" s="1072" t="s">
        <v>1088</v>
      </c>
      <c r="R4" s="1072" t="s">
        <v>1089</v>
      </c>
      <c r="S4" s="1072" t="s">
        <v>1090</v>
      </c>
      <c r="T4" s="1072" t="s">
        <v>1091</v>
      </c>
    </row>
    <row r="5" spans="1:20" ht="14.25" customHeight="1" thickBot="1">
      <c r="A5" s="1078" t="s">
        <v>1092</v>
      </c>
      <c r="B5" s="1079" t="s">
        <v>1049</v>
      </c>
      <c r="C5" s="1079">
        <v>29530</v>
      </c>
      <c r="D5" s="1079">
        <v>28130</v>
      </c>
      <c r="E5" s="1079">
        <v>27930</v>
      </c>
      <c r="F5" s="1080">
        <v>11300</v>
      </c>
      <c r="G5" s="1081" t="s">
        <v>1036</v>
      </c>
      <c r="H5" s="1082">
        <f>SUMPRODUCT((B5:B9=基准地价!I2)*(C3:F3=基准地价!E2)*(C5:F9))</f>
        <v>0</v>
      </c>
      <c r="I5" s="1071" t="s">
        <v>1093</v>
      </c>
      <c r="J5" s="1072" t="s">
        <v>1094</v>
      </c>
      <c r="K5" s="1072" t="s">
        <v>1095</v>
      </c>
      <c r="L5" s="1072" t="s">
        <v>1096</v>
      </c>
      <c r="M5" s="1072" t="s">
        <v>1097</v>
      </c>
      <c r="N5" s="1072" t="s">
        <v>1098</v>
      </c>
      <c r="O5" s="1072" t="s">
        <v>1099</v>
      </c>
      <c r="P5" s="1072" t="s">
        <v>1100</v>
      </c>
      <c r="Q5" s="1072" t="s">
        <v>1101</v>
      </c>
      <c r="R5" s="1072" t="s">
        <v>1102</v>
      </c>
      <c r="S5" s="1072" t="s">
        <v>1103</v>
      </c>
      <c r="T5" s="1072" t="s">
        <v>1104</v>
      </c>
    </row>
    <row r="6" spans="1:20" ht="14.25" customHeight="1" thickBot="1">
      <c r="A6" s="1078" t="s">
        <v>1092</v>
      </c>
      <c r="B6" s="1072" t="s">
        <v>1105</v>
      </c>
      <c r="C6" s="1072">
        <v>30290</v>
      </c>
      <c r="D6" s="1072">
        <v>29210</v>
      </c>
      <c r="E6" s="1072">
        <v>28860</v>
      </c>
      <c r="F6" s="1083">
        <v>12600</v>
      </c>
      <c r="G6" s="1084" t="s">
        <v>1106</v>
      </c>
      <c r="H6" s="1085">
        <f>SUMPRODUCT((B10:B28=基准地价!I2)*(C3:F3=基准地价!E2)*(C10:F28))</f>
        <v>0</v>
      </c>
      <c r="I6" s="1071" t="s">
        <v>1107</v>
      </c>
      <c r="J6" s="1072" t="s">
        <v>1108</v>
      </c>
      <c r="K6" s="1072" t="s">
        <v>1109</v>
      </c>
      <c r="L6" s="1072" t="s">
        <v>1110</v>
      </c>
      <c r="M6" s="1072" t="s">
        <v>1111</v>
      </c>
      <c r="N6" s="1072" t="s">
        <v>1112</v>
      </c>
      <c r="O6" s="1072" t="s">
        <v>1113</v>
      </c>
      <c r="P6" s="1072" t="s">
        <v>1114</v>
      </c>
      <c r="Q6" s="1072" t="s">
        <v>1115</v>
      </c>
      <c r="R6" s="1072" t="s">
        <v>1116</v>
      </c>
      <c r="S6" s="1072" t="s">
        <v>1117</v>
      </c>
      <c r="T6" s="1072" t="s">
        <v>1118</v>
      </c>
    </row>
    <row r="7" spans="1:20" ht="14.25" customHeight="1" thickBot="1">
      <c r="A7" s="1078" t="s">
        <v>1092</v>
      </c>
      <c r="B7" s="1086" t="s">
        <v>1080</v>
      </c>
      <c r="C7" s="1072">
        <v>29350</v>
      </c>
      <c r="D7" s="1072">
        <v>28410</v>
      </c>
      <c r="E7" s="1072">
        <v>27990</v>
      </c>
      <c r="F7" s="1083">
        <v>12300</v>
      </c>
      <c r="G7" s="1084" t="s">
        <v>904</v>
      </c>
      <c r="H7" s="1085">
        <f>SUMPRODUCT((B29:B48=基准地价!I2)*(C3:F3=基准地价!E2)*(C29:F48))</f>
        <v>0</v>
      </c>
      <c r="J7" s="1072" t="s">
        <v>1119</v>
      </c>
      <c r="K7" s="1072" t="s">
        <v>1120</v>
      </c>
      <c r="L7" s="1072" t="s">
        <v>1121</v>
      </c>
      <c r="M7" s="1072" t="s">
        <v>1122</v>
      </c>
      <c r="N7" s="1072" t="s">
        <v>1123</v>
      </c>
      <c r="O7" s="1072" t="s">
        <v>1124</v>
      </c>
      <c r="P7" s="1072" t="s">
        <v>1125</v>
      </c>
      <c r="Q7" s="1072" t="s">
        <v>1126</v>
      </c>
      <c r="R7" s="1072" t="s">
        <v>1127</v>
      </c>
      <c r="S7" s="1072" t="s">
        <v>1128</v>
      </c>
      <c r="T7" s="1086" t="s">
        <v>1129</v>
      </c>
    </row>
    <row r="8" spans="1:20" ht="14.25" customHeight="1" thickBot="1">
      <c r="A8" s="1078" t="s">
        <v>1092</v>
      </c>
      <c r="B8" s="1072" t="s">
        <v>1093</v>
      </c>
      <c r="C8" s="1072">
        <v>30890</v>
      </c>
      <c r="D8" s="1072">
        <v>29780</v>
      </c>
      <c r="E8" s="1072">
        <v>29270</v>
      </c>
      <c r="F8" s="1083">
        <v>11600</v>
      </c>
      <c r="G8" s="1084" t="s">
        <v>905</v>
      </c>
      <c r="H8" s="1085">
        <f>SUMPRODUCT((B49:B75=基准地价!I2)*(C3:F3=基准地价!E2)*(C49:F75))</f>
        <v>0</v>
      </c>
      <c r="J8" s="1072" t="s">
        <v>1130</v>
      </c>
      <c r="K8" s="1072" t="s">
        <v>1131</v>
      </c>
      <c r="L8" s="1072" t="s">
        <v>1132</v>
      </c>
      <c r="M8" s="1072" t="s">
        <v>1133</v>
      </c>
      <c r="N8" s="1072" t="s">
        <v>1134</v>
      </c>
      <c r="O8" s="1072" t="s">
        <v>1135</v>
      </c>
      <c r="P8" s="1072" t="s">
        <v>1136</v>
      </c>
      <c r="Q8" s="1072" t="s">
        <v>1137</v>
      </c>
      <c r="R8" s="1072" t="s">
        <v>1138</v>
      </c>
      <c r="S8" s="1072" t="s">
        <v>1139</v>
      </c>
      <c r="T8" s="1072" t="s">
        <v>1140</v>
      </c>
    </row>
    <row r="9" spans="1:20" ht="14.25" customHeight="1" thickBot="1">
      <c r="A9" s="1078" t="s">
        <v>1092</v>
      </c>
      <c r="B9" s="1087" t="s">
        <v>1107</v>
      </c>
      <c r="C9" s="1088">
        <v>28140</v>
      </c>
      <c r="D9" s="1088"/>
      <c r="E9" s="1088"/>
      <c r="F9" s="1089"/>
      <c r="G9" s="1084" t="s">
        <v>906</v>
      </c>
      <c r="H9" s="1085">
        <f>SUMPRODUCT((B76:B109=基准地价!I2)*(C3:F3=基准地价!E2)*(C76:F109))</f>
        <v>0</v>
      </c>
      <c r="J9" s="1072" t="s">
        <v>1141</v>
      </c>
      <c r="K9" s="1072" t="s">
        <v>1142</v>
      </c>
      <c r="L9" s="1072" t="s">
        <v>1143</v>
      </c>
      <c r="M9" s="1072" t="s">
        <v>1144</v>
      </c>
      <c r="N9" s="1072" t="s">
        <v>1145</v>
      </c>
      <c r="O9" s="1072" t="s">
        <v>1146</v>
      </c>
      <c r="P9" s="1072" t="s">
        <v>1147</v>
      </c>
      <c r="Q9" s="1072" t="s">
        <v>1148</v>
      </c>
      <c r="R9" s="1072" t="s">
        <v>1149</v>
      </c>
      <c r="S9" s="1072" t="s">
        <v>1150</v>
      </c>
    </row>
    <row r="10" spans="1:20" ht="14.25" customHeight="1" thickBot="1">
      <c r="A10" s="1078" t="s">
        <v>1151</v>
      </c>
      <c r="B10" s="1079" t="s">
        <v>1152</v>
      </c>
      <c r="C10" s="1079">
        <v>27450</v>
      </c>
      <c r="D10" s="1079">
        <v>26180</v>
      </c>
      <c r="E10" s="1079">
        <v>25980</v>
      </c>
      <c r="F10" s="1080">
        <v>8910</v>
      </c>
      <c r="G10" s="1084" t="s">
        <v>907</v>
      </c>
      <c r="H10" s="1085">
        <f>SUMPRODUCT((B110:B157=基准地价!I2)*(C3:F3=基准地价!E2)*(C110:F157))</f>
        <v>0</v>
      </c>
      <c r="J10" s="1072" t="s">
        <v>1153</v>
      </c>
      <c r="K10" s="1072" t="s">
        <v>1154</v>
      </c>
      <c r="L10" s="1072" t="s">
        <v>1155</v>
      </c>
      <c r="M10" s="1072" t="s">
        <v>1156</v>
      </c>
      <c r="N10" s="1072" t="s">
        <v>1157</v>
      </c>
      <c r="O10" s="1072" t="s">
        <v>1158</v>
      </c>
      <c r="P10" s="1072" t="s">
        <v>1159</v>
      </c>
      <c r="Q10" s="1072" t="s">
        <v>1160</v>
      </c>
      <c r="R10" s="1072" t="s">
        <v>1161</v>
      </c>
      <c r="S10" s="1072" t="s">
        <v>1162</v>
      </c>
    </row>
    <row r="11" spans="1:20" ht="14.25" customHeight="1" thickBot="1">
      <c r="A11" s="1078" t="s">
        <v>1151</v>
      </c>
      <c r="B11" s="1086" t="s">
        <v>1067</v>
      </c>
      <c r="C11" s="1072">
        <v>22950</v>
      </c>
      <c r="D11" s="1072">
        <v>22630</v>
      </c>
      <c r="E11" s="1072">
        <v>22030</v>
      </c>
      <c r="F11" s="1090">
        <v>8330</v>
      </c>
      <c r="G11" s="1084" t="s">
        <v>908</v>
      </c>
      <c r="H11" s="1085">
        <f>SUMPRODUCT((B158:B205=基准地价!I2)*(C3:F3=基准地价!E2)*(C158:F205))</f>
        <v>0</v>
      </c>
      <c r="J11" s="1072" t="s">
        <v>1163</v>
      </c>
      <c r="K11" s="1072" t="s">
        <v>1164</v>
      </c>
      <c r="L11" s="1072" t="s">
        <v>1165</v>
      </c>
      <c r="M11" s="1072" t="s">
        <v>1166</v>
      </c>
      <c r="N11" s="1072" t="s">
        <v>1167</v>
      </c>
      <c r="O11" s="1072" t="s">
        <v>1168</v>
      </c>
      <c r="P11" s="1072" t="s">
        <v>1169</v>
      </c>
      <c r="Q11" s="1072" t="s">
        <v>1170</v>
      </c>
      <c r="R11" s="1072" t="s">
        <v>1171</v>
      </c>
      <c r="S11" s="1072" t="s">
        <v>1172</v>
      </c>
    </row>
    <row r="12" spans="1:20" ht="14.25" customHeight="1" thickBot="1">
      <c r="A12" s="1078" t="s">
        <v>1151</v>
      </c>
      <c r="B12" s="1086" t="s">
        <v>1081</v>
      </c>
      <c r="C12" s="1072">
        <v>24940</v>
      </c>
      <c r="D12" s="1072">
        <v>23180</v>
      </c>
      <c r="E12" s="1072">
        <v>22910</v>
      </c>
      <c r="F12" s="1090">
        <v>7180</v>
      </c>
      <c r="G12" s="1084" t="s">
        <v>909</v>
      </c>
      <c r="H12" s="1085">
        <f>SUMPRODUCT((B206:B244=基准地价!I2)*(C3:F3=基准地价!E2)*(C206:F244))</f>
        <v>0</v>
      </c>
      <c r="J12" s="1072" t="s">
        <v>1173</v>
      </c>
      <c r="K12" s="1072" t="s">
        <v>1174</v>
      </c>
      <c r="L12" s="1072" t="s">
        <v>1175</v>
      </c>
      <c r="M12" s="1072" t="s">
        <v>1176</v>
      </c>
      <c r="N12" s="1072" t="s">
        <v>1177</v>
      </c>
      <c r="O12" s="1072" t="s">
        <v>1178</v>
      </c>
      <c r="P12" s="1072" t="s">
        <v>1179</v>
      </c>
      <c r="Q12" s="1072" t="s">
        <v>1180</v>
      </c>
      <c r="R12" s="1072" t="s">
        <v>1181</v>
      </c>
      <c r="S12" s="1072" t="s">
        <v>1182</v>
      </c>
    </row>
    <row r="13" spans="1:20" ht="14.25" customHeight="1" thickBot="1">
      <c r="A13" s="1078" t="s">
        <v>1151</v>
      </c>
      <c r="B13" s="1086" t="s">
        <v>1094</v>
      </c>
      <c r="C13" s="1072">
        <v>24140</v>
      </c>
      <c r="D13" s="1072">
        <v>22270</v>
      </c>
      <c r="E13" s="1072">
        <v>21950</v>
      </c>
      <c r="F13" s="1090">
        <v>7600</v>
      </c>
      <c r="G13" s="1084" t="s">
        <v>910</v>
      </c>
      <c r="H13" s="1085">
        <f>SUMPRODUCT((B245:B289=基准地价!I2)*(C3:F3=基准地价!E2)*(C245:F289))</f>
        <v>0</v>
      </c>
      <c r="J13" s="1072" t="s">
        <v>1183</v>
      </c>
      <c r="K13" s="1072" t="s">
        <v>1184</v>
      </c>
      <c r="L13" s="1072" t="s">
        <v>1185</v>
      </c>
      <c r="M13" s="1072" t="s">
        <v>1186</v>
      </c>
      <c r="N13" s="1072" t="s">
        <v>1187</v>
      </c>
      <c r="O13" s="1072" t="s">
        <v>1188</v>
      </c>
      <c r="P13" s="1072" t="s">
        <v>1189</v>
      </c>
      <c r="Q13" s="1072" t="s">
        <v>1190</v>
      </c>
      <c r="R13" s="1072" t="s">
        <v>1191</v>
      </c>
      <c r="S13" s="1072" t="s">
        <v>1192</v>
      </c>
    </row>
    <row r="14" spans="1:20" ht="14.25" customHeight="1" thickBot="1">
      <c r="A14" s="1078" t="s">
        <v>1151</v>
      </c>
      <c r="B14" s="1086" t="s">
        <v>1108</v>
      </c>
      <c r="C14" s="1072">
        <v>25600</v>
      </c>
      <c r="D14" s="1072">
        <v>22260</v>
      </c>
      <c r="E14" s="1072">
        <v>22110</v>
      </c>
      <c r="F14" s="1090">
        <v>7630</v>
      </c>
      <c r="G14" s="1084" t="s">
        <v>911</v>
      </c>
      <c r="H14" s="1085">
        <f>SUMPRODUCT((B290:B316=基准地价!I2)*(C3:F3=基准地价!E2)*(C290:F316))</f>
        <v>0</v>
      </c>
      <c r="J14" s="1072" t="s">
        <v>1193</v>
      </c>
      <c r="K14" s="1072" t="s">
        <v>1194</v>
      </c>
      <c r="L14" s="1072" t="s">
        <v>1195</v>
      </c>
      <c r="M14" s="1072" t="s">
        <v>1196</v>
      </c>
      <c r="N14" s="1072" t="s">
        <v>1197</v>
      </c>
      <c r="O14" s="1072" t="s">
        <v>1198</v>
      </c>
      <c r="P14" s="1072" t="s">
        <v>1199</v>
      </c>
      <c r="Q14" s="1072" t="s">
        <v>1200</v>
      </c>
      <c r="R14" s="1072" t="s">
        <v>1201</v>
      </c>
      <c r="S14" s="1072" t="s">
        <v>1202</v>
      </c>
    </row>
    <row r="15" spans="1:20" ht="14.25" customHeight="1" thickBot="1">
      <c r="A15" s="1078" t="s">
        <v>1151</v>
      </c>
      <c r="B15" s="1086" t="s">
        <v>1119</v>
      </c>
      <c r="C15" s="1072">
        <v>24760</v>
      </c>
      <c r="D15" s="1072">
        <v>24440</v>
      </c>
      <c r="E15" s="1072">
        <v>24130</v>
      </c>
      <c r="F15" s="1090">
        <v>9480</v>
      </c>
      <c r="G15" s="1084" t="s">
        <v>912</v>
      </c>
      <c r="H15" s="1085">
        <f>SUMPRODUCT((B317:B337=基准地价!I2)*(C3:F3=基准地价!E2)*(C317:F337))</f>
        <v>0</v>
      </c>
      <c r="J15" s="1072" t="s">
        <v>1203</v>
      </c>
      <c r="K15" s="1072" t="s">
        <v>1204</v>
      </c>
      <c r="L15" s="1072" t="s">
        <v>1205</v>
      </c>
      <c r="M15" s="1072" t="s">
        <v>1206</v>
      </c>
      <c r="N15" s="1072" t="s">
        <v>1207</v>
      </c>
      <c r="O15" s="1072" t="s">
        <v>1208</v>
      </c>
      <c r="P15" s="1072" t="s">
        <v>1209</v>
      </c>
      <c r="Q15" s="1072" t="s">
        <v>1210</v>
      </c>
      <c r="R15" s="1072" t="s">
        <v>1211</v>
      </c>
      <c r="S15" s="1072" t="s">
        <v>1212</v>
      </c>
    </row>
    <row r="16" spans="1:20" ht="14.25" customHeight="1" thickBot="1">
      <c r="A16" s="1078" t="s">
        <v>1151</v>
      </c>
      <c r="B16" s="1086" t="s">
        <v>1130</v>
      </c>
      <c r="C16" s="1072">
        <v>22220</v>
      </c>
      <c r="D16" s="1072">
        <v>22310</v>
      </c>
      <c r="E16" s="1072">
        <v>22000</v>
      </c>
      <c r="F16" s="1090">
        <v>8900</v>
      </c>
      <c r="G16" s="1091" t="s">
        <v>913</v>
      </c>
      <c r="H16" s="1092">
        <f>SUMPRODUCT((B338:B344=基准地价!I2)*(C3:F3=基准地价!E2)*(C338:F344))</f>
        <v>0</v>
      </c>
      <c r="J16" s="1072" t="s">
        <v>1213</v>
      </c>
      <c r="K16" s="1072" t="s">
        <v>1214</v>
      </c>
      <c r="L16" s="1072" t="s">
        <v>1215</v>
      </c>
      <c r="M16" s="1072" t="s">
        <v>1216</v>
      </c>
      <c r="N16" s="1072" t="s">
        <v>1217</v>
      </c>
      <c r="O16" s="1072" t="s">
        <v>1218</v>
      </c>
      <c r="P16" s="1072" t="s">
        <v>1219</v>
      </c>
      <c r="Q16" s="1072" t="s">
        <v>1220</v>
      </c>
      <c r="R16" s="1072" t="s">
        <v>1221</v>
      </c>
      <c r="S16" s="1072" t="s">
        <v>1222</v>
      </c>
    </row>
    <row r="17" spans="1:19" ht="14.25" customHeight="1" thickBot="1">
      <c r="A17" s="1078" t="s">
        <v>1151</v>
      </c>
      <c r="B17" s="1086" t="s">
        <v>1141</v>
      </c>
      <c r="C17" s="1072">
        <v>24700</v>
      </c>
      <c r="D17" s="1072">
        <v>25150</v>
      </c>
      <c r="E17" s="1072">
        <v>24700</v>
      </c>
      <c r="F17" s="1093"/>
      <c r="H17" s="1094"/>
      <c r="J17" s="1072" t="s">
        <v>1223</v>
      </c>
      <c r="K17" s="1072" t="s">
        <v>1224</v>
      </c>
      <c r="L17" s="1072" t="s">
        <v>1225</v>
      </c>
      <c r="M17" s="1072" t="s">
        <v>1226</v>
      </c>
      <c r="N17" s="1072" t="s">
        <v>1227</v>
      </c>
      <c r="O17" s="1072" t="s">
        <v>1228</v>
      </c>
      <c r="P17" s="1072" t="s">
        <v>1229</v>
      </c>
      <c r="Q17" s="1072" t="s">
        <v>1230</v>
      </c>
      <c r="R17" s="1072" t="s">
        <v>1231</v>
      </c>
      <c r="S17" s="1072" t="s">
        <v>1232</v>
      </c>
    </row>
    <row r="18" spans="1:19" ht="14.25" customHeight="1" thickBot="1">
      <c r="A18" s="1078" t="s">
        <v>1151</v>
      </c>
      <c r="B18" s="1086" t="s">
        <v>1153</v>
      </c>
      <c r="C18" s="1072">
        <v>22350</v>
      </c>
      <c r="D18" s="1072">
        <v>24340</v>
      </c>
      <c r="E18" s="1072">
        <v>24100</v>
      </c>
      <c r="F18" s="1093"/>
      <c r="H18" s="1094"/>
      <c r="J18" s="1072" t="s">
        <v>1233</v>
      </c>
      <c r="K18" s="1072" t="s">
        <v>1234</v>
      </c>
      <c r="L18" s="1072" t="s">
        <v>1235</v>
      </c>
      <c r="M18" s="1072" t="s">
        <v>1236</v>
      </c>
      <c r="N18" s="1072" t="s">
        <v>1237</v>
      </c>
      <c r="O18" s="1072" t="s">
        <v>1238</v>
      </c>
      <c r="P18" s="1072" t="s">
        <v>1239</v>
      </c>
      <c r="Q18" s="1072" t="s">
        <v>1240</v>
      </c>
      <c r="R18" s="1072" t="s">
        <v>1241</v>
      </c>
      <c r="S18" s="1072" t="s">
        <v>1242</v>
      </c>
    </row>
    <row r="19" spans="1:19" ht="14.25" customHeight="1" thickBot="1">
      <c r="A19" s="1078" t="s">
        <v>1151</v>
      </c>
      <c r="B19" s="1086" t="s">
        <v>1163</v>
      </c>
      <c r="C19" s="1072">
        <v>23430</v>
      </c>
      <c r="D19" s="1072">
        <v>21580</v>
      </c>
      <c r="E19" s="1072">
        <v>21350</v>
      </c>
      <c r="F19" s="1093"/>
      <c r="H19" s="1094"/>
      <c r="J19" s="1072" t="s">
        <v>1243</v>
      </c>
      <c r="K19" s="1072" t="s">
        <v>1244</v>
      </c>
      <c r="L19" s="1072" t="s">
        <v>1245</v>
      </c>
      <c r="M19" s="1072" t="s">
        <v>1246</v>
      </c>
      <c r="N19" s="1072" t="s">
        <v>1247</v>
      </c>
      <c r="O19" s="1072" t="s">
        <v>1248</v>
      </c>
      <c r="P19" s="1072" t="s">
        <v>1249</v>
      </c>
      <c r="Q19" s="1072" t="s">
        <v>1250</v>
      </c>
      <c r="R19" s="1072" t="s">
        <v>1251</v>
      </c>
      <c r="S19" s="1072" t="s">
        <v>1252</v>
      </c>
    </row>
    <row r="20" spans="1:19" ht="14.25" customHeight="1" thickBot="1">
      <c r="A20" s="1078" t="s">
        <v>1151</v>
      </c>
      <c r="B20" s="1086" t="s">
        <v>1173</v>
      </c>
      <c r="C20" s="1072">
        <v>27660</v>
      </c>
      <c r="D20" s="1072">
        <v>24240</v>
      </c>
      <c r="E20" s="1072">
        <v>24020</v>
      </c>
      <c r="F20" s="1093"/>
      <c r="J20" s="1072" t="s">
        <v>1253</v>
      </c>
      <c r="K20" s="1072" t="s">
        <v>1254</v>
      </c>
      <c r="L20" s="1072" t="s">
        <v>1255</v>
      </c>
      <c r="M20" s="1072" t="s">
        <v>1256</v>
      </c>
      <c r="N20" s="1072" t="s">
        <v>1257</v>
      </c>
      <c r="O20" s="1072" t="s">
        <v>1258</v>
      </c>
      <c r="P20" s="1072" t="s">
        <v>1259</v>
      </c>
      <c r="Q20" s="1072" t="s">
        <v>1260</v>
      </c>
      <c r="R20" s="1072" t="s">
        <v>1261</v>
      </c>
      <c r="S20" s="1072" t="s">
        <v>1262</v>
      </c>
    </row>
    <row r="21" spans="1:19" ht="14.25" customHeight="1" thickBot="1">
      <c r="A21" s="1078" t="s">
        <v>1151</v>
      </c>
      <c r="B21" s="1086" t="s">
        <v>1183</v>
      </c>
      <c r="C21" s="1072">
        <v>24720</v>
      </c>
      <c r="D21" s="1072">
        <v>21670</v>
      </c>
      <c r="E21" s="1072">
        <v>21510</v>
      </c>
      <c r="F21" s="1093"/>
      <c r="K21" s="1072" t="s">
        <v>1263</v>
      </c>
      <c r="L21" s="1072" t="s">
        <v>1264</v>
      </c>
      <c r="M21" s="1072" t="s">
        <v>1265</v>
      </c>
      <c r="N21" s="1072" t="s">
        <v>1266</v>
      </c>
      <c r="O21" s="1072" t="s">
        <v>1267</v>
      </c>
      <c r="P21" s="1072" t="s">
        <v>1268</v>
      </c>
      <c r="Q21" s="1072" t="s">
        <v>1269</v>
      </c>
      <c r="R21" s="1072" t="s">
        <v>1270</v>
      </c>
      <c r="S21" s="1072" t="s">
        <v>1271</v>
      </c>
    </row>
    <row r="22" spans="1:19" ht="14.25" customHeight="1" thickBot="1">
      <c r="A22" s="1078" t="s">
        <v>1151</v>
      </c>
      <c r="B22" s="1086" t="s">
        <v>1272</v>
      </c>
      <c r="C22" s="1072">
        <v>26530</v>
      </c>
      <c r="D22" s="1072">
        <v>22980</v>
      </c>
      <c r="E22" s="1072">
        <v>22650</v>
      </c>
      <c r="F22" s="1093"/>
      <c r="L22" s="1072" t="s">
        <v>1273</v>
      </c>
      <c r="M22" s="1072" t="s">
        <v>1274</v>
      </c>
      <c r="N22" s="1072" t="s">
        <v>1275</v>
      </c>
      <c r="O22" s="1072" t="s">
        <v>1276</v>
      </c>
      <c r="P22" s="1072" t="s">
        <v>1277</v>
      </c>
      <c r="Q22" s="1072" t="s">
        <v>1278</v>
      </c>
      <c r="R22" s="1072" t="s">
        <v>1279</v>
      </c>
      <c r="S22" s="1086" t="s">
        <v>1280</v>
      </c>
    </row>
    <row r="23" spans="1:19" ht="14.25" customHeight="1" thickBot="1">
      <c r="A23" s="1078" t="s">
        <v>1151</v>
      </c>
      <c r="B23" s="1086" t="s">
        <v>1203</v>
      </c>
      <c r="C23" s="1072">
        <v>24700</v>
      </c>
      <c r="D23" s="1072">
        <v>27290</v>
      </c>
      <c r="E23" s="1072">
        <v>26710</v>
      </c>
      <c r="F23" s="1093"/>
      <c r="L23" s="1072" t="s">
        <v>1281</v>
      </c>
      <c r="M23" s="1072" t="s">
        <v>1282</v>
      </c>
      <c r="N23" s="1072" t="s">
        <v>1283</v>
      </c>
      <c r="O23" s="1072" t="s">
        <v>1284</v>
      </c>
      <c r="P23" s="1072" t="s">
        <v>1285</v>
      </c>
      <c r="Q23" s="1072" t="s">
        <v>1286</v>
      </c>
      <c r="R23" s="1072" t="s">
        <v>1287</v>
      </c>
    </row>
    <row r="24" spans="1:19" ht="14.25" customHeight="1" thickBot="1">
      <c r="A24" s="1078" t="s">
        <v>1151</v>
      </c>
      <c r="B24" s="1086" t="s">
        <v>1213</v>
      </c>
      <c r="C24" s="1072">
        <v>23070</v>
      </c>
      <c r="D24" s="1072">
        <v>24130</v>
      </c>
      <c r="E24" s="1072">
        <v>23860</v>
      </c>
      <c r="F24" s="1093"/>
      <c r="L24" s="1072" t="s">
        <v>1288</v>
      </c>
      <c r="M24" s="1072" t="s">
        <v>1289</v>
      </c>
      <c r="N24" s="1072" t="s">
        <v>1290</v>
      </c>
      <c r="O24" s="1072" t="s">
        <v>1291</v>
      </c>
      <c r="P24" s="1072" t="s">
        <v>1292</v>
      </c>
      <c r="Q24" s="1072" t="s">
        <v>1293</v>
      </c>
      <c r="R24" s="1072" t="s">
        <v>1294</v>
      </c>
    </row>
    <row r="25" spans="1:19" ht="14.25" customHeight="1" thickBot="1">
      <c r="A25" s="1078" t="s">
        <v>1151</v>
      </c>
      <c r="B25" s="1086" t="s">
        <v>1223</v>
      </c>
      <c r="C25" s="1072">
        <v>27550</v>
      </c>
      <c r="D25" s="1072">
        <v>25850</v>
      </c>
      <c r="E25" s="1072">
        <v>25340</v>
      </c>
      <c r="F25" s="1093"/>
      <c r="L25" s="1072" t="s">
        <v>1295</v>
      </c>
      <c r="M25" s="1072" t="s">
        <v>1296</v>
      </c>
      <c r="N25" s="1072" t="s">
        <v>1297</v>
      </c>
      <c r="O25" s="1072" t="s">
        <v>1298</v>
      </c>
      <c r="P25" s="1072" t="s">
        <v>1299</v>
      </c>
      <c r="Q25" s="1072" t="s">
        <v>1300</v>
      </c>
      <c r="R25" s="1072" t="s">
        <v>1301</v>
      </c>
    </row>
    <row r="26" spans="1:19" ht="14.25" customHeight="1" thickBot="1">
      <c r="A26" s="1078" t="s">
        <v>1151</v>
      </c>
      <c r="B26" s="1086" t="s">
        <v>1233</v>
      </c>
      <c r="C26" s="1072"/>
      <c r="D26" s="1072">
        <v>23900</v>
      </c>
      <c r="E26" s="1072">
        <v>23590</v>
      </c>
      <c r="F26" s="1093"/>
      <c r="L26" s="1072" t="s">
        <v>1302</v>
      </c>
      <c r="M26" s="1072" t="s">
        <v>1303</v>
      </c>
      <c r="N26" s="1072" t="s">
        <v>1304</v>
      </c>
      <c r="O26" s="1072" t="s">
        <v>1305</v>
      </c>
      <c r="P26" s="1072" t="s">
        <v>1306</v>
      </c>
      <c r="Q26" s="1072" t="s">
        <v>1307</v>
      </c>
      <c r="R26" s="1072" t="s">
        <v>1308</v>
      </c>
    </row>
    <row r="27" spans="1:19" ht="14.25" customHeight="1" thickBot="1">
      <c r="A27" s="1078" t="s">
        <v>1151</v>
      </c>
      <c r="B27" s="1086" t="s">
        <v>1243</v>
      </c>
      <c r="C27" s="1072"/>
      <c r="D27" s="1072">
        <v>22850</v>
      </c>
      <c r="E27" s="1072">
        <v>21920</v>
      </c>
      <c r="F27" s="1093"/>
      <c r="L27" s="1072" t="s">
        <v>1309</v>
      </c>
      <c r="M27" s="1072" t="s">
        <v>1310</v>
      </c>
      <c r="N27" s="1072" t="s">
        <v>1311</v>
      </c>
      <c r="O27" s="1072" t="s">
        <v>1312</v>
      </c>
      <c r="P27" s="1072" t="s">
        <v>1313</v>
      </c>
      <c r="Q27" s="1072" t="s">
        <v>1314</v>
      </c>
      <c r="R27" s="1072" t="s">
        <v>1315</v>
      </c>
    </row>
    <row r="28" spans="1:19" ht="14.25" customHeight="1" thickBot="1">
      <c r="A28" s="1095" t="s">
        <v>1151</v>
      </c>
      <c r="B28" s="1087" t="s">
        <v>1253</v>
      </c>
      <c r="C28" s="1088"/>
      <c r="D28" s="1088">
        <v>26610</v>
      </c>
      <c r="E28" s="1088">
        <v>26370</v>
      </c>
      <c r="F28" s="1089"/>
      <c r="L28" s="1072" t="s">
        <v>1316</v>
      </c>
      <c r="M28" s="1072" t="s">
        <v>1317</v>
      </c>
      <c r="N28" s="1072" t="s">
        <v>1318</v>
      </c>
      <c r="O28" s="1072" t="s">
        <v>1319</v>
      </c>
      <c r="P28" s="1072" t="s">
        <v>1320</v>
      </c>
      <c r="Q28" s="1072" t="s">
        <v>1321</v>
      </c>
    </row>
    <row r="29" spans="1:19" ht="14.25" customHeight="1" thickBot="1">
      <c r="A29" s="1078" t="s">
        <v>1322</v>
      </c>
      <c r="B29" s="1079" t="s">
        <v>1323</v>
      </c>
      <c r="C29" s="1079">
        <v>22090</v>
      </c>
      <c r="D29" s="1079">
        <v>21860</v>
      </c>
      <c r="E29" s="1079">
        <v>19380</v>
      </c>
      <c r="F29" s="1080">
        <v>6610</v>
      </c>
      <c r="M29" s="1072" t="s">
        <v>1324</v>
      </c>
      <c r="N29" s="1072" t="s">
        <v>1325</v>
      </c>
      <c r="O29" s="1072" t="s">
        <v>1326</v>
      </c>
      <c r="P29" s="1072" t="s">
        <v>1327</v>
      </c>
      <c r="Q29" s="1072" t="s">
        <v>1328</v>
      </c>
    </row>
    <row r="30" spans="1:19" ht="14.25" customHeight="1" thickBot="1">
      <c r="A30" s="1078" t="s">
        <v>1322</v>
      </c>
      <c r="B30" s="1086" t="s">
        <v>1068</v>
      </c>
      <c r="C30" s="1072">
        <v>21380</v>
      </c>
      <c r="D30" s="1072">
        <v>19930</v>
      </c>
      <c r="E30" s="1072">
        <v>19860</v>
      </c>
      <c r="F30" s="1090">
        <v>6010</v>
      </c>
      <c r="H30" s="1094"/>
      <c r="M30" s="1072" t="s">
        <v>1329</v>
      </c>
      <c r="N30" s="1072" t="s">
        <v>1330</v>
      </c>
      <c r="O30" s="1072" t="s">
        <v>1331</v>
      </c>
      <c r="P30" s="1072" t="s">
        <v>2421</v>
      </c>
      <c r="Q30" s="1072" t="s">
        <v>1332</v>
      </c>
    </row>
    <row r="31" spans="1:19" ht="14.25" customHeight="1" thickBot="1">
      <c r="A31" s="1078" t="s">
        <v>1322</v>
      </c>
      <c r="B31" s="1086" t="s">
        <v>1082</v>
      </c>
      <c r="C31" s="1072">
        <v>21670</v>
      </c>
      <c r="D31" s="1072">
        <v>20660</v>
      </c>
      <c r="E31" s="1072">
        <v>20290</v>
      </c>
      <c r="F31" s="1090">
        <v>5840</v>
      </c>
      <c r="H31" s="1094"/>
      <c r="M31" s="1072" t="s">
        <v>1333</v>
      </c>
      <c r="N31" s="1072" t="s">
        <v>1334</v>
      </c>
      <c r="O31" s="1072" t="s">
        <v>1335</v>
      </c>
      <c r="P31" s="1072" t="s">
        <v>1336</v>
      </c>
      <c r="Q31" s="1072" t="s">
        <v>1337</v>
      </c>
    </row>
    <row r="32" spans="1:19" ht="14.25" customHeight="1" thickBot="1">
      <c r="A32" s="1078" t="s">
        <v>1322</v>
      </c>
      <c r="B32" s="1086" t="s">
        <v>1095</v>
      </c>
      <c r="C32" s="1072">
        <v>22280</v>
      </c>
      <c r="D32" s="1072">
        <v>21800</v>
      </c>
      <c r="E32" s="1072">
        <v>17650</v>
      </c>
      <c r="F32" s="1090">
        <v>4690</v>
      </c>
      <c r="H32" s="1094"/>
      <c r="M32" s="1072" t="s">
        <v>1338</v>
      </c>
      <c r="N32" s="1072" t="s">
        <v>1339</v>
      </c>
      <c r="O32" s="1072" t="s">
        <v>1340</v>
      </c>
      <c r="P32" s="1072" t="s">
        <v>1341</v>
      </c>
      <c r="Q32" s="1072" t="s">
        <v>1342</v>
      </c>
    </row>
    <row r="33" spans="1:17" ht="14.25" customHeight="1" thickBot="1">
      <c r="A33" s="1078" t="s">
        <v>1322</v>
      </c>
      <c r="B33" s="1086" t="s">
        <v>1109</v>
      </c>
      <c r="C33" s="1072">
        <v>22130</v>
      </c>
      <c r="D33" s="1072">
        <v>20460</v>
      </c>
      <c r="E33" s="1072">
        <v>18500</v>
      </c>
      <c r="F33" s="1090">
        <v>5340</v>
      </c>
      <c r="H33" s="1094"/>
      <c r="M33" s="1072" t="s">
        <v>1343</v>
      </c>
      <c r="N33" s="1072" t="s">
        <v>1344</v>
      </c>
      <c r="O33" s="1072" t="s">
        <v>1345</v>
      </c>
      <c r="P33" s="1072" t="s">
        <v>1346</v>
      </c>
      <c r="Q33" s="1072" t="s">
        <v>1347</v>
      </c>
    </row>
    <row r="34" spans="1:17" ht="14.25" customHeight="1" thickBot="1">
      <c r="A34" s="1078" t="s">
        <v>1322</v>
      </c>
      <c r="B34" s="1086" t="s">
        <v>1120</v>
      </c>
      <c r="C34" s="1072">
        <v>22070</v>
      </c>
      <c r="D34" s="1072">
        <v>20110</v>
      </c>
      <c r="E34" s="1072">
        <v>18830</v>
      </c>
      <c r="F34" s="1090">
        <v>5190</v>
      </c>
      <c r="H34" s="1094"/>
      <c r="M34" s="1072" t="s">
        <v>1348</v>
      </c>
      <c r="N34" s="1072" t="s">
        <v>1349</v>
      </c>
      <c r="O34" s="1072" t="s">
        <v>1350</v>
      </c>
      <c r="P34" s="1072" t="s">
        <v>1351</v>
      </c>
      <c r="Q34" s="1072" t="s">
        <v>1352</v>
      </c>
    </row>
    <row r="35" spans="1:17" ht="14.25" customHeight="1" thickBot="1">
      <c r="A35" s="1078" t="s">
        <v>1322</v>
      </c>
      <c r="B35" s="1086" t="s">
        <v>1131</v>
      </c>
      <c r="C35" s="1072">
        <v>22240</v>
      </c>
      <c r="D35" s="1072">
        <v>19550</v>
      </c>
      <c r="E35" s="1072">
        <v>19220</v>
      </c>
      <c r="F35" s="1090">
        <v>5800</v>
      </c>
      <c r="H35" s="1094"/>
      <c r="M35" s="1072" t="s">
        <v>1353</v>
      </c>
      <c r="N35" s="1072" t="s">
        <v>1354</v>
      </c>
      <c r="O35" s="1072" t="s">
        <v>1355</v>
      </c>
      <c r="P35" s="1072" t="s">
        <v>1356</v>
      </c>
      <c r="Q35" s="1072" t="s">
        <v>1357</v>
      </c>
    </row>
    <row r="36" spans="1:17" ht="14.25" customHeight="1" thickBot="1">
      <c r="A36" s="1078" t="s">
        <v>1322</v>
      </c>
      <c r="B36" s="1086" t="s">
        <v>1142</v>
      </c>
      <c r="C36" s="1072">
        <v>19750</v>
      </c>
      <c r="D36" s="1072">
        <v>19790</v>
      </c>
      <c r="E36" s="1072">
        <v>18510</v>
      </c>
      <c r="F36" s="1090">
        <v>6520</v>
      </c>
      <c r="H36" s="1094"/>
      <c r="N36" s="1072" t="s">
        <v>1358</v>
      </c>
      <c r="O36" s="1072" t="s">
        <v>1359</v>
      </c>
      <c r="P36" s="1072" t="s">
        <v>1360</v>
      </c>
      <c r="Q36" s="1072" t="s">
        <v>1361</v>
      </c>
    </row>
    <row r="37" spans="1:17" ht="14.25" customHeight="1" thickBot="1">
      <c r="A37" s="1078" t="s">
        <v>1322</v>
      </c>
      <c r="B37" s="1086" t="s">
        <v>1154</v>
      </c>
      <c r="C37" s="1072">
        <v>22380</v>
      </c>
      <c r="D37" s="1072">
        <v>18530</v>
      </c>
      <c r="E37" s="1072">
        <v>17930</v>
      </c>
      <c r="F37" s="1090">
        <v>6270</v>
      </c>
      <c r="H37" s="1096"/>
      <c r="N37" s="1072" t="s">
        <v>1362</v>
      </c>
      <c r="O37" s="1072" t="s">
        <v>1363</v>
      </c>
      <c r="P37" s="1072" t="s">
        <v>1364</v>
      </c>
      <c r="Q37" s="1072" t="s">
        <v>1365</v>
      </c>
    </row>
    <row r="38" spans="1:17" ht="14.25" customHeight="1" thickBot="1">
      <c r="A38" s="1078" t="s">
        <v>1322</v>
      </c>
      <c r="B38" s="1086" t="s">
        <v>1164</v>
      </c>
      <c r="C38" s="1072">
        <v>20200</v>
      </c>
      <c r="D38" s="1072">
        <v>20070</v>
      </c>
      <c r="E38" s="1072">
        <v>19950</v>
      </c>
      <c r="F38" s="1090"/>
      <c r="H38" s="1097"/>
      <c r="N38" s="1072" t="s">
        <v>1366</v>
      </c>
      <c r="O38" s="1072" t="s">
        <v>1367</v>
      </c>
      <c r="P38" s="1072" t="s">
        <v>1368</v>
      </c>
      <c r="Q38" s="1072" t="s">
        <v>1369</v>
      </c>
    </row>
    <row r="39" spans="1:17" ht="14.25" customHeight="1" thickBot="1">
      <c r="A39" s="1078" t="s">
        <v>1322</v>
      </c>
      <c r="B39" s="1086" t="s">
        <v>1174</v>
      </c>
      <c r="C39" s="1072">
        <v>19300</v>
      </c>
      <c r="D39" s="1072">
        <v>20360</v>
      </c>
      <c r="E39" s="1072">
        <v>20230</v>
      </c>
      <c r="F39" s="1090"/>
      <c r="H39" s="1097"/>
      <c r="N39" s="1072" t="s">
        <v>1370</v>
      </c>
      <c r="O39" s="1072" t="s">
        <v>1371</v>
      </c>
      <c r="P39" s="1072" t="s">
        <v>1372</v>
      </c>
      <c r="Q39" s="1072" t="s">
        <v>1373</v>
      </c>
    </row>
    <row r="40" spans="1:17" ht="14.25" customHeight="1" thickBot="1">
      <c r="A40" s="1078" t="s">
        <v>1322</v>
      </c>
      <c r="B40" s="1086" t="s">
        <v>1184</v>
      </c>
      <c r="C40" s="1072">
        <v>20210</v>
      </c>
      <c r="D40" s="1072">
        <v>19060</v>
      </c>
      <c r="E40" s="1072">
        <v>18890</v>
      </c>
      <c r="F40" s="1090"/>
      <c r="H40" s="1097"/>
      <c r="N40" s="1072" t="s">
        <v>1374</v>
      </c>
      <c r="O40" s="1072" t="s">
        <v>1375</v>
      </c>
      <c r="P40" s="1072" t="s">
        <v>1376</v>
      </c>
      <c r="Q40" s="1072" t="s">
        <v>1377</v>
      </c>
    </row>
    <row r="41" spans="1:17" ht="14.25" customHeight="1" thickBot="1">
      <c r="A41" s="1078" t="s">
        <v>1322</v>
      </c>
      <c r="B41" s="1086" t="s">
        <v>1194</v>
      </c>
      <c r="C41" s="1072">
        <v>20560</v>
      </c>
      <c r="D41" s="1072">
        <v>21040</v>
      </c>
      <c r="E41" s="1072">
        <v>20740</v>
      </c>
      <c r="F41" s="1090"/>
      <c r="H41" s="1097"/>
      <c r="N41" s="1086" t="s">
        <v>1378</v>
      </c>
      <c r="O41" s="1086" t="s">
        <v>1379</v>
      </c>
      <c r="Q41" s="1086" t="s">
        <v>1380</v>
      </c>
    </row>
    <row r="42" spans="1:17" ht="14.25" customHeight="1" thickBot="1">
      <c r="A42" s="1078" t="s">
        <v>1322</v>
      </c>
      <c r="B42" s="1086" t="s">
        <v>1204</v>
      </c>
      <c r="C42" s="1072">
        <v>19280</v>
      </c>
      <c r="D42" s="1072">
        <v>22940</v>
      </c>
      <c r="E42" s="1072">
        <v>22500</v>
      </c>
      <c r="F42" s="1090"/>
      <c r="H42" s="1097"/>
      <c r="N42" s="1072" t="s">
        <v>1381</v>
      </c>
      <c r="O42" s="1072" t="s">
        <v>1382</v>
      </c>
      <c r="Q42" s="1072" t="s">
        <v>1383</v>
      </c>
    </row>
    <row r="43" spans="1:17" ht="14.25" customHeight="1" thickBot="1">
      <c r="A43" s="1078" t="s">
        <v>1322</v>
      </c>
      <c r="B43" s="1086" t="s">
        <v>1214</v>
      </c>
      <c r="C43" s="1072">
        <v>21520</v>
      </c>
      <c r="D43" s="1072">
        <v>19230</v>
      </c>
      <c r="E43" s="1072">
        <v>18540</v>
      </c>
      <c r="F43" s="1090"/>
      <c r="H43" s="1097"/>
      <c r="N43" s="1072" t="s">
        <v>1384</v>
      </c>
      <c r="O43" s="1072" t="s">
        <v>1385</v>
      </c>
      <c r="Q43" s="1072" t="s">
        <v>1386</v>
      </c>
    </row>
    <row r="44" spans="1:17" ht="14.25" customHeight="1" thickBot="1">
      <c r="A44" s="1078" t="s">
        <v>1322</v>
      </c>
      <c r="B44" s="1086" t="s">
        <v>1224</v>
      </c>
      <c r="C44" s="1072">
        <v>23260</v>
      </c>
      <c r="D44" s="1072">
        <v>21180</v>
      </c>
      <c r="E44" s="1072">
        <v>20730</v>
      </c>
      <c r="F44" s="1090"/>
      <c r="H44" s="1097"/>
      <c r="N44" s="1072" t="s">
        <v>1387</v>
      </c>
      <c r="O44" s="1072" t="s">
        <v>1388</v>
      </c>
      <c r="Q44" s="1072" t="s">
        <v>1389</v>
      </c>
    </row>
    <row r="45" spans="1:17" ht="14.25" customHeight="1" thickBot="1">
      <c r="A45" s="1078" t="s">
        <v>1322</v>
      </c>
      <c r="B45" s="1086" t="s">
        <v>1234</v>
      </c>
      <c r="C45" s="1072">
        <v>19610</v>
      </c>
      <c r="D45" s="1072">
        <v>18090</v>
      </c>
      <c r="E45" s="1072">
        <v>17970</v>
      </c>
      <c r="F45" s="1090"/>
      <c r="H45" s="1094"/>
      <c r="N45" s="1072" t="s">
        <v>1390</v>
      </c>
      <c r="O45" s="1072" t="s">
        <v>1391</v>
      </c>
      <c r="Q45" s="1072" t="s">
        <v>1392</v>
      </c>
    </row>
    <row r="46" spans="1:17" ht="14.25" customHeight="1" thickBot="1">
      <c r="A46" s="1078" t="s">
        <v>1322</v>
      </c>
      <c r="B46" s="1086" t="s">
        <v>1244</v>
      </c>
      <c r="C46" s="1072">
        <v>21660</v>
      </c>
      <c r="D46" s="1072">
        <v>19190</v>
      </c>
      <c r="E46" s="1072">
        <v>19790</v>
      </c>
      <c r="F46" s="1090"/>
      <c r="H46" s="1097"/>
      <c r="N46" s="1072" t="s">
        <v>1393</v>
      </c>
      <c r="O46" s="1072" t="s">
        <v>1394</v>
      </c>
      <c r="Q46" s="1072" t="s">
        <v>1395</v>
      </c>
    </row>
    <row r="47" spans="1:17" ht="14.25" customHeight="1" thickBot="1">
      <c r="A47" s="1078" t="s">
        <v>1322</v>
      </c>
      <c r="B47" s="1086" t="s">
        <v>1254</v>
      </c>
      <c r="C47" s="1072">
        <v>18220</v>
      </c>
      <c r="D47" s="1072"/>
      <c r="E47" s="1072">
        <v>17220</v>
      </c>
      <c r="F47" s="1090"/>
      <c r="H47" s="1097"/>
      <c r="N47" s="1072" t="s">
        <v>1396</v>
      </c>
      <c r="O47" s="1072" t="s">
        <v>1397</v>
      </c>
    </row>
    <row r="48" spans="1:17" ht="14.25" customHeight="1" thickBot="1">
      <c r="A48" s="1078" t="s">
        <v>1322</v>
      </c>
      <c r="B48" s="1087" t="s">
        <v>1263</v>
      </c>
      <c r="C48" s="1088">
        <v>19430</v>
      </c>
      <c r="D48" s="1088"/>
      <c r="E48" s="1088">
        <v>17830</v>
      </c>
      <c r="F48" s="1098"/>
      <c r="H48" s="1094"/>
      <c r="N48" s="1072" t="s">
        <v>1398</v>
      </c>
      <c r="O48" s="1072" t="s">
        <v>1399</v>
      </c>
    </row>
    <row r="49" spans="1:15" ht="14.25" customHeight="1" thickBot="1">
      <c r="A49" s="1078" t="s">
        <v>920</v>
      </c>
      <c r="B49" s="1079" t="s">
        <v>1400</v>
      </c>
      <c r="C49" s="1079">
        <v>17090</v>
      </c>
      <c r="D49" s="1079">
        <v>16950</v>
      </c>
      <c r="E49" s="1079">
        <v>16310</v>
      </c>
      <c r="F49" s="1080">
        <v>4540</v>
      </c>
      <c r="H49" s="1097"/>
      <c r="N49" s="1072" t="s">
        <v>1401</v>
      </c>
      <c r="O49" s="1072" t="s">
        <v>1402</v>
      </c>
    </row>
    <row r="50" spans="1:15" ht="14.25" customHeight="1" thickBot="1">
      <c r="A50" s="1078" t="s">
        <v>920</v>
      </c>
      <c r="B50" s="1072" t="s">
        <v>1069</v>
      </c>
      <c r="C50" s="1072">
        <v>19040</v>
      </c>
      <c r="D50" s="1072">
        <v>16960</v>
      </c>
      <c r="E50" s="1072">
        <v>14800</v>
      </c>
      <c r="F50" s="1090">
        <v>3940</v>
      </c>
      <c r="H50" s="1097"/>
    </row>
    <row r="51" spans="1:15" ht="14.25" customHeight="1" thickBot="1">
      <c r="A51" s="1078" t="s">
        <v>920</v>
      </c>
      <c r="B51" s="1072" t="s">
        <v>1083</v>
      </c>
      <c r="C51" s="1072">
        <v>17040</v>
      </c>
      <c r="D51" s="1072">
        <v>16930</v>
      </c>
      <c r="E51" s="1072">
        <v>15030</v>
      </c>
      <c r="F51" s="1090">
        <v>4120</v>
      </c>
      <c r="H51" s="1097"/>
    </row>
    <row r="52" spans="1:15" ht="14.25" customHeight="1" thickBot="1">
      <c r="A52" s="1078" t="s">
        <v>920</v>
      </c>
      <c r="B52" s="1072" t="s">
        <v>1096</v>
      </c>
      <c r="C52" s="1072">
        <v>17110</v>
      </c>
      <c r="D52" s="1072">
        <v>17750</v>
      </c>
      <c r="E52" s="1072">
        <v>17310</v>
      </c>
      <c r="F52" s="1090">
        <v>3220</v>
      </c>
      <c r="H52" s="1097"/>
    </row>
    <row r="53" spans="1:15" ht="14.25" customHeight="1" thickBot="1">
      <c r="A53" s="1078" t="s">
        <v>920</v>
      </c>
      <c r="B53" s="1072" t="s">
        <v>1110</v>
      </c>
      <c r="C53" s="1072">
        <v>17810</v>
      </c>
      <c r="D53" s="1072">
        <v>17260</v>
      </c>
      <c r="E53" s="1072">
        <v>17090</v>
      </c>
      <c r="F53" s="1090">
        <v>3520</v>
      </c>
      <c r="H53" s="1097"/>
    </row>
    <row r="54" spans="1:15" ht="14.25" customHeight="1" thickBot="1">
      <c r="A54" s="1078" t="s">
        <v>920</v>
      </c>
      <c r="B54" s="1072" t="s">
        <v>1121</v>
      </c>
      <c r="C54" s="1072">
        <v>17410</v>
      </c>
      <c r="D54" s="1072">
        <v>16780</v>
      </c>
      <c r="E54" s="1072">
        <v>16370</v>
      </c>
      <c r="F54" s="1090">
        <v>3410</v>
      </c>
      <c r="H54" s="1097"/>
    </row>
    <row r="55" spans="1:15" ht="14.25" customHeight="1" thickBot="1">
      <c r="A55" s="1078" t="s">
        <v>920</v>
      </c>
      <c r="B55" s="1072" t="s">
        <v>1132</v>
      </c>
      <c r="C55" s="1072">
        <v>16930</v>
      </c>
      <c r="D55" s="1072">
        <v>14720</v>
      </c>
      <c r="E55" s="1072">
        <v>15000</v>
      </c>
      <c r="F55" s="1090">
        <v>3710</v>
      </c>
      <c r="H55" s="1097"/>
    </row>
    <row r="56" spans="1:15" ht="14.25" customHeight="1" thickBot="1">
      <c r="A56" s="1078" t="s">
        <v>920</v>
      </c>
      <c r="B56" s="1072" t="s">
        <v>1143</v>
      </c>
      <c r="C56" s="1072">
        <v>14930</v>
      </c>
      <c r="D56" s="1072">
        <v>15850</v>
      </c>
      <c r="E56" s="1072">
        <v>14320</v>
      </c>
      <c r="F56" s="1090">
        <v>3960</v>
      </c>
      <c r="H56" s="1097"/>
    </row>
    <row r="57" spans="1:15" ht="14.25" customHeight="1" thickBot="1">
      <c r="A57" s="1078" t="s">
        <v>920</v>
      </c>
      <c r="B57" s="1072" t="s">
        <v>1155</v>
      </c>
      <c r="C57" s="1072">
        <v>16160</v>
      </c>
      <c r="D57" s="1072">
        <v>16190</v>
      </c>
      <c r="E57" s="1072">
        <v>15650</v>
      </c>
      <c r="F57" s="1090">
        <v>4200</v>
      </c>
      <c r="H57" s="1097"/>
    </row>
    <row r="58" spans="1:15" ht="14.25" customHeight="1" thickBot="1">
      <c r="A58" s="1078" t="s">
        <v>920</v>
      </c>
      <c r="B58" s="1072" t="s">
        <v>1165</v>
      </c>
      <c r="C58" s="1072">
        <v>16360</v>
      </c>
      <c r="D58" s="1072">
        <v>14050</v>
      </c>
      <c r="E58" s="1072">
        <v>16070</v>
      </c>
      <c r="F58" s="1090">
        <v>3990</v>
      </c>
      <c r="H58" s="1097"/>
    </row>
    <row r="59" spans="1:15" ht="14.25" customHeight="1" thickBot="1">
      <c r="A59" s="1078" t="s">
        <v>920</v>
      </c>
      <c r="B59" s="1072" t="s">
        <v>1175</v>
      </c>
      <c r="C59" s="1072">
        <v>14160</v>
      </c>
      <c r="D59" s="1072">
        <v>16620</v>
      </c>
      <c r="E59" s="1072">
        <v>13940</v>
      </c>
      <c r="F59" s="1090">
        <v>4260</v>
      </c>
      <c r="H59" s="1097"/>
    </row>
    <row r="60" spans="1:15" ht="14.25" customHeight="1" thickBot="1">
      <c r="A60" s="1078" t="s">
        <v>920</v>
      </c>
      <c r="B60" s="1072" t="s">
        <v>1185</v>
      </c>
      <c r="C60" s="1072">
        <v>16750</v>
      </c>
      <c r="D60" s="1072">
        <v>13910</v>
      </c>
      <c r="E60" s="1072">
        <v>16550</v>
      </c>
      <c r="F60" s="1090">
        <v>4550</v>
      </c>
      <c r="H60" s="1097"/>
    </row>
    <row r="61" spans="1:15" ht="14.25" customHeight="1" thickBot="1">
      <c r="A61" s="1078" t="s">
        <v>920</v>
      </c>
      <c r="B61" s="1072" t="s">
        <v>1195</v>
      </c>
      <c r="C61" s="1072">
        <v>14000</v>
      </c>
      <c r="D61" s="1072">
        <v>14550</v>
      </c>
      <c r="E61" s="1072">
        <v>13860</v>
      </c>
      <c r="F61" s="1099"/>
      <c r="H61" s="1097"/>
    </row>
    <row r="62" spans="1:15" ht="14.25" customHeight="1" thickBot="1">
      <c r="A62" s="1078" t="s">
        <v>920</v>
      </c>
      <c r="B62" s="1072" t="s">
        <v>1205</v>
      </c>
      <c r="C62" s="1072">
        <v>14660</v>
      </c>
      <c r="D62" s="1072">
        <v>17450</v>
      </c>
      <c r="E62" s="1072">
        <v>14470</v>
      </c>
      <c r="F62" s="1099"/>
      <c r="H62" s="1097"/>
    </row>
    <row r="63" spans="1:15" ht="14.25" customHeight="1" thickBot="1">
      <c r="A63" s="1078" t="s">
        <v>920</v>
      </c>
      <c r="B63" s="1072" t="s">
        <v>1215</v>
      </c>
      <c r="C63" s="1072">
        <v>17610</v>
      </c>
      <c r="D63" s="1072">
        <v>16500</v>
      </c>
      <c r="E63" s="1072">
        <v>17330</v>
      </c>
      <c r="F63" s="1099"/>
      <c r="H63" s="1097"/>
    </row>
    <row r="64" spans="1:15" ht="14.25" customHeight="1" thickBot="1">
      <c r="A64" s="1078" t="s">
        <v>920</v>
      </c>
      <c r="B64" s="1072" t="s">
        <v>1225</v>
      </c>
      <c r="C64" s="1072">
        <v>16590</v>
      </c>
      <c r="D64" s="1072">
        <v>15130</v>
      </c>
      <c r="E64" s="1072">
        <v>16420</v>
      </c>
      <c r="F64" s="1099"/>
      <c r="H64" s="1097"/>
    </row>
    <row r="65" spans="1:8" s="1066" customFormat="1" ht="14.25" customHeight="1" thickBot="1">
      <c r="A65" s="1078" t="s">
        <v>920</v>
      </c>
      <c r="B65" s="1072" t="s">
        <v>1235</v>
      </c>
      <c r="C65" s="1072">
        <v>15220</v>
      </c>
      <c r="D65" s="1072">
        <v>14660</v>
      </c>
      <c r="E65" s="1072">
        <v>15060</v>
      </c>
      <c r="F65" s="1090"/>
      <c r="H65" s="1097"/>
    </row>
    <row r="66" spans="1:8" s="1066" customFormat="1" ht="14.25" customHeight="1" thickBot="1">
      <c r="A66" s="1078" t="s">
        <v>920</v>
      </c>
      <c r="B66" s="1072" t="s">
        <v>1245</v>
      </c>
      <c r="C66" s="1072">
        <v>14720</v>
      </c>
      <c r="D66" s="1072">
        <v>15970</v>
      </c>
      <c r="E66" s="1072">
        <v>14610</v>
      </c>
      <c r="F66" s="1090"/>
      <c r="H66" s="1097"/>
    </row>
    <row r="67" spans="1:8" s="1066" customFormat="1" ht="14.25" customHeight="1" thickBot="1">
      <c r="A67" s="1078" t="s">
        <v>920</v>
      </c>
      <c r="B67" s="1072" t="s">
        <v>1255</v>
      </c>
      <c r="C67" s="1072">
        <v>16080</v>
      </c>
      <c r="D67" s="1072">
        <v>14840</v>
      </c>
      <c r="E67" s="1072">
        <v>15630</v>
      </c>
      <c r="F67" s="1090"/>
      <c r="H67" s="1097"/>
    </row>
    <row r="68" spans="1:8" s="1066" customFormat="1" ht="14.25" customHeight="1" thickBot="1">
      <c r="A68" s="1078" t="s">
        <v>920</v>
      </c>
      <c r="B68" s="1072" t="s">
        <v>1264</v>
      </c>
      <c r="C68" s="1072">
        <v>14940</v>
      </c>
      <c r="D68" s="1072">
        <v>18000</v>
      </c>
      <c r="E68" s="1072">
        <v>14040</v>
      </c>
      <c r="F68" s="1090"/>
      <c r="H68" s="1097"/>
    </row>
    <row r="69" spans="1:8" s="1066" customFormat="1" ht="14.25" customHeight="1" thickBot="1">
      <c r="A69" s="1078" t="s">
        <v>920</v>
      </c>
      <c r="B69" s="1072" t="s">
        <v>1273</v>
      </c>
      <c r="C69" s="1072">
        <v>18810</v>
      </c>
      <c r="D69" s="1072">
        <v>15100</v>
      </c>
      <c r="E69" s="1072">
        <v>14710</v>
      </c>
      <c r="F69" s="1090"/>
      <c r="H69" s="1097"/>
    </row>
    <row r="70" spans="1:8" s="1066" customFormat="1" ht="14.25" customHeight="1" thickBot="1">
      <c r="A70" s="1078" t="s">
        <v>920</v>
      </c>
      <c r="B70" s="1072" t="s">
        <v>1281</v>
      </c>
      <c r="C70" s="1072">
        <v>18270</v>
      </c>
      <c r="D70" s="1072"/>
      <c r="E70" s="1072"/>
      <c r="F70" s="1090"/>
      <c r="H70" s="1097"/>
    </row>
    <row r="71" spans="1:8" s="1066" customFormat="1" ht="14.25" customHeight="1" thickBot="1">
      <c r="A71" s="1078" t="s">
        <v>920</v>
      </c>
      <c r="B71" s="1072" t="s">
        <v>1288</v>
      </c>
      <c r="C71" s="1072">
        <v>15230</v>
      </c>
      <c r="D71" s="1072"/>
      <c r="E71" s="1072"/>
      <c r="F71" s="1090"/>
      <c r="H71" s="1097"/>
    </row>
    <row r="72" spans="1:8" s="1066" customFormat="1" ht="14.25" customHeight="1" thickBot="1">
      <c r="A72" s="1078" t="s">
        <v>920</v>
      </c>
      <c r="B72" s="1072" t="s">
        <v>1295</v>
      </c>
      <c r="C72" s="1072"/>
      <c r="D72" s="1072"/>
      <c r="E72" s="1072"/>
      <c r="F72" s="1090">
        <v>4120</v>
      </c>
      <c r="H72" s="1097"/>
    </row>
    <row r="73" spans="1:8" s="1066" customFormat="1" ht="14.25" customHeight="1" thickBot="1">
      <c r="A73" s="1078" t="s">
        <v>920</v>
      </c>
      <c r="B73" s="1072" t="s">
        <v>1302</v>
      </c>
      <c r="C73" s="1072"/>
      <c r="D73" s="1072"/>
      <c r="E73" s="1072"/>
      <c r="F73" s="1090">
        <v>3930</v>
      </c>
      <c r="H73" s="1097"/>
    </row>
    <row r="74" spans="1:8" s="1066" customFormat="1" ht="14.25" customHeight="1" thickBot="1">
      <c r="A74" s="1078" t="s">
        <v>920</v>
      </c>
      <c r="B74" s="1072" t="s">
        <v>1309</v>
      </c>
      <c r="C74" s="1072"/>
      <c r="D74" s="1072"/>
      <c r="E74" s="1072"/>
      <c r="F74" s="1090">
        <v>4060</v>
      </c>
      <c r="H74" s="1097"/>
    </row>
    <row r="75" spans="1:8" s="1066" customFormat="1" ht="14.25" customHeight="1" thickBot="1">
      <c r="A75" s="1078" t="s">
        <v>920</v>
      </c>
      <c r="B75" s="1088" t="s">
        <v>1316</v>
      </c>
      <c r="C75" s="1088"/>
      <c r="D75" s="1088"/>
      <c r="E75" s="1088"/>
      <c r="F75" s="1098">
        <v>3750</v>
      </c>
      <c r="H75" s="1097"/>
    </row>
    <row r="76" spans="1:8" s="1066" customFormat="1" ht="14.25" customHeight="1" thickBot="1">
      <c r="A76" s="1078" t="s">
        <v>1403</v>
      </c>
      <c r="B76" s="1079" t="s">
        <v>1404</v>
      </c>
      <c r="C76" s="1079">
        <v>14690</v>
      </c>
      <c r="D76" s="1079">
        <v>14640</v>
      </c>
      <c r="E76" s="1079">
        <v>14590</v>
      </c>
      <c r="F76" s="1080">
        <v>3060</v>
      </c>
      <c r="H76" s="1097"/>
    </row>
    <row r="77" spans="1:8" s="1066" customFormat="1" ht="14.25" customHeight="1" thickBot="1">
      <c r="A77" s="1078" t="s">
        <v>1403</v>
      </c>
      <c r="B77" s="1072" t="s">
        <v>1070</v>
      </c>
      <c r="C77" s="1072">
        <v>12550</v>
      </c>
      <c r="D77" s="1072">
        <v>12480</v>
      </c>
      <c r="E77" s="1072">
        <v>12450</v>
      </c>
      <c r="F77" s="1090">
        <v>2590</v>
      </c>
      <c r="H77" s="1097"/>
    </row>
    <row r="78" spans="1:8" s="1066" customFormat="1" ht="14.25" customHeight="1" thickBot="1">
      <c r="A78" s="1078" t="s">
        <v>1403</v>
      </c>
      <c r="B78" s="1072" t="s">
        <v>1084</v>
      </c>
      <c r="C78" s="1072">
        <v>14360</v>
      </c>
      <c r="D78" s="1072">
        <v>14320</v>
      </c>
      <c r="E78" s="1072">
        <v>12510</v>
      </c>
      <c r="F78" s="1090">
        <v>2700</v>
      </c>
      <c r="H78" s="1097"/>
    </row>
    <row r="79" spans="1:8" s="1066" customFormat="1" ht="14.25" customHeight="1" thickBot="1">
      <c r="A79" s="1078" t="s">
        <v>1403</v>
      </c>
      <c r="B79" s="1072" t="s">
        <v>1097</v>
      </c>
      <c r="C79" s="1072">
        <v>12590</v>
      </c>
      <c r="D79" s="1072">
        <v>12540</v>
      </c>
      <c r="E79" s="1072">
        <v>12350</v>
      </c>
      <c r="F79" s="1090">
        <v>2740</v>
      </c>
      <c r="H79" s="1097"/>
    </row>
    <row r="80" spans="1:8" s="1066" customFormat="1" ht="14.25" customHeight="1" thickBot="1">
      <c r="A80" s="1078" t="s">
        <v>1403</v>
      </c>
      <c r="B80" s="1072" t="s">
        <v>1111</v>
      </c>
      <c r="C80" s="1072">
        <v>12450</v>
      </c>
      <c r="D80" s="1072">
        <v>12370</v>
      </c>
      <c r="E80" s="1072">
        <v>10790</v>
      </c>
      <c r="F80" s="1090">
        <v>2290</v>
      </c>
      <c r="H80" s="1097"/>
    </row>
    <row r="81" spans="1:8" s="1066" customFormat="1" ht="14.25" customHeight="1" thickBot="1">
      <c r="A81" s="1078" t="s">
        <v>1403</v>
      </c>
      <c r="B81" s="1072" t="s">
        <v>1122</v>
      </c>
      <c r="C81" s="1072">
        <v>14210</v>
      </c>
      <c r="D81" s="1072">
        <v>14150</v>
      </c>
      <c r="E81" s="1072">
        <v>12730</v>
      </c>
      <c r="F81" s="1090">
        <v>2240</v>
      </c>
      <c r="H81" s="1097"/>
    </row>
    <row r="82" spans="1:8" s="1066" customFormat="1" ht="14.25" customHeight="1" thickBot="1">
      <c r="A82" s="1078" t="s">
        <v>1403</v>
      </c>
      <c r="B82" s="1072" t="s">
        <v>1133</v>
      </c>
      <c r="C82" s="1072">
        <v>10860</v>
      </c>
      <c r="D82" s="1072">
        <v>10820</v>
      </c>
      <c r="E82" s="1072">
        <v>14720</v>
      </c>
      <c r="F82" s="1090">
        <v>2490</v>
      </c>
      <c r="H82" s="1097"/>
    </row>
    <row r="83" spans="1:8" s="1066" customFormat="1" ht="14.25" customHeight="1" thickBot="1">
      <c r="A83" s="1078" t="s">
        <v>1403</v>
      </c>
      <c r="B83" s="1072" t="s">
        <v>1144</v>
      </c>
      <c r="C83" s="1072">
        <v>12810</v>
      </c>
      <c r="D83" s="1072">
        <v>12760</v>
      </c>
      <c r="E83" s="1072">
        <v>14830</v>
      </c>
      <c r="F83" s="1090">
        <v>2450</v>
      </c>
      <c r="H83" s="1097"/>
    </row>
    <row r="84" spans="1:8" s="1066" customFormat="1" ht="14.25" customHeight="1" thickBot="1">
      <c r="A84" s="1078" t="s">
        <v>1403</v>
      </c>
      <c r="B84" s="1072" t="s">
        <v>1156</v>
      </c>
      <c r="C84" s="1072">
        <v>14950</v>
      </c>
      <c r="D84" s="1072">
        <v>14810</v>
      </c>
      <c r="E84" s="1072">
        <v>12590</v>
      </c>
      <c r="F84" s="1090">
        <v>2540</v>
      </c>
      <c r="H84" s="1097"/>
    </row>
    <row r="85" spans="1:8" s="1066" customFormat="1" ht="14.25" customHeight="1" thickBot="1">
      <c r="A85" s="1078" t="s">
        <v>1403</v>
      </c>
      <c r="B85" s="1072" t="s">
        <v>1166</v>
      </c>
      <c r="C85" s="1072">
        <v>14960</v>
      </c>
      <c r="D85" s="1072">
        <v>14890</v>
      </c>
      <c r="E85" s="1072">
        <v>12840</v>
      </c>
      <c r="F85" s="1090">
        <v>2840</v>
      </c>
      <c r="H85" s="1097"/>
    </row>
    <row r="86" spans="1:8" s="1066" customFormat="1" ht="14.25" customHeight="1" thickBot="1">
      <c r="A86" s="1078" t="s">
        <v>1403</v>
      </c>
      <c r="B86" s="1072" t="s">
        <v>1176</v>
      </c>
      <c r="C86" s="1072">
        <v>12730</v>
      </c>
      <c r="D86" s="1072">
        <v>12660</v>
      </c>
      <c r="E86" s="1072">
        <v>13310</v>
      </c>
      <c r="F86" s="1090">
        <v>3140</v>
      </c>
      <c r="H86" s="1097"/>
    </row>
    <row r="87" spans="1:8" s="1066" customFormat="1" ht="14.25" customHeight="1" thickBot="1">
      <c r="A87" s="1078" t="s">
        <v>1403</v>
      </c>
      <c r="B87" s="1072" t="s">
        <v>1186</v>
      </c>
      <c r="C87" s="1072">
        <v>12940</v>
      </c>
      <c r="D87" s="1072">
        <v>12890</v>
      </c>
      <c r="E87" s="1072">
        <v>11580</v>
      </c>
      <c r="F87" s="1099"/>
      <c r="H87" s="1097"/>
    </row>
    <row r="88" spans="1:8" s="1066" customFormat="1" ht="14.25" customHeight="1" thickBot="1">
      <c r="A88" s="1078" t="s">
        <v>1403</v>
      </c>
      <c r="B88" s="1072" t="s">
        <v>1196</v>
      </c>
      <c r="C88" s="1072">
        <v>13430</v>
      </c>
      <c r="D88" s="1072">
        <v>13360</v>
      </c>
      <c r="E88" s="1072">
        <v>12790</v>
      </c>
      <c r="F88" s="1099"/>
      <c r="H88" s="1097"/>
    </row>
    <row r="89" spans="1:8" s="1066" customFormat="1" ht="14.25" customHeight="1" thickBot="1">
      <c r="A89" s="1078" t="s">
        <v>1403</v>
      </c>
      <c r="B89" s="1072" t="s">
        <v>1206</v>
      </c>
      <c r="C89" s="1072">
        <v>11680</v>
      </c>
      <c r="D89" s="1072">
        <v>11630</v>
      </c>
      <c r="E89" s="1072">
        <v>11320</v>
      </c>
      <c r="F89" s="1099"/>
      <c r="H89" s="1097"/>
    </row>
    <row r="90" spans="1:8" s="1066" customFormat="1" ht="14.25" customHeight="1" thickBot="1">
      <c r="A90" s="1078" t="s">
        <v>1403</v>
      </c>
      <c r="B90" s="1072" t="s">
        <v>1216</v>
      </c>
      <c r="C90" s="1072">
        <v>12890</v>
      </c>
      <c r="D90" s="1072">
        <v>12820</v>
      </c>
      <c r="E90" s="1072">
        <v>12710</v>
      </c>
      <c r="F90" s="1099"/>
      <c r="H90" s="1097"/>
    </row>
    <row r="91" spans="1:8" s="1066" customFormat="1" ht="14.25" customHeight="1" thickBot="1">
      <c r="A91" s="1078" t="s">
        <v>1403</v>
      </c>
      <c r="B91" s="1072" t="s">
        <v>1226</v>
      </c>
      <c r="C91" s="1072">
        <v>11410</v>
      </c>
      <c r="D91" s="1072">
        <v>11360</v>
      </c>
      <c r="E91" s="1072">
        <v>12670</v>
      </c>
      <c r="F91" s="1099"/>
      <c r="H91" s="1097"/>
    </row>
    <row r="92" spans="1:8" s="1066" customFormat="1" ht="14.25" customHeight="1" thickBot="1">
      <c r="A92" s="1078" t="s">
        <v>1403</v>
      </c>
      <c r="B92" s="1072" t="s">
        <v>1236</v>
      </c>
      <c r="C92" s="1072">
        <v>12770</v>
      </c>
      <c r="D92" s="1072">
        <v>12740</v>
      </c>
      <c r="E92" s="1072">
        <v>11970</v>
      </c>
      <c r="F92" s="1099"/>
      <c r="H92" s="1097"/>
    </row>
    <row r="93" spans="1:8" s="1066" customFormat="1" ht="14.25" customHeight="1" thickBot="1">
      <c r="A93" s="1078" t="s">
        <v>1403</v>
      </c>
      <c r="B93" s="1072" t="s">
        <v>1246</v>
      </c>
      <c r="C93" s="1072">
        <v>12740</v>
      </c>
      <c r="D93" s="1072">
        <v>12700</v>
      </c>
      <c r="E93" s="1072">
        <v>12540</v>
      </c>
      <c r="F93" s="1099"/>
      <c r="H93" s="1097"/>
    </row>
    <row r="94" spans="1:8" s="1066" customFormat="1" ht="14.25" customHeight="1" thickBot="1">
      <c r="A94" s="1078" t="s">
        <v>1403</v>
      </c>
      <c r="B94" s="1072" t="s">
        <v>1256</v>
      </c>
      <c r="C94" s="1072">
        <v>12020</v>
      </c>
      <c r="D94" s="1072">
        <v>11990</v>
      </c>
      <c r="E94" s="1072">
        <v>13110</v>
      </c>
      <c r="F94" s="1099"/>
      <c r="H94" s="1097"/>
    </row>
    <row r="95" spans="1:8" s="1066" customFormat="1" ht="14.25" customHeight="1" thickBot="1">
      <c r="A95" s="1078" t="s">
        <v>1403</v>
      </c>
      <c r="B95" s="1072" t="s">
        <v>1265</v>
      </c>
      <c r="C95" s="1072">
        <v>12620</v>
      </c>
      <c r="D95" s="1072">
        <v>12580</v>
      </c>
      <c r="E95" s="1072">
        <v>13160</v>
      </c>
      <c r="F95" s="1090"/>
      <c r="H95" s="1097"/>
    </row>
    <row r="96" spans="1:8" s="1066" customFormat="1" ht="14.25" customHeight="1" thickBot="1">
      <c r="A96" s="1078" t="s">
        <v>1403</v>
      </c>
      <c r="B96" s="1072" t="s">
        <v>1274</v>
      </c>
      <c r="C96" s="1072">
        <v>13200</v>
      </c>
      <c r="D96" s="1072">
        <v>13150</v>
      </c>
      <c r="E96" s="1072">
        <v>12900</v>
      </c>
      <c r="F96" s="1090"/>
      <c r="H96" s="1097"/>
    </row>
    <row r="97" spans="1:8" s="1066" customFormat="1" ht="14.25" customHeight="1" thickBot="1">
      <c r="A97" s="1078" t="s">
        <v>1403</v>
      </c>
      <c r="B97" s="1072" t="s">
        <v>1282</v>
      </c>
      <c r="C97" s="1072">
        <v>13270</v>
      </c>
      <c r="D97" s="1072">
        <v>13210</v>
      </c>
      <c r="E97" s="1072">
        <v>11080</v>
      </c>
      <c r="F97" s="1090"/>
      <c r="H97" s="1097"/>
    </row>
    <row r="98" spans="1:8" s="1066" customFormat="1" ht="14.25" customHeight="1" thickBot="1">
      <c r="A98" s="1078" t="s">
        <v>1403</v>
      </c>
      <c r="B98" s="1072" t="s">
        <v>1289</v>
      </c>
      <c r="C98" s="1072">
        <v>13010</v>
      </c>
      <c r="D98" s="1072">
        <v>12930</v>
      </c>
      <c r="E98" s="1072">
        <v>12840</v>
      </c>
      <c r="F98" s="1090"/>
      <c r="H98" s="1097"/>
    </row>
    <row r="99" spans="1:8" s="1066" customFormat="1" ht="14.25" customHeight="1" thickBot="1">
      <c r="A99" s="1078" t="s">
        <v>1403</v>
      </c>
      <c r="B99" s="1072" t="s">
        <v>1296</v>
      </c>
      <c r="C99" s="1072">
        <v>11190</v>
      </c>
      <c r="D99" s="1072">
        <v>11130</v>
      </c>
      <c r="E99" s="1072"/>
      <c r="F99" s="1090"/>
      <c r="H99" s="1097"/>
    </row>
    <row r="100" spans="1:8" s="1066" customFormat="1" ht="14.25" customHeight="1" thickBot="1">
      <c r="A100" s="1078" t="s">
        <v>1403</v>
      </c>
      <c r="B100" s="1072" t="s">
        <v>1303</v>
      </c>
      <c r="C100" s="1072">
        <v>14280</v>
      </c>
      <c r="D100" s="1072">
        <v>14180</v>
      </c>
      <c r="E100" s="1072"/>
      <c r="F100" s="1090"/>
      <c r="H100" s="1097"/>
    </row>
    <row r="101" spans="1:8" s="1066" customFormat="1" ht="14.25" customHeight="1" thickBot="1">
      <c r="A101" s="1078" t="s">
        <v>1403</v>
      </c>
      <c r="B101" s="1072" t="s">
        <v>1310</v>
      </c>
      <c r="C101" s="1072">
        <v>12960</v>
      </c>
      <c r="D101" s="1072">
        <v>12890</v>
      </c>
      <c r="E101" s="1072"/>
      <c r="F101" s="1090"/>
      <c r="H101" s="1097"/>
    </row>
    <row r="102" spans="1:8" s="1066" customFormat="1" ht="14.25" customHeight="1" thickBot="1">
      <c r="A102" s="1078" t="s">
        <v>1403</v>
      </c>
      <c r="B102" s="1072" t="s">
        <v>1317</v>
      </c>
      <c r="C102" s="1072"/>
      <c r="D102" s="1072"/>
      <c r="E102" s="1072"/>
      <c r="F102" s="1090">
        <v>3100</v>
      </c>
      <c r="H102" s="1097"/>
    </row>
    <row r="103" spans="1:8" s="1066" customFormat="1" ht="14.25" customHeight="1" thickBot="1">
      <c r="A103" s="1078" t="s">
        <v>1403</v>
      </c>
      <c r="B103" s="1072" t="s">
        <v>1324</v>
      </c>
      <c r="C103" s="1072"/>
      <c r="D103" s="1072"/>
      <c r="E103" s="1072"/>
      <c r="F103" s="1090">
        <v>2320</v>
      </c>
      <c r="H103" s="1097"/>
    </row>
    <row r="104" spans="1:8" s="1066" customFormat="1" ht="14.25" customHeight="1" thickBot="1">
      <c r="A104" s="1078" t="s">
        <v>1403</v>
      </c>
      <c r="B104" s="1072" t="s">
        <v>1329</v>
      </c>
      <c r="C104" s="1072"/>
      <c r="D104" s="1072"/>
      <c r="E104" s="1072"/>
      <c r="F104" s="1090">
        <v>2320</v>
      </c>
      <c r="H104" s="1097"/>
    </row>
    <row r="105" spans="1:8" s="1066" customFormat="1" ht="14.25" customHeight="1" thickBot="1">
      <c r="A105" s="1078" t="s">
        <v>1403</v>
      </c>
      <c r="B105" s="1072" t="s">
        <v>1333</v>
      </c>
      <c r="C105" s="1072"/>
      <c r="D105" s="1072"/>
      <c r="E105" s="1072"/>
      <c r="F105" s="1090">
        <v>2320</v>
      </c>
      <c r="H105" s="1097"/>
    </row>
    <row r="106" spans="1:8" s="1066" customFormat="1" ht="14.25" customHeight="1" thickBot="1">
      <c r="A106" s="1078" t="s">
        <v>1403</v>
      </c>
      <c r="B106" s="1072" t="s">
        <v>1338</v>
      </c>
      <c r="C106" s="1072"/>
      <c r="D106" s="1072"/>
      <c r="E106" s="1072"/>
      <c r="F106" s="1090">
        <v>2320</v>
      </c>
      <c r="H106" s="1097"/>
    </row>
    <row r="107" spans="1:8" s="1066" customFormat="1" ht="14.25" customHeight="1" thickBot="1">
      <c r="A107" s="1078" t="s">
        <v>1403</v>
      </c>
      <c r="B107" s="1072" t="s">
        <v>1343</v>
      </c>
      <c r="C107" s="1072"/>
      <c r="D107" s="1072"/>
      <c r="E107" s="1072"/>
      <c r="F107" s="1090">
        <v>2280</v>
      </c>
      <c r="H107" s="1097"/>
    </row>
    <row r="108" spans="1:8" s="1066" customFormat="1" ht="14.25" customHeight="1" thickBot="1">
      <c r="A108" s="1078" t="s">
        <v>1403</v>
      </c>
      <c r="B108" s="1072" t="s">
        <v>1348</v>
      </c>
      <c r="C108" s="1072"/>
      <c r="D108" s="1072"/>
      <c r="E108" s="1072"/>
      <c r="F108" s="1090">
        <v>2280</v>
      </c>
      <c r="H108" s="1097"/>
    </row>
    <row r="109" spans="1:8" s="1066" customFormat="1" ht="14.25" customHeight="1" thickBot="1">
      <c r="A109" s="1078" t="s">
        <v>1403</v>
      </c>
      <c r="B109" s="1088" t="s">
        <v>1353</v>
      </c>
      <c r="C109" s="1088"/>
      <c r="D109" s="1088"/>
      <c r="E109" s="1088"/>
      <c r="F109" s="1098">
        <v>2280</v>
      </c>
      <c r="H109" s="1097"/>
    </row>
    <row r="110" spans="1:8" s="1066" customFormat="1" ht="14.25" customHeight="1" thickBot="1">
      <c r="A110" s="1078" t="s">
        <v>1405</v>
      </c>
      <c r="B110" s="1079" t="s">
        <v>1406</v>
      </c>
      <c r="C110" s="1079">
        <v>10520</v>
      </c>
      <c r="D110" s="1079">
        <v>10490</v>
      </c>
      <c r="E110" s="1079">
        <v>10760</v>
      </c>
      <c r="F110" s="1080">
        <v>2160</v>
      </c>
      <c r="H110" s="1097"/>
    </row>
    <row r="111" spans="1:8" s="1066" customFormat="1" ht="14.25" customHeight="1" thickBot="1">
      <c r="A111" s="1078" t="s">
        <v>1405</v>
      </c>
      <c r="B111" s="1072" t="s">
        <v>1071</v>
      </c>
      <c r="C111" s="1072">
        <v>10090</v>
      </c>
      <c r="D111" s="1072">
        <v>10060</v>
      </c>
      <c r="E111" s="1072">
        <v>10300</v>
      </c>
      <c r="F111" s="1090">
        <v>2010</v>
      </c>
      <c r="H111" s="1097"/>
    </row>
    <row r="112" spans="1:8" s="1066" customFormat="1" ht="14.25" customHeight="1" thickBot="1">
      <c r="A112" s="1078" t="s">
        <v>1405</v>
      </c>
      <c r="B112" s="1072" t="s">
        <v>1085</v>
      </c>
      <c r="C112" s="1072">
        <v>9910</v>
      </c>
      <c r="D112" s="1072">
        <v>9850</v>
      </c>
      <c r="E112" s="1072">
        <v>9960</v>
      </c>
      <c r="F112" s="1090">
        <v>2090</v>
      </c>
      <c r="H112" s="1097"/>
    </row>
    <row r="113" spans="1:8" s="1066" customFormat="1" ht="14.25" customHeight="1" thickBot="1">
      <c r="A113" s="1078" t="s">
        <v>1405</v>
      </c>
      <c r="B113" s="1072" t="s">
        <v>1098</v>
      </c>
      <c r="C113" s="1072">
        <v>11430</v>
      </c>
      <c r="D113" s="1072">
        <v>11400</v>
      </c>
      <c r="E113" s="1072">
        <v>11710</v>
      </c>
      <c r="F113" s="1090">
        <v>2050</v>
      </c>
      <c r="H113" s="1097"/>
    </row>
    <row r="114" spans="1:8" s="1066" customFormat="1" ht="14.25" customHeight="1" thickBot="1">
      <c r="A114" s="1078" t="s">
        <v>1405</v>
      </c>
      <c r="B114" s="1072" t="s">
        <v>1112</v>
      </c>
      <c r="C114" s="1072">
        <v>11390</v>
      </c>
      <c r="D114" s="1072">
        <v>11350</v>
      </c>
      <c r="E114" s="1072">
        <v>11640</v>
      </c>
      <c r="F114" s="1090">
        <v>1620</v>
      </c>
      <c r="H114" s="1097"/>
    </row>
    <row r="115" spans="1:8" s="1066" customFormat="1" ht="14.25" customHeight="1" thickBot="1">
      <c r="A115" s="1078" t="s">
        <v>1405</v>
      </c>
      <c r="B115" s="1072" t="s">
        <v>1123</v>
      </c>
      <c r="C115" s="1072">
        <v>9930</v>
      </c>
      <c r="D115" s="1072">
        <v>9900</v>
      </c>
      <c r="E115" s="1072">
        <v>10160</v>
      </c>
      <c r="F115" s="1090">
        <v>1580</v>
      </c>
      <c r="H115" s="1097"/>
    </row>
    <row r="116" spans="1:8" s="1066" customFormat="1" ht="14.25" customHeight="1" thickBot="1">
      <c r="A116" s="1078" t="s">
        <v>1405</v>
      </c>
      <c r="B116" s="1072" t="s">
        <v>1134</v>
      </c>
      <c r="C116" s="1072">
        <v>9150</v>
      </c>
      <c r="D116" s="1072">
        <v>9120</v>
      </c>
      <c r="E116" s="1072">
        <v>9380</v>
      </c>
      <c r="F116" s="1090">
        <v>1750</v>
      </c>
      <c r="H116" s="1097"/>
    </row>
    <row r="117" spans="1:8" s="1066" customFormat="1" ht="14.25" customHeight="1" thickBot="1">
      <c r="A117" s="1078" t="s">
        <v>1405</v>
      </c>
      <c r="B117" s="1072" t="s">
        <v>1145</v>
      </c>
      <c r="C117" s="1072">
        <v>10680</v>
      </c>
      <c r="D117" s="1072">
        <v>10650</v>
      </c>
      <c r="E117" s="1072">
        <v>10970</v>
      </c>
      <c r="F117" s="1090">
        <v>1730</v>
      </c>
      <c r="H117" s="1097"/>
    </row>
    <row r="118" spans="1:8" s="1066" customFormat="1" ht="14.25" customHeight="1" thickBot="1">
      <c r="A118" s="1078" t="s">
        <v>1405</v>
      </c>
      <c r="B118" s="1072" t="s">
        <v>1157</v>
      </c>
      <c r="C118" s="1072">
        <v>10080</v>
      </c>
      <c r="D118" s="1072">
        <v>10050</v>
      </c>
      <c r="E118" s="1072">
        <v>10350</v>
      </c>
      <c r="F118" s="1090">
        <v>1920</v>
      </c>
      <c r="H118" s="1097"/>
    </row>
    <row r="119" spans="1:8" s="1066" customFormat="1" ht="14.25" customHeight="1" thickBot="1">
      <c r="A119" s="1078" t="s">
        <v>1405</v>
      </c>
      <c r="B119" s="1072" t="s">
        <v>1167</v>
      </c>
      <c r="C119" s="1072">
        <v>9450</v>
      </c>
      <c r="D119" s="1072">
        <v>9410</v>
      </c>
      <c r="E119" s="1072">
        <v>9680</v>
      </c>
      <c r="F119" s="1090">
        <v>1880</v>
      </c>
      <c r="H119" s="1097"/>
    </row>
    <row r="120" spans="1:8" s="1066" customFormat="1" ht="14.25" customHeight="1" thickBot="1">
      <c r="A120" s="1078" t="s">
        <v>1405</v>
      </c>
      <c r="B120" s="1072" t="s">
        <v>1177</v>
      </c>
      <c r="C120" s="1072">
        <v>8730</v>
      </c>
      <c r="D120" s="1072">
        <v>8700</v>
      </c>
      <c r="E120" s="1072">
        <v>8950</v>
      </c>
      <c r="F120" s="1090">
        <v>1830</v>
      </c>
      <c r="H120" s="1097"/>
    </row>
    <row r="121" spans="1:8" s="1066" customFormat="1" ht="14.25" customHeight="1" thickBot="1">
      <c r="A121" s="1078" t="s">
        <v>1405</v>
      </c>
      <c r="B121" s="1072" t="s">
        <v>1187</v>
      </c>
      <c r="C121" s="1072">
        <v>10070</v>
      </c>
      <c r="D121" s="1072">
        <v>10040</v>
      </c>
      <c r="E121" s="1072">
        <v>10270</v>
      </c>
      <c r="F121" s="1090">
        <v>1960</v>
      </c>
      <c r="H121" s="1097"/>
    </row>
    <row r="122" spans="1:8" s="1066" customFormat="1" ht="14.25" customHeight="1" thickBot="1">
      <c r="A122" s="1078" t="s">
        <v>1405</v>
      </c>
      <c r="B122" s="1072" t="s">
        <v>1197</v>
      </c>
      <c r="C122" s="1072">
        <v>10500</v>
      </c>
      <c r="D122" s="1072">
        <v>10470</v>
      </c>
      <c r="E122" s="1072">
        <v>10780</v>
      </c>
      <c r="F122" s="1090">
        <v>2180</v>
      </c>
      <c r="H122" s="1097"/>
    </row>
    <row r="123" spans="1:8" s="1066" customFormat="1" ht="14.25" customHeight="1" thickBot="1">
      <c r="A123" s="1078" t="s">
        <v>1405</v>
      </c>
      <c r="B123" s="1072" t="s">
        <v>1207</v>
      </c>
      <c r="C123" s="1072">
        <v>10390</v>
      </c>
      <c r="D123" s="1072">
        <v>10360</v>
      </c>
      <c r="E123" s="1072">
        <v>10660</v>
      </c>
      <c r="F123" s="1090">
        <v>2040</v>
      </c>
      <c r="H123" s="1097"/>
    </row>
    <row r="124" spans="1:8" s="1066" customFormat="1" ht="14.25" customHeight="1" thickBot="1">
      <c r="A124" s="1078" t="s">
        <v>1405</v>
      </c>
      <c r="B124" s="1072" t="s">
        <v>1217</v>
      </c>
      <c r="C124" s="1072">
        <v>10390</v>
      </c>
      <c r="D124" s="1072">
        <v>10360</v>
      </c>
      <c r="E124" s="1072">
        <v>10680</v>
      </c>
      <c r="F124" s="1099"/>
      <c r="H124" s="1097"/>
    </row>
    <row r="125" spans="1:8" s="1066" customFormat="1" ht="14.25" customHeight="1" thickBot="1">
      <c r="A125" s="1078" t="s">
        <v>1405</v>
      </c>
      <c r="B125" s="1072" t="s">
        <v>1227</v>
      </c>
      <c r="C125" s="1072">
        <v>10440</v>
      </c>
      <c r="D125" s="1072">
        <v>10410</v>
      </c>
      <c r="E125" s="1072">
        <v>10710</v>
      </c>
      <c r="F125" s="1099"/>
      <c r="H125" s="1097"/>
    </row>
    <row r="126" spans="1:8" s="1066" customFormat="1" ht="14.25" customHeight="1" thickBot="1">
      <c r="A126" s="1078" t="s">
        <v>1405</v>
      </c>
      <c r="B126" s="1072" t="s">
        <v>1237</v>
      </c>
      <c r="C126" s="1072">
        <v>10780</v>
      </c>
      <c r="D126" s="1072">
        <v>10750</v>
      </c>
      <c r="E126" s="1072">
        <v>11080</v>
      </c>
      <c r="F126" s="1099"/>
      <c r="H126" s="1097"/>
    </row>
    <row r="127" spans="1:8" s="1066" customFormat="1" ht="14.25" customHeight="1" thickBot="1">
      <c r="A127" s="1078" t="s">
        <v>1405</v>
      </c>
      <c r="B127" s="1072" t="s">
        <v>1247</v>
      </c>
      <c r="C127" s="1072">
        <v>10100</v>
      </c>
      <c r="D127" s="1072">
        <v>10070</v>
      </c>
      <c r="E127" s="1072">
        <v>10350</v>
      </c>
      <c r="F127" s="1099"/>
      <c r="H127" s="1097"/>
    </row>
    <row r="128" spans="1:8" s="1066" customFormat="1" ht="14.25" customHeight="1" thickBot="1">
      <c r="A128" s="1078" t="s">
        <v>1405</v>
      </c>
      <c r="B128" s="1072" t="s">
        <v>1257</v>
      </c>
      <c r="C128" s="1072">
        <v>9200</v>
      </c>
      <c r="D128" s="1072">
        <v>9160</v>
      </c>
      <c r="E128" s="1072">
        <v>9660</v>
      </c>
      <c r="F128" s="1099"/>
      <c r="H128" s="1097"/>
    </row>
    <row r="129" spans="1:8" s="1066" customFormat="1" ht="14.25" customHeight="1" thickBot="1">
      <c r="A129" s="1078" t="s">
        <v>1405</v>
      </c>
      <c r="B129" s="1072" t="s">
        <v>1266</v>
      </c>
      <c r="C129" s="1072">
        <v>10340</v>
      </c>
      <c r="D129" s="1072">
        <v>10310</v>
      </c>
      <c r="E129" s="1072">
        <v>10580</v>
      </c>
      <c r="F129" s="1099"/>
      <c r="H129" s="1097"/>
    </row>
    <row r="130" spans="1:8" s="1066" customFormat="1" ht="14.25" customHeight="1" thickBot="1">
      <c r="A130" s="1078" t="s">
        <v>1405</v>
      </c>
      <c r="B130" s="1072" t="s">
        <v>1275</v>
      </c>
      <c r="C130" s="1072">
        <v>9680</v>
      </c>
      <c r="D130" s="1072">
        <v>9660</v>
      </c>
      <c r="E130" s="1072">
        <v>9950</v>
      </c>
      <c r="F130" s="1099"/>
      <c r="H130" s="1097"/>
    </row>
    <row r="131" spans="1:8" s="1066" customFormat="1" ht="14.25" customHeight="1" thickBot="1">
      <c r="A131" s="1078" t="s">
        <v>1405</v>
      </c>
      <c r="B131" s="1072" t="s">
        <v>1283</v>
      </c>
      <c r="C131" s="1072">
        <v>9540</v>
      </c>
      <c r="D131" s="1072">
        <v>9510</v>
      </c>
      <c r="E131" s="1072">
        <v>9790</v>
      </c>
      <c r="F131" s="1099"/>
      <c r="H131" s="1097"/>
    </row>
    <row r="132" spans="1:8" s="1066" customFormat="1" ht="14.25" customHeight="1" thickBot="1">
      <c r="A132" s="1078" t="s">
        <v>1405</v>
      </c>
      <c r="B132" s="1072" t="s">
        <v>1290</v>
      </c>
      <c r="C132" s="1072">
        <v>9320</v>
      </c>
      <c r="D132" s="1072">
        <v>9290</v>
      </c>
      <c r="E132" s="1072">
        <v>9570</v>
      </c>
      <c r="F132" s="1099"/>
      <c r="H132" s="1097"/>
    </row>
    <row r="133" spans="1:8" s="1066" customFormat="1" ht="14.25" customHeight="1" thickBot="1">
      <c r="A133" s="1078" t="s">
        <v>1405</v>
      </c>
      <c r="B133" s="1072" t="s">
        <v>1297</v>
      </c>
      <c r="C133" s="1072">
        <v>10310</v>
      </c>
      <c r="D133" s="1072">
        <v>10280</v>
      </c>
      <c r="E133" s="1072">
        <v>10530</v>
      </c>
      <c r="F133" s="1099"/>
      <c r="H133" s="1097"/>
    </row>
    <row r="134" spans="1:8" s="1066" customFormat="1" ht="14.25" customHeight="1" thickBot="1">
      <c r="A134" s="1078" t="s">
        <v>1405</v>
      </c>
      <c r="B134" s="1072" t="s">
        <v>1304</v>
      </c>
      <c r="C134" s="1072">
        <v>10370</v>
      </c>
      <c r="D134" s="1072">
        <v>10310</v>
      </c>
      <c r="E134" s="1072">
        <v>10240</v>
      </c>
      <c r="F134" s="1090">
        <v>2060</v>
      </c>
      <c r="H134" s="1097"/>
    </row>
    <row r="135" spans="1:8" s="1066" customFormat="1" ht="14.25" customHeight="1" thickBot="1">
      <c r="A135" s="1078" t="s">
        <v>1405</v>
      </c>
      <c r="B135" s="1072" t="s">
        <v>1311</v>
      </c>
      <c r="C135" s="1072">
        <v>9300</v>
      </c>
      <c r="D135" s="1072">
        <v>9270</v>
      </c>
      <c r="E135" s="1072">
        <v>9350</v>
      </c>
      <c r="F135" s="1099"/>
      <c r="H135" s="1097"/>
    </row>
    <row r="136" spans="1:8" s="1066" customFormat="1" ht="14.25" customHeight="1" thickBot="1">
      <c r="A136" s="1078" t="s">
        <v>1405</v>
      </c>
      <c r="B136" s="1072" t="s">
        <v>1318</v>
      </c>
      <c r="C136" s="1072">
        <v>10160</v>
      </c>
      <c r="D136" s="1072">
        <v>10110</v>
      </c>
      <c r="E136" s="1072">
        <v>10080</v>
      </c>
      <c r="F136" s="1099"/>
      <c r="H136" s="1097"/>
    </row>
    <row r="137" spans="1:8" s="1066" customFormat="1" ht="14.25" customHeight="1" thickBot="1">
      <c r="A137" s="1078" t="s">
        <v>1405</v>
      </c>
      <c r="B137" s="1072" t="s">
        <v>1325</v>
      </c>
      <c r="C137" s="1072">
        <v>9200</v>
      </c>
      <c r="D137" s="1072">
        <v>9170</v>
      </c>
      <c r="E137" s="1072">
        <v>9450</v>
      </c>
      <c r="F137" s="1099"/>
      <c r="H137" s="1097"/>
    </row>
    <row r="138" spans="1:8" s="1066" customFormat="1" ht="14.25" customHeight="1" thickBot="1">
      <c r="A138" s="1078" t="s">
        <v>1405</v>
      </c>
      <c r="B138" s="1072" t="s">
        <v>1330</v>
      </c>
      <c r="C138" s="1072">
        <v>9690</v>
      </c>
      <c r="D138" s="1072">
        <v>9660</v>
      </c>
      <c r="E138" s="1072">
        <v>9840</v>
      </c>
      <c r="F138" s="1099"/>
      <c r="H138" s="1097"/>
    </row>
    <row r="139" spans="1:8" s="1066" customFormat="1" ht="14.25" customHeight="1" thickBot="1">
      <c r="A139" s="1078" t="s">
        <v>1405</v>
      </c>
      <c r="B139" s="1072" t="s">
        <v>1334</v>
      </c>
      <c r="C139" s="1072">
        <v>10290</v>
      </c>
      <c r="D139" s="1072">
        <v>10260</v>
      </c>
      <c r="E139" s="1072">
        <v>10550</v>
      </c>
      <c r="F139" s="1090">
        <v>1700</v>
      </c>
      <c r="H139" s="1097"/>
    </row>
    <row r="140" spans="1:8" s="1066" customFormat="1" ht="14.25" customHeight="1" thickBot="1">
      <c r="A140" s="1078" t="s">
        <v>1405</v>
      </c>
      <c r="B140" s="1072" t="s">
        <v>1339</v>
      </c>
      <c r="C140" s="1072">
        <v>9740</v>
      </c>
      <c r="D140" s="1072">
        <v>9710</v>
      </c>
      <c r="E140" s="1072">
        <v>10000</v>
      </c>
      <c r="F140" s="1090">
        <v>2000</v>
      </c>
      <c r="H140" s="1097"/>
    </row>
    <row r="141" spans="1:8" s="1066" customFormat="1" ht="14.25" customHeight="1" thickBot="1">
      <c r="A141" s="1078" t="s">
        <v>1405</v>
      </c>
      <c r="B141" s="1072" t="s">
        <v>1344</v>
      </c>
      <c r="C141" s="1072">
        <v>9810</v>
      </c>
      <c r="D141" s="1072">
        <v>9770</v>
      </c>
      <c r="E141" s="1072">
        <v>10060</v>
      </c>
      <c r="F141" s="1099"/>
      <c r="H141" s="1097"/>
    </row>
    <row r="142" spans="1:8" s="1066" customFormat="1" ht="14.25" customHeight="1" thickBot="1">
      <c r="A142" s="1078" t="s">
        <v>1405</v>
      </c>
      <c r="B142" s="1072" t="s">
        <v>1349</v>
      </c>
      <c r="C142" s="1072">
        <v>9300</v>
      </c>
      <c r="D142" s="1072">
        <v>9270</v>
      </c>
      <c r="E142" s="1072">
        <v>9530</v>
      </c>
      <c r="F142" s="1099"/>
      <c r="H142" s="1097"/>
    </row>
    <row r="143" spans="1:8" s="1066" customFormat="1" ht="14.25" customHeight="1" thickBot="1">
      <c r="A143" s="1078" t="s">
        <v>1405</v>
      </c>
      <c r="B143" s="1072" t="s">
        <v>1354</v>
      </c>
      <c r="C143" s="1072">
        <v>10080</v>
      </c>
      <c r="D143" s="1072">
        <v>10050</v>
      </c>
      <c r="E143" s="1072">
        <v>10340</v>
      </c>
      <c r="F143" s="1099"/>
      <c r="H143" s="1097"/>
    </row>
    <row r="144" spans="1:8" s="1066" customFormat="1" ht="14.25" customHeight="1" thickBot="1">
      <c r="A144" s="1078" t="s">
        <v>1405</v>
      </c>
      <c r="B144" s="1072" t="s">
        <v>1358</v>
      </c>
      <c r="C144" s="1072">
        <v>9820</v>
      </c>
      <c r="D144" s="1072">
        <v>9750</v>
      </c>
      <c r="E144" s="1072">
        <v>9900</v>
      </c>
      <c r="F144" s="1099"/>
      <c r="H144" s="1097"/>
    </row>
    <row r="145" spans="1:8" s="1066" customFormat="1" ht="14.25" customHeight="1" thickBot="1">
      <c r="A145" s="1078" t="s">
        <v>1405</v>
      </c>
      <c r="B145" s="1072" t="s">
        <v>1362</v>
      </c>
      <c r="C145" s="1072"/>
      <c r="D145" s="1072"/>
      <c r="E145" s="1072"/>
      <c r="F145" s="1090">
        <v>1740</v>
      </c>
      <c r="H145" s="1097"/>
    </row>
    <row r="146" spans="1:8" s="1066" customFormat="1" ht="14.25" customHeight="1" thickBot="1">
      <c r="A146" s="1078" t="s">
        <v>1405</v>
      </c>
      <c r="B146" s="1072" t="s">
        <v>1366</v>
      </c>
      <c r="C146" s="1072"/>
      <c r="D146" s="1072"/>
      <c r="E146" s="1072"/>
      <c r="F146" s="1090">
        <v>1740</v>
      </c>
      <c r="H146" s="1097"/>
    </row>
    <row r="147" spans="1:8" s="1066" customFormat="1" ht="14.25" customHeight="1" thickBot="1">
      <c r="A147" s="1078" t="s">
        <v>1405</v>
      </c>
      <c r="B147" s="1072" t="s">
        <v>1370</v>
      </c>
      <c r="C147" s="1072"/>
      <c r="D147" s="1072"/>
      <c r="E147" s="1072"/>
      <c r="F147" s="1090">
        <v>1740</v>
      </c>
      <c r="H147" s="1097"/>
    </row>
    <row r="148" spans="1:8" s="1066" customFormat="1" ht="14.25" customHeight="1" thickBot="1">
      <c r="A148" s="1078" t="s">
        <v>1405</v>
      </c>
      <c r="B148" s="1072" t="s">
        <v>1374</v>
      </c>
      <c r="C148" s="1072"/>
      <c r="D148" s="1072"/>
      <c r="E148" s="1072"/>
      <c r="F148" s="1090">
        <v>1740</v>
      </c>
      <c r="H148" s="1097"/>
    </row>
    <row r="149" spans="1:8" s="1066" customFormat="1" ht="14.25" customHeight="1" thickBot="1">
      <c r="A149" s="1078" t="s">
        <v>1405</v>
      </c>
      <c r="B149" s="1072" t="s">
        <v>1378</v>
      </c>
      <c r="C149" s="1072"/>
      <c r="D149" s="1072"/>
      <c r="E149" s="1072"/>
      <c r="F149" s="1090">
        <v>1740</v>
      </c>
      <c r="H149" s="1097"/>
    </row>
    <row r="150" spans="1:8" s="1066" customFormat="1" ht="14.25" customHeight="1" thickBot="1">
      <c r="A150" s="1078" t="s">
        <v>1405</v>
      </c>
      <c r="B150" s="1072" t="s">
        <v>1381</v>
      </c>
      <c r="C150" s="1072"/>
      <c r="D150" s="1072"/>
      <c r="E150" s="1072"/>
      <c r="F150" s="1090">
        <v>1610</v>
      </c>
      <c r="H150" s="1097"/>
    </row>
    <row r="151" spans="1:8" s="1066" customFormat="1" ht="14.25" customHeight="1" thickBot="1">
      <c r="A151" s="1078" t="s">
        <v>1405</v>
      </c>
      <c r="B151" s="1072" t="s">
        <v>1384</v>
      </c>
      <c r="C151" s="1072"/>
      <c r="D151" s="1072"/>
      <c r="E151" s="1072"/>
      <c r="F151" s="1090">
        <v>1610</v>
      </c>
      <c r="H151" s="1097"/>
    </row>
    <row r="152" spans="1:8" s="1066" customFormat="1" ht="14.25" customHeight="1" thickBot="1">
      <c r="A152" s="1078" t="s">
        <v>1405</v>
      </c>
      <c r="B152" s="1072" t="s">
        <v>1387</v>
      </c>
      <c r="C152" s="1072"/>
      <c r="D152" s="1072"/>
      <c r="E152" s="1072"/>
      <c r="F152" s="1090">
        <v>1610</v>
      </c>
      <c r="H152" s="1097"/>
    </row>
    <row r="153" spans="1:8" s="1066" customFormat="1" ht="14.25" customHeight="1" thickBot="1">
      <c r="A153" s="1078" t="s">
        <v>1405</v>
      </c>
      <c r="B153" s="1072" t="s">
        <v>1390</v>
      </c>
      <c r="C153" s="1072"/>
      <c r="D153" s="1072"/>
      <c r="E153" s="1072"/>
      <c r="F153" s="1090">
        <v>1610</v>
      </c>
      <c r="H153" s="1097"/>
    </row>
    <row r="154" spans="1:8" s="1066" customFormat="1" ht="14.25" customHeight="1" thickBot="1">
      <c r="A154" s="1078" t="s">
        <v>1405</v>
      </c>
      <c r="B154" s="1072" t="s">
        <v>1393</v>
      </c>
      <c r="C154" s="1072"/>
      <c r="D154" s="1072"/>
      <c r="E154" s="1072"/>
      <c r="F154" s="1090">
        <v>1610</v>
      </c>
      <c r="H154" s="1097"/>
    </row>
    <row r="155" spans="1:8" s="1066" customFormat="1" ht="14.25" customHeight="1" thickBot="1">
      <c r="A155" s="1078" t="s">
        <v>1405</v>
      </c>
      <c r="B155" s="1072" t="s">
        <v>1396</v>
      </c>
      <c r="C155" s="1072"/>
      <c r="D155" s="1072"/>
      <c r="E155" s="1072"/>
      <c r="F155" s="1090">
        <v>1800</v>
      </c>
      <c r="H155" s="1097"/>
    </row>
    <row r="156" spans="1:8" s="1066" customFormat="1" ht="14.25" customHeight="1" thickBot="1">
      <c r="A156" s="1078" t="s">
        <v>1405</v>
      </c>
      <c r="B156" s="1072" t="s">
        <v>1398</v>
      </c>
      <c r="C156" s="1072"/>
      <c r="D156" s="1072"/>
      <c r="E156" s="1072"/>
      <c r="F156" s="1090">
        <v>1910</v>
      </c>
      <c r="H156" s="1097"/>
    </row>
    <row r="157" spans="1:8" s="1066" customFormat="1" ht="14.25" customHeight="1" thickBot="1">
      <c r="A157" s="1078" t="s">
        <v>1405</v>
      </c>
      <c r="B157" s="1088" t="s">
        <v>1401</v>
      </c>
      <c r="C157" s="1088"/>
      <c r="D157" s="1088"/>
      <c r="E157" s="1088"/>
      <c r="F157" s="1098">
        <v>1500</v>
      </c>
      <c r="H157" s="1097"/>
    </row>
    <row r="158" spans="1:8" s="1066" customFormat="1" ht="14.25" customHeight="1" thickBot="1">
      <c r="A158" s="1078" t="s">
        <v>1407</v>
      </c>
      <c r="B158" s="1079" t="s">
        <v>1408</v>
      </c>
      <c r="C158" s="1079">
        <v>8170</v>
      </c>
      <c r="D158" s="1079">
        <v>8140</v>
      </c>
      <c r="E158" s="1079">
        <v>8590</v>
      </c>
      <c r="F158" s="1080">
        <v>1450</v>
      </c>
      <c r="H158" s="1097"/>
    </row>
    <row r="159" spans="1:8" s="1066" customFormat="1" ht="14.25" customHeight="1" thickBot="1">
      <c r="A159" s="1078" t="s">
        <v>1407</v>
      </c>
      <c r="B159" s="1072" t="s">
        <v>1072</v>
      </c>
      <c r="C159" s="1072">
        <v>7410</v>
      </c>
      <c r="D159" s="1072">
        <v>7370</v>
      </c>
      <c r="E159" s="1072">
        <v>8030</v>
      </c>
      <c r="F159" s="1090">
        <v>1510</v>
      </c>
      <c r="H159" s="1097"/>
    </row>
    <row r="160" spans="1:8" s="1066" customFormat="1" ht="14.25" customHeight="1" thickBot="1">
      <c r="A160" s="1078" t="s">
        <v>1407</v>
      </c>
      <c r="B160" s="1072" t="s">
        <v>1086</v>
      </c>
      <c r="C160" s="1072">
        <v>7240</v>
      </c>
      <c r="D160" s="1072">
        <v>7210</v>
      </c>
      <c r="E160" s="1072">
        <v>7860</v>
      </c>
      <c r="F160" s="1090">
        <v>1370</v>
      </c>
      <c r="H160" s="1097"/>
    </row>
    <row r="161" spans="1:8" s="1066" customFormat="1" ht="14.25" customHeight="1" thickBot="1">
      <c r="A161" s="1078" t="s">
        <v>1407</v>
      </c>
      <c r="B161" s="1072" t="s">
        <v>1099</v>
      </c>
      <c r="C161" s="1072">
        <v>7720</v>
      </c>
      <c r="D161" s="1072">
        <v>7690</v>
      </c>
      <c r="E161" s="1072">
        <v>8200</v>
      </c>
      <c r="F161" s="1090">
        <v>1190</v>
      </c>
      <c r="H161" s="1097"/>
    </row>
    <row r="162" spans="1:8" s="1066" customFormat="1" ht="14.25" customHeight="1" thickBot="1">
      <c r="A162" s="1078" t="s">
        <v>1407</v>
      </c>
      <c r="B162" s="1072" t="s">
        <v>1113</v>
      </c>
      <c r="C162" s="1072">
        <v>6900</v>
      </c>
      <c r="D162" s="1072">
        <v>6870</v>
      </c>
      <c r="E162" s="1072">
        <v>7500</v>
      </c>
      <c r="F162" s="1090">
        <v>1390</v>
      </c>
      <c r="H162" s="1097"/>
    </row>
    <row r="163" spans="1:8" s="1066" customFormat="1" ht="14.25" customHeight="1" thickBot="1">
      <c r="A163" s="1078" t="s">
        <v>1407</v>
      </c>
      <c r="B163" s="1072" t="s">
        <v>1124</v>
      </c>
      <c r="C163" s="1072">
        <v>7120</v>
      </c>
      <c r="D163" s="1072">
        <v>7090</v>
      </c>
      <c r="E163" s="1072">
        <v>7690</v>
      </c>
      <c r="F163" s="1090">
        <v>1230</v>
      </c>
      <c r="H163" s="1097"/>
    </row>
    <row r="164" spans="1:8" s="1066" customFormat="1" ht="14.25" customHeight="1" thickBot="1">
      <c r="A164" s="1078" t="s">
        <v>1407</v>
      </c>
      <c r="B164" s="1072" t="s">
        <v>1135</v>
      </c>
      <c r="C164" s="1072">
        <v>6560</v>
      </c>
      <c r="D164" s="1072">
        <v>6530</v>
      </c>
      <c r="E164" s="1072">
        <v>7110</v>
      </c>
      <c r="F164" s="1090">
        <v>1340</v>
      </c>
      <c r="H164" s="1097"/>
    </row>
    <row r="165" spans="1:8" s="1066" customFormat="1" ht="14.25" customHeight="1" thickBot="1">
      <c r="A165" s="1078" t="s">
        <v>1407</v>
      </c>
      <c r="B165" s="1072" t="s">
        <v>1146</v>
      </c>
      <c r="C165" s="1072">
        <v>7450</v>
      </c>
      <c r="D165" s="1072">
        <v>7430</v>
      </c>
      <c r="E165" s="1072">
        <v>8110</v>
      </c>
      <c r="F165" s="1090">
        <v>1290</v>
      </c>
      <c r="H165" s="1097"/>
    </row>
    <row r="166" spans="1:8" s="1066" customFormat="1" ht="14.25" customHeight="1" thickBot="1">
      <c r="A166" s="1078" t="s">
        <v>1407</v>
      </c>
      <c r="B166" s="1072" t="s">
        <v>1158</v>
      </c>
      <c r="C166" s="1072">
        <v>7490</v>
      </c>
      <c r="D166" s="1072">
        <v>7460</v>
      </c>
      <c r="E166" s="1072">
        <v>8150</v>
      </c>
      <c r="F166" s="1090">
        <v>1350</v>
      </c>
      <c r="H166" s="1097"/>
    </row>
    <row r="167" spans="1:8" s="1066" customFormat="1" ht="14.25" customHeight="1" thickBot="1">
      <c r="A167" s="1078" t="s">
        <v>1407</v>
      </c>
      <c r="B167" s="1072" t="s">
        <v>1168</v>
      </c>
      <c r="C167" s="1072">
        <v>7540</v>
      </c>
      <c r="D167" s="1072">
        <v>7510</v>
      </c>
      <c r="E167" s="1072">
        <v>8030</v>
      </c>
      <c r="F167" s="1099"/>
      <c r="H167" s="1097"/>
    </row>
    <row r="168" spans="1:8" s="1066" customFormat="1" ht="14.25" customHeight="1" thickBot="1">
      <c r="A168" s="1078" t="s">
        <v>1407</v>
      </c>
      <c r="B168" s="1072" t="s">
        <v>1178</v>
      </c>
      <c r="C168" s="1072">
        <v>7210</v>
      </c>
      <c r="D168" s="1072">
        <v>7180</v>
      </c>
      <c r="E168" s="1072">
        <v>7830</v>
      </c>
      <c r="F168" s="1099"/>
      <c r="H168" s="1097"/>
    </row>
    <row r="169" spans="1:8" s="1066" customFormat="1" ht="14.25" customHeight="1" thickBot="1">
      <c r="A169" s="1078" t="s">
        <v>1407</v>
      </c>
      <c r="B169" s="1072" t="s">
        <v>1188</v>
      </c>
      <c r="C169" s="1072">
        <v>7040</v>
      </c>
      <c r="D169" s="1072">
        <v>7020</v>
      </c>
      <c r="E169" s="1072">
        <v>7670</v>
      </c>
      <c r="F169" s="1099"/>
      <c r="H169" s="1097"/>
    </row>
    <row r="170" spans="1:8" s="1066" customFormat="1" ht="14.25" customHeight="1" thickBot="1">
      <c r="A170" s="1078" t="s">
        <v>1407</v>
      </c>
      <c r="B170" s="1072" t="s">
        <v>1198</v>
      </c>
      <c r="C170" s="1072">
        <v>8040</v>
      </c>
      <c r="D170" s="1072">
        <v>7190</v>
      </c>
      <c r="E170" s="1072">
        <v>7850</v>
      </c>
      <c r="F170" s="1099"/>
      <c r="H170" s="1097"/>
    </row>
    <row r="171" spans="1:8" s="1066" customFormat="1" ht="14.25" customHeight="1" thickBot="1">
      <c r="A171" s="1078" t="s">
        <v>1407</v>
      </c>
      <c r="B171" s="1072" t="s">
        <v>1208</v>
      </c>
      <c r="C171" s="1072">
        <v>7860</v>
      </c>
      <c r="D171" s="1072">
        <v>7720</v>
      </c>
      <c r="E171" s="1072">
        <v>8150</v>
      </c>
      <c r="F171" s="1090">
        <v>1110</v>
      </c>
      <c r="H171" s="1097"/>
    </row>
    <row r="172" spans="1:8" s="1066" customFormat="1" ht="14.25" customHeight="1" thickBot="1">
      <c r="A172" s="1078" t="s">
        <v>1407</v>
      </c>
      <c r="B172" s="1072" t="s">
        <v>1218</v>
      </c>
      <c r="C172" s="1072">
        <v>7210</v>
      </c>
      <c r="D172" s="1072">
        <v>7170</v>
      </c>
      <c r="E172" s="1072">
        <v>7320</v>
      </c>
      <c r="F172" s="1099"/>
      <c r="H172" s="1097"/>
    </row>
    <row r="173" spans="1:8" s="1066" customFormat="1" ht="14.25" customHeight="1" thickBot="1">
      <c r="A173" s="1078" t="s">
        <v>1407</v>
      </c>
      <c r="B173" s="1072" t="s">
        <v>1228</v>
      </c>
      <c r="C173" s="1072">
        <v>6860</v>
      </c>
      <c r="D173" s="1072">
        <v>6810</v>
      </c>
      <c r="E173" s="1072">
        <v>7440</v>
      </c>
      <c r="F173" s="1099"/>
      <c r="H173" s="1097"/>
    </row>
    <row r="174" spans="1:8" s="1066" customFormat="1" ht="14.25" customHeight="1" thickBot="1">
      <c r="A174" s="1078" t="s">
        <v>1407</v>
      </c>
      <c r="B174" s="1072" t="s">
        <v>1238</v>
      </c>
      <c r="C174" s="1072">
        <v>7120</v>
      </c>
      <c r="D174" s="1072">
        <v>7090</v>
      </c>
      <c r="E174" s="1072">
        <v>7500</v>
      </c>
      <c r="F174" s="1090">
        <v>1490</v>
      </c>
      <c r="H174" s="1097"/>
    </row>
    <row r="175" spans="1:8" s="1066" customFormat="1" ht="14.25" customHeight="1" thickBot="1">
      <c r="A175" s="1078" t="s">
        <v>1407</v>
      </c>
      <c r="B175" s="1072" t="s">
        <v>1248</v>
      </c>
      <c r="C175" s="1072">
        <v>7850</v>
      </c>
      <c r="D175" s="1072">
        <v>7820</v>
      </c>
      <c r="E175" s="1072">
        <v>8120</v>
      </c>
      <c r="F175" s="1090">
        <v>1530</v>
      </c>
      <c r="H175" s="1097"/>
    </row>
    <row r="176" spans="1:8" s="1066" customFormat="1" ht="14.25" customHeight="1" thickBot="1">
      <c r="A176" s="1078" t="s">
        <v>1407</v>
      </c>
      <c r="B176" s="1072" t="s">
        <v>1258</v>
      </c>
      <c r="C176" s="1072">
        <v>7620</v>
      </c>
      <c r="D176" s="1072">
        <v>7570</v>
      </c>
      <c r="E176" s="1072">
        <v>7990</v>
      </c>
      <c r="F176" s="1090">
        <v>1480</v>
      </c>
      <c r="H176" s="1097"/>
    </row>
    <row r="177" spans="1:8" s="1066" customFormat="1" ht="14.25" customHeight="1" thickBot="1">
      <c r="A177" s="1078" t="s">
        <v>1407</v>
      </c>
      <c r="B177" s="1072" t="s">
        <v>1267</v>
      </c>
      <c r="C177" s="1072">
        <v>8590</v>
      </c>
      <c r="D177" s="1072">
        <v>8570</v>
      </c>
      <c r="E177" s="1072">
        <v>8740</v>
      </c>
      <c r="F177" s="1090">
        <v>1540</v>
      </c>
      <c r="H177" s="1097"/>
    </row>
    <row r="178" spans="1:8" s="1066" customFormat="1" ht="14.25" customHeight="1" thickBot="1">
      <c r="A178" s="1078" t="s">
        <v>1407</v>
      </c>
      <c r="B178" s="1072" t="s">
        <v>1276</v>
      </c>
      <c r="C178" s="1072">
        <v>7510</v>
      </c>
      <c r="D178" s="1072">
        <v>7470</v>
      </c>
      <c r="E178" s="1072">
        <v>8090</v>
      </c>
      <c r="F178" s="1090">
        <v>1320</v>
      </c>
      <c r="H178" s="1097"/>
    </row>
    <row r="179" spans="1:8" s="1066" customFormat="1" ht="14.25" customHeight="1" thickBot="1">
      <c r="A179" s="1078" t="s">
        <v>1407</v>
      </c>
      <c r="B179" s="1072" t="s">
        <v>1284</v>
      </c>
      <c r="C179" s="1072">
        <v>6380</v>
      </c>
      <c r="D179" s="1072">
        <v>6340</v>
      </c>
      <c r="E179" s="1072">
        <v>6810</v>
      </c>
      <c r="F179" s="1099"/>
      <c r="H179" s="1097"/>
    </row>
    <row r="180" spans="1:8" s="1066" customFormat="1" ht="14.25" customHeight="1" thickBot="1">
      <c r="A180" s="1078" t="s">
        <v>1407</v>
      </c>
      <c r="B180" s="1072" t="s">
        <v>1291</v>
      </c>
      <c r="C180" s="1072">
        <v>7830</v>
      </c>
      <c r="D180" s="1072">
        <v>7800</v>
      </c>
      <c r="E180" s="1072">
        <v>7780</v>
      </c>
      <c r="F180" s="1090">
        <v>1440</v>
      </c>
      <c r="H180" s="1097"/>
    </row>
    <row r="181" spans="1:8" s="1066" customFormat="1" ht="14.25" customHeight="1" thickBot="1">
      <c r="A181" s="1078" t="s">
        <v>1407</v>
      </c>
      <c r="B181" s="1072" t="s">
        <v>1298</v>
      </c>
      <c r="C181" s="1072">
        <v>7110</v>
      </c>
      <c r="D181" s="1072">
        <v>7080</v>
      </c>
      <c r="E181" s="1072">
        <v>7730</v>
      </c>
      <c r="F181" s="1090">
        <v>1350</v>
      </c>
      <c r="H181" s="1097"/>
    </row>
    <row r="182" spans="1:8" s="1066" customFormat="1" ht="14.25" customHeight="1" thickBot="1">
      <c r="A182" s="1078" t="s">
        <v>1407</v>
      </c>
      <c r="B182" s="1072" t="s">
        <v>1305</v>
      </c>
      <c r="C182" s="1072">
        <v>7310</v>
      </c>
      <c r="D182" s="1072">
        <v>7280</v>
      </c>
      <c r="E182" s="1072">
        <v>7950</v>
      </c>
      <c r="F182" s="1090">
        <v>1220</v>
      </c>
      <c r="H182" s="1097"/>
    </row>
    <row r="183" spans="1:8" s="1066" customFormat="1" ht="14.25" customHeight="1" thickBot="1">
      <c r="A183" s="1078" t="s">
        <v>1407</v>
      </c>
      <c r="B183" s="1072" t="s">
        <v>1312</v>
      </c>
      <c r="C183" s="1072">
        <v>7470</v>
      </c>
      <c r="D183" s="1072">
        <v>7440</v>
      </c>
      <c r="E183" s="1072">
        <v>7880</v>
      </c>
      <c r="F183" s="1099"/>
      <c r="H183" s="1097"/>
    </row>
    <row r="184" spans="1:8" s="1066" customFormat="1" ht="14.25" customHeight="1" thickBot="1">
      <c r="A184" s="1078" t="s">
        <v>1407</v>
      </c>
      <c r="B184" s="1072" t="s">
        <v>1319</v>
      </c>
      <c r="C184" s="1072">
        <v>6960</v>
      </c>
      <c r="D184" s="1072">
        <v>6930</v>
      </c>
      <c r="E184" s="1072">
        <v>7570</v>
      </c>
      <c r="F184" s="1099"/>
      <c r="H184" s="1097"/>
    </row>
    <row r="185" spans="1:8" s="1066" customFormat="1" ht="14.25" customHeight="1" thickBot="1">
      <c r="A185" s="1078" t="s">
        <v>1407</v>
      </c>
      <c r="B185" s="1072" t="s">
        <v>1326</v>
      </c>
      <c r="C185" s="1072">
        <v>7260</v>
      </c>
      <c r="D185" s="1072">
        <v>7230</v>
      </c>
      <c r="E185" s="1072">
        <v>7710</v>
      </c>
      <c r="F185" s="1090">
        <v>1360</v>
      </c>
      <c r="H185" s="1097"/>
    </row>
    <row r="186" spans="1:8" s="1066" customFormat="1" ht="14.25" customHeight="1" thickBot="1">
      <c r="A186" s="1078" t="s">
        <v>1407</v>
      </c>
      <c r="B186" s="1072" t="s">
        <v>1331</v>
      </c>
      <c r="C186" s="1072"/>
      <c r="D186" s="1072"/>
      <c r="E186" s="1072"/>
      <c r="F186" s="1090">
        <v>1560</v>
      </c>
      <c r="H186" s="1097"/>
    </row>
    <row r="187" spans="1:8" s="1066" customFormat="1" ht="14.25" customHeight="1" thickBot="1">
      <c r="A187" s="1078" t="s">
        <v>1407</v>
      </c>
      <c r="B187" s="1072" t="s">
        <v>1335</v>
      </c>
      <c r="C187" s="1072"/>
      <c r="D187" s="1072"/>
      <c r="E187" s="1072"/>
      <c r="F187" s="1090">
        <v>1560</v>
      </c>
      <c r="H187" s="1097"/>
    </row>
    <row r="188" spans="1:8" s="1066" customFormat="1" ht="14.25" customHeight="1" thickBot="1">
      <c r="A188" s="1078" t="s">
        <v>1407</v>
      </c>
      <c r="B188" s="1072" t="s">
        <v>1340</v>
      </c>
      <c r="C188" s="1072"/>
      <c r="D188" s="1072"/>
      <c r="E188" s="1072"/>
      <c r="F188" s="1090">
        <v>1560</v>
      </c>
      <c r="H188" s="1097"/>
    </row>
    <row r="189" spans="1:8" s="1066" customFormat="1" ht="14.25" customHeight="1" thickBot="1">
      <c r="A189" s="1078" t="s">
        <v>1407</v>
      </c>
      <c r="B189" s="1072" t="s">
        <v>1345</v>
      </c>
      <c r="C189" s="1072"/>
      <c r="D189" s="1072"/>
      <c r="E189" s="1072"/>
      <c r="F189" s="1090">
        <v>1320</v>
      </c>
      <c r="H189" s="1097"/>
    </row>
    <row r="190" spans="1:8" s="1066" customFormat="1" ht="14.25" customHeight="1" thickBot="1">
      <c r="A190" s="1078" t="s">
        <v>1407</v>
      </c>
      <c r="B190" s="1072" t="s">
        <v>1350</v>
      </c>
      <c r="C190" s="1072"/>
      <c r="D190" s="1072"/>
      <c r="E190" s="1072"/>
      <c r="F190" s="1090">
        <v>1320</v>
      </c>
      <c r="H190" s="1097"/>
    </row>
    <row r="191" spans="1:8" s="1066" customFormat="1" ht="14.25" customHeight="1" thickBot="1">
      <c r="A191" s="1078" t="s">
        <v>1407</v>
      </c>
      <c r="B191" s="1072" t="s">
        <v>1355</v>
      </c>
      <c r="C191" s="1072"/>
      <c r="D191" s="1072"/>
      <c r="E191" s="1072"/>
      <c r="F191" s="1090">
        <v>1320</v>
      </c>
      <c r="H191" s="1097"/>
    </row>
    <row r="192" spans="1:8" s="1066" customFormat="1" ht="14.25" customHeight="1" thickBot="1">
      <c r="A192" s="1078" t="s">
        <v>1407</v>
      </c>
      <c r="B192" s="1072" t="s">
        <v>1359</v>
      </c>
      <c r="C192" s="1072"/>
      <c r="D192" s="1072"/>
      <c r="E192" s="1072"/>
      <c r="F192" s="1090">
        <v>1100</v>
      </c>
      <c r="H192" s="1097"/>
    </row>
    <row r="193" spans="1:8" s="1066" customFormat="1" ht="14.25" customHeight="1" thickBot="1">
      <c r="A193" s="1078" t="s">
        <v>1407</v>
      </c>
      <c r="B193" s="1072" t="s">
        <v>1363</v>
      </c>
      <c r="C193" s="1072"/>
      <c r="D193" s="1072"/>
      <c r="E193" s="1072"/>
      <c r="F193" s="1090">
        <v>1100</v>
      </c>
      <c r="H193" s="1097"/>
    </row>
    <row r="194" spans="1:8" s="1066" customFormat="1" ht="14.25" customHeight="1" thickBot="1">
      <c r="A194" s="1078" t="s">
        <v>1407</v>
      </c>
      <c r="B194" s="1072" t="s">
        <v>1367</v>
      </c>
      <c r="C194" s="1072"/>
      <c r="D194" s="1072"/>
      <c r="E194" s="1072"/>
      <c r="F194" s="1090">
        <v>1080</v>
      </c>
      <c r="H194" s="1097"/>
    </row>
    <row r="195" spans="1:8" s="1066" customFormat="1" ht="14.25" customHeight="1" thickBot="1">
      <c r="A195" s="1078" t="s">
        <v>1407</v>
      </c>
      <c r="B195" s="1072" t="s">
        <v>1371</v>
      </c>
      <c r="C195" s="1072"/>
      <c r="D195" s="1072"/>
      <c r="E195" s="1072"/>
      <c r="F195" s="1090">
        <v>1270</v>
      </c>
      <c r="H195" s="1097"/>
    </row>
    <row r="196" spans="1:8" s="1066" customFormat="1" ht="14.25" customHeight="1" thickBot="1">
      <c r="A196" s="1078" t="s">
        <v>1407</v>
      </c>
      <c r="B196" s="1072" t="s">
        <v>1375</v>
      </c>
      <c r="C196" s="1072"/>
      <c r="D196" s="1072"/>
      <c r="E196" s="1072"/>
      <c r="F196" s="1090">
        <v>1150</v>
      </c>
      <c r="H196" s="1097"/>
    </row>
    <row r="197" spans="1:8" s="1066" customFormat="1" ht="14.25" customHeight="1" thickBot="1">
      <c r="A197" s="1078" t="s">
        <v>1407</v>
      </c>
      <c r="B197" s="1072" t="s">
        <v>1379</v>
      </c>
      <c r="C197" s="1072"/>
      <c r="D197" s="1072"/>
      <c r="E197" s="1072"/>
      <c r="F197" s="1090">
        <v>1330</v>
      </c>
      <c r="H197" s="1097"/>
    </row>
    <row r="198" spans="1:8" s="1066" customFormat="1" ht="14.25" customHeight="1" thickBot="1">
      <c r="A198" s="1078" t="s">
        <v>1407</v>
      </c>
      <c r="B198" s="1072" t="s">
        <v>1382</v>
      </c>
      <c r="C198" s="1072"/>
      <c r="D198" s="1072"/>
      <c r="E198" s="1072"/>
      <c r="F198" s="1090">
        <v>1170</v>
      </c>
      <c r="H198" s="1097"/>
    </row>
    <row r="199" spans="1:8" s="1066" customFormat="1" ht="14.25" customHeight="1" thickBot="1">
      <c r="A199" s="1078" t="s">
        <v>1407</v>
      </c>
      <c r="B199" s="1072" t="s">
        <v>1385</v>
      </c>
      <c r="C199" s="1072"/>
      <c r="D199" s="1072"/>
      <c r="E199" s="1072"/>
      <c r="F199" s="1090">
        <v>1120</v>
      </c>
      <c r="H199" s="1097"/>
    </row>
    <row r="200" spans="1:8" s="1066" customFormat="1" ht="14.25" customHeight="1" thickBot="1">
      <c r="A200" s="1078" t="s">
        <v>1407</v>
      </c>
      <c r="B200" s="1072" t="s">
        <v>1388</v>
      </c>
      <c r="C200" s="1072"/>
      <c r="D200" s="1072"/>
      <c r="E200" s="1072"/>
      <c r="F200" s="1090">
        <v>1120</v>
      </c>
      <c r="H200" s="1097"/>
    </row>
    <row r="201" spans="1:8" s="1066" customFormat="1" ht="14.25" customHeight="1" thickBot="1">
      <c r="A201" s="1078" t="s">
        <v>1407</v>
      </c>
      <c r="B201" s="1072" t="s">
        <v>1391</v>
      </c>
      <c r="C201" s="1072"/>
      <c r="D201" s="1072"/>
      <c r="E201" s="1072"/>
      <c r="F201" s="1090">
        <v>1540</v>
      </c>
      <c r="H201" s="1097"/>
    </row>
    <row r="202" spans="1:8" s="1066" customFormat="1" ht="14.25" customHeight="1" thickBot="1">
      <c r="A202" s="1078" t="s">
        <v>1407</v>
      </c>
      <c r="B202" s="1072" t="s">
        <v>1394</v>
      </c>
      <c r="C202" s="1072"/>
      <c r="D202" s="1072"/>
      <c r="E202" s="1072"/>
      <c r="F202" s="1090">
        <v>1310</v>
      </c>
      <c r="H202" s="1097"/>
    </row>
    <row r="203" spans="1:8" s="1066" customFormat="1" ht="14.25" customHeight="1" thickBot="1">
      <c r="A203" s="1078" t="s">
        <v>1407</v>
      </c>
      <c r="B203" s="1072" t="s">
        <v>1397</v>
      </c>
      <c r="C203" s="1072"/>
      <c r="D203" s="1072"/>
      <c r="E203" s="1072"/>
      <c r="F203" s="1090">
        <v>1310</v>
      </c>
      <c r="H203" s="1097"/>
    </row>
    <row r="204" spans="1:8" s="1066" customFormat="1" ht="14.25" customHeight="1" thickBot="1">
      <c r="A204" s="1078" t="s">
        <v>1407</v>
      </c>
      <c r="B204" s="1072" t="s">
        <v>1399</v>
      </c>
      <c r="C204" s="1072"/>
      <c r="D204" s="1072"/>
      <c r="E204" s="1072"/>
      <c r="F204" s="1090">
        <v>1080</v>
      </c>
      <c r="H204" s="1097"/>
    </row>
    <row r="205" spans="1:8" s="1066" customFormat="1" ht="14.25" customHeight="1" thickBot="1">
      <c r="A205" s="1078" t="s">
        <v>1407</v>
      </c>
      <c r="B205" s="1072" t="s">
        <v>1402</v>
      </c>
      <c r="C205" s="1072"/>
      <c r="D205" s="1072"/>
      <c r="E205" s="1072"/>
      <c r="F205" s="1090">
        <v>1080</v>
      </c>
      <c r="H205" s="1097"/>
    </row>
    <row r="206" spans="1:8" s="1066" customFormat="1" ht="14.25" customHeight="1" thickBot="1">
      <c r="A206" s="1078" t="s">
        <v>1409</v>
      </c>
      <c r="B206" s="1079" t="s">
        <v>1410</v>
      </c>
      <c r="C206" s="1079">
        <v>5450</v>
      </c>
      <c r="D206" s="1079">
        <v>5430</v>
      </c>
      <c r="E206" s="1079">
        <v>5700</v>
      </c>
      <c r="F206" s="1080">
        <v>1020</v>
      </c>
      <c r="H206" s="1097"/>
    </row>
    <row r="207" spans="1:8" s="1066" customFormat="1" ht="14.25" customHeight="1" thickBot="1">
      <c r="A207" s="1078" t="s">
        <v>1409</v>
      </c>
      <c r="B207" s="1072" t="s">
        <v>1073</v>
      </c>
      <c r="C207" s="1072">
        <v>5860</v>
      </c>
      <c r="D207" s="1072">
        <v>5820</v>
      </c>
      <c r="E207" s="1072">
        <v>6050</v>
      </c>
      <c r="F207" s="1090">
        <v>1080</v>
      </c>
      <c r="H207" s="1097"/>
    </row>
    <row r="208" spans="1:8" s="1066" customFormat="1" ht="14.25" customHeight="1" thickBot="1">
      <c r="A208" s="1078" t="s">
        <v>1409</v>
      </c>
      <c r="B208" s="1072" t="s">
        <v>1087</v>
      </c>
      <c r="C208" s="1072">
        <v>4630</v>
      </c>
      <c r="D208" s="1072">
        <v>4600</v>
      </c>
      <c r="E208" s="1072">
        <v>4840</v>
      </c>
      <c r="F208" s="1090">
        <v>900</v>
      </c>
      <c r="H208" s="1097"/>
    </row>
    <row r="209" spans="1:8" s="1066" customFormat="1" ht="14.25" customHeight="1" thickBot="1">
      <c r="A209" s="1078" t="s">
        <v>1409</v>
      </c>
      <c r="B209" s="1072" t="s">
        <v>1100</v>
      </c>
      <c r="C209" s="1072">
        <v>5320</v>
      </c>
      <c r="D209" s="1072">
        <v>5270</v>
      </c>
      <c r="E209" s="1072">
        <v>5540</v>
      </c>
      <c r="F209" s="1090">
        <v>980</v>
      </c>
      <c r="H209" s="1097"/>
    </row>
    <row r="210" spans="1:8" s="1066" customFormat="1" ht="14.25" customHeight="1" thickBot="1">
      <c r="A210" s="1078" t="s">
        <v>1409</v>
      </c>
      <c r="B210" s="1072" t="s">
        <v>1114</v>
      </c>
      <c r="C210" s="1072">
        <v>5760</v>
      </c>
      <c r="D210" s="1072">
        <v>5710</v>
      </c>
      <c r="E210" s="1072">
        <v>6010</v>
      </c>
      <c r="F210" s="1090">
        <v>870</v>
      </c>
      <c r="H210" s="1097"/>
    </row>
    <row r="211" spans="1:8" s="1066" customFormat="1" ht="14.25" customHeight="1" thickBot="1">
      <c r="A211" s="1078" t="s">
        <v>1409</v>
      </c>
      <c r="B211" s="1072" t="s">
        <v>1125</v>
      </c>
      <c r="C211" s="1072">
        <v>4160</v>
      </c>
      <c r="D211" s="1072">
        <v>4100</v>
      </c>
      <c r="E211" s="1072">
        <v>4270</v>
      </c>
      <c r="F211" s="1090">
        <v>790</v>
      </c>
      <c r="H211" s="1097"/>
    </row>
    <row r="212" spans="1:8" s="1066" customFormat="1" ht="14.25" customHeight="1" thickBot="1">
      <c r="A212" s="1078" t="s">
        <v>1409</v>
      </c>
      <c r="B212" s="1072" t="s">
        <v>1136</v>
      </c>
      <c r="C212" s="1072">
        <v>4880</v>
      </c>
      <c r="D212" s="1072">
        <v>4850</v>
      </c>
      <c r="E212" s="1072">
        <v>5110</v>
      </c>
      <c r="F212" s="1090">
        <v>940</v>
      </c>
      <c r="H212" s="1097"/>
    </row>
    <row r="213" spans="1:8" s="1066" customFormat="1" ht="14.25" customHeight="1" thickBot="1">
      <c r="A213" s="1078" t="s">
        <v>1409</v>
      </c>
      <c r="B213" s="1072" t="s">
        <v>1147</v>
      </c>
      <c r="C213" s="1072">
        <v>4640</v>
      </c>
      <c r="D213" s="1072">
        <v>4590</v>
      </c>
      <c r="E213" s="1072">
        <v>4700</v>
      </c>
      <c r="F213" s="1090">
        <v>1030</v>
      </c>
      <c r="H213" s="1097"/>
    </row>
    <row r="214" spans="1:8" s="1066" customFormat="1" ht="14.25" customHeight="1" thickBot="1">
      <c r="A214" s="1078" t="s">
        <v>1409</v>
      </c>
      <c r="B214" s="1072" t="s">
        <v>1159</v>
      </c>
      <c r="C214" s="1072">
        <v>4540</v>
      </c>
      <c r="D214" s="1072">
        <v>4490</v>
      </c>
      <c r="E214" s="1072">
        <v>4610</v>
      </c>
      <c r="F214" s="1099"/>
      <c r="H214" s="1097"/>
    </row>
    <row r="215" spans="1:8" s="1066" customFormat="1" ht="14.25" customHeight="1" thickBot="1">
      <c r="A215" s="1078" t="s">
        <v>1409</v>
      </c>
      <c r="B215" s="1072" t="s">
        <v>1169</v>
      </c>
      <c r="C215" s="1072">
        <v>5280</v>
      </c>
      <c r="D215" s="1072">
        <v>5250</v>
      </c>
      <c r="E215" s="1072">
        <v>5520</v>
      </c>
      <c r="F215" s="1090">
        <v>1000</v>
      </c>
      <c r="H215" s="1097"/>
    </row>
    <row r="216" spans="1:8" s="1066" customFormat="1" ht="14.25" customHeight="1" thickBot="1">
      <c r="A216" s="1078" t="s">
        <v>1409</v>
      </c>
      <c r="B216" s="1072" t="s">
        <v>1179</v>
      </c>
      <c r="C216" s="1072">
        <v>5100</v>
      </c>
      <c r="D216" s="1072">
        <v>5050</v>
      </c>
      <c r="E216" s="1072">
        <v>5300</v>
      </c>
      <c r="F216" s="1090">
        <v>950</v>
      </c>
      <c r="H216" s="1097"/>
    </row>
    <row r="217" spans="1:8" s="1066" customFormat="1" ht="14.25" customHeight="1" thickBot="1">
      <c r="A217" s="1078" t="s">
        <v>1409</v>
      </c>
      <c r="B217" s="1072" t="s">
        <v>1189</v>
      </c>
      <c r="C217" s="1072">
        <v>5370</v>
      </c>
      <c r="D217" s="1072">
        <v>5320</v>
      </c>
      <c r="E217" s="1072">
        <v>5410</v>
      </c>
      <c r="F217" s="1090">
        <v>950</v>
      </c>
      <c r="H217" s="1097"/>
    </row>
    <row r="218" spans="1:8" s="1066" customFormat="1" ht="14.25" customHeight="1" thickBot="1">
      <c r="A218" s="1078" t="s">
        <v>1409</v>
      </c>
      <c r="B218" s="1072" t="s">
        <v>1199</v>
      </c>
      <c r="C218" s="1072">
        <v>5540</v>
      </c>
      <c r="D218" s="1072">
        <v>5480</v>
      </c>
      <c r="E218" s="1072">
        <v>5740</v>
      </c>
      <c r="F218" s="1090">
        <v>1020</v>
      </c>
      <c r="H218" s="1097"/>
    </row>
    <row r="219" spans="1:8" s="1066" customFormat="1" ht="14.25" customHeight="1" thickBot="1">
      <c r="A219" s="1078" t="s">
        <v>1409</v>
      </c>
      <c r="B219" s="1072" t="s">
        <v>1209</v>
      </c>
      <c r="C219" s="1072">
        <v>5140</v>
      </c>
      <c r="D219" s="1072">
        <v>5100</v>
      </c>
      <c r="E219" s="1072">
        <v>5350</v>
      </c>
      <c r="F219" s="1090">
        <v>1120</v>
      </c>
      <c r="H219" s="1097"/>
    </row>
    <row r="220" spans="1:8" s="1066" customFormat="1" ht="14.25" customHeight="1" thickBot="1">
      <c r="A220" s="1078" t="s">
        <v>1409</v>
      </c>
      <c r="B220" s="1072" t="s">
        <v>1219</v>
      </c>
      <c r="C220" s="1072">
        <v>5040</v>
      </c>
      <c r="D220" s="1072">
        <v>5000</v>
      </c>
      <c r="E220" s="1072">
        <v>5240</v>
      </c>
      <c r="F220" s="1090">
        <v>980</v>
      </c>
      <c r="H220" s="1097"/>
    </row>
    <row r="221" spans="1:8" s="1066" customFormat="1" ht="14.25" customHeight="1" thickBot="1">
      <c r="A221" s="1078" t="s">
        <v>1409</v>
      </c>
      <c r="B221" s="1072" t="s">
        <v>1229</v>
      </c>
      <c r="C221" s="1100"/>
      <c r="D221" s="1100"/>
      <c r="E221" s="1100"/>
      <c r="F221" s="1090">
        <v>1070</v>
      </c>
      <c r="H221" s="1097"/>
    </row>
    <row r="222" spans="1:8" s="1066" customFormat="1" ht="14.25" customHeight="1" thickBot="1">
      <c r="A222" s="1078" t="s">
        <v>1409</v>
      </c>
      <c r="B222" s="1072" t="s">
        <v>1239</v>
      </c>
      <c r="C222" s="1100"/>
      <c r="D222" s="1100"/>
      <c r="E222" s="1100"/>
      <c r="F222" s="1090">
        <v>870</v>
      </c>
      <c r="H222" s="1097"/>
    </row>
    <row r="223" spans="1:8" s="1066" customFormat="1" ht="14.25" customHeight="1" thickBot="1">
      <c r="A223" s="1078" t="s">
        <v>1409</v>
      </c>
      <c r="B223" s="1072" t="s">
        <v>1249</v>
      </c>
      <c r="C223" s="1100"/>
      <c r="D223" s="1100"/>
      <c r="E223" s="1100"/>
      <c r="F223" s="1090">
        <v>940</v>
      </c>
      <c r="H223" s="1097"/>
    </row>
    <row r="224" spans="1:8" s="1066" customFormat="1" ht="14.25" customHeight="1" thickBot="1">
      <c r="A224" s="1078" t="s">
        <v>1409</v>
      </c>
      <c r="B224" s="1072" t="s">
        <v>1259</v>
      </c>
      <c r="C224" s="1100"/>
      <c r="D224" s="1100"/>
      <c r="E224" s="1100"/>
      <c r="F224" s="1090">
        <v>990</v>
      </c>
      <c r="H224" s="1097"/>
    </row>
    <row r="225" spans="1:8" s="1066" customFormat="1" ht="14.25" customHeight="1" thickBot="1">
      <c r="A225" s="1078" t="s">
        <v>1409</v>
      </c>
      <c r="B225" s="1072" t="s">
        <v>1268</v>
      </c>
      <c r="C225" s="1072">
        <v>5730</v>
      </c>
      <c r="D225" s="1072">
        <v>5680</v>
      </c>
      <c r="E225" s="1072">
        <v>6020</v>
      </c>
      <c r="F225" s="1090">
        <v>1000</v>
      </c>
      <c r="H225" s="1097"/>
    </row>
    <row r="226" spans="1:8" s="1066" customFormat="1" ht="14.25" customHeight="1" thickBot="1">
      <c r="A226" s="1078" t="s">
        <v>1409</v>
      </c>
      <c r="B226" s="1072" t="s">
        <v>1277</v>
      </c>
      <c r="C226" s="1072">
        <v>4970</v>
      </c>
      <c r="D226" s="1072">
        <v>4940</v>
      </c>
      <c r="E226" s="1072">
        <v>5180</v>
      </c>
      <c r="F226" s="1090">
        <v>960</v>
      </c>
      <c r="H226" s="1097"/>
    </row>
    <row r="227" spans="1:8" s="1066" customFormat="1" ht="14.25" customHeight="1" thickBot="1">
      <c r="A227" s="1078" t="s">
        <v>1409</v>
      </c>
      <c r="B227" s="1072" t="s">
        <v>1285</v>
      </c>
      <c r="C227" s="1072">
        <v>5550</v>
      </c>
      <c r="D227" s="1072">
        <v>5500</v>
      </c>
      <c r="E227" s="1072">
        <v>5780</v>
      </c>
      <c r="F227" s="1090">
        <v>940</v>
      </c>
      <c r="H227" s="1097"/>
    </row>
    <row r="228" spans="1:8" s="1066" customFormat="1" ht="14.25" customHeight="1" thickBot="1">
      <c r="A228" s="1078" t="s">
        <v>1409</v>
      </c>
      <c r="B228" s="1072" t="s">
        <v>1292</v>
      </c>
      <c r="C228" s="1072">
        <v>5460</v>
      </c>
      <c r="D228" s="1072">
        <v>5420</v>
      </c>
      <c r="E228" s="1072">
        <v>5690</v>
      </c>
      <c r="F228" s="1090">
        <v>910</v>
      </c>
      <c r="H228" s="1097"/>
    </row>
    <row r="229" spans="1:8" s="1066" customFormat="1" ht="14.25" customHeight="1" thickBot="1">
      <c r="A229" s="1078" t="s">
        <v>1409</v>
      </c>
      <c r="B229" s="1072" t="s">
        <v>1299</v>
      </c>
      <c r="C229" s="1072">
        <v>5310</v>
      </c>
      <c r="D229" s="1072">
        <v>5270</v>
      </c>
      <c r="E229" s="1072">
        <v>5510</v>
      </c>
      <c r="F229" s="1099"/>
      <c r="H229" s="1097"/>
    </row>
    <row r="230" spans="1:8" s="1066" customFormat="1" ht="14.25" customHeight="1" thickBot="1">
      <c r="A230" s="1078" t="s">
        <v>1409</v>
      </c>
      <c r="B230" s="1072" t="s">
        <v>1306</v>
      </c>
      <c r="C230" s="1072">
        <v>4540</v>
      </c>
      <c r="D230" s="1072">
        <v>4500</v>
      </c>
      <c r="E230" s="1072">
        <v>4730</v>
      </c>
      <c r="F230" s="1099"/>
      <c r="H230" s="1097"/>
    </row>
    <row r="231" spans="1:8" s="1066" customFormat="1" ht="14.25" customHeight="1" thickBot="1">
      <c r="A231" s="1078" t="s">
        <v>1409</v>
      </c>
      <c r="B231" s="1072" t="s">
        <v>1313</v>
      </c>
      <c r="C231" s="1072">
        <v>4480</v>
      </c>
      <c r="D231" s="1072">
        <v>4410</v>
      </c>
      <c r="E231" s="1072">
        <v>4640</v>
      </c>
      <c r="F231" s="1099"/>
      <c r="H231" s="1097"/>
    </row>
    <row r="232" spans="1:8" s="1066" customFormat="1" ht="14.25" customHeight="1" thickBot="1">
      <c r="A232" s="1078" t="s">
        <v>1409</v>
      </c>
      <c r="B232" s="1072" t="s">
        <v>1320</v>
      </c>
      <c r="C232" s="1072">
        <v>5670</v>
      </c>
      <c r="D232" s="1072">
        <v>5600</v>
      </c>
      <c r="E232" s="1072">
        <v>5890</v>
      </c>
      <c r="F232" s="1090">
        <v>1150</v>
      </c>
      <c r="H232" s="1097"/>
    </row>
    <row r="233" spans="1:8" s="1066" customFormat="1" ht="14.25" customHeight="1" thickBot="1">
      <c r="A233" s="1078" t="s">
        <v>1409</v>
      </c>
      <c r="B233" s="1072" t="s">
        <v>1327</v>
      </c>
      <c r="C233" s="1072">
        <v>4590</v>
      </c>
      <c r="D233" s="1072">
        <v>4500</v>
      </c>
      <c r="E233" s="1072">
        <v>4600</v>
      </c>
      <c r="F233" s="1099"/>
      <c r="H233" s="1097"/>
    </row>
    <row r="234" spans="1:8" s="1066" customFormat="1" ht="14.25" customHeight="1" thickBot="1">
      <c r="A234" s="1078" t="s">
        <v>1409</v>
      </c>
      <c r="B234" s="1072" t="s">
        <v>2422</v>
      </c>
      <c r="C234" s="1072">
        <v>3990</v>
      </c>
      <c r="D234" s="1072">
        <v>3950</v>
      </c>
      <c r="E234" s="1072">
        <v>4180</v>
      </c>
      <c r="F234" s="1099"/>
      <c r="H234" s="1097"/>
    </row>
    <row r="235" spans="1:8" s="1066" customFormat="1" ht="14.25" customHeight="1" thickBot="1">
      <c r="A235" s="1078" t="s">
        <v>1409</v>
      </c>
      <c r="B235" s="1072" t="s">
        <v>1336</v>
      </c>
      <c r="C235" s="1072">
        <v>5590</v>
      </c>
      <c r="D235" s="1072">
        <v>5540</v>
      </c>
      <c r="E235" s="1072">
        <v>5810</v>
      </c>
      <c r="F235" s="1090">
        <v>970</v>
      </c>
      <c r="H235" s="1097"/>
    </row>
    <row r="236" spans="1:8" s="1066" customFormat="1" ht="14.25" customHeight="1" thickBot="1">
      <c r="A236" s="1078" t="s">
        <v>1409</v>
      </c>
      <c r="B236" s="1072" t="s">
        <v>1341</v>
      </c>
      <c r="C236" s="1072"/>
      <c r="D236" s="1072"/>
      <c r="E236" s="1072"/>
      <c r="F236" s="1090">
        <v>1020</v>
      </c>
      <c r="H236" s="1097"/>
    </row>
    <row r="237" spans="1:8" s="1066" customFormat="1" ht="14.25" customHeight="1" thickBot="1">
      <c r="A237" s="1078" t="s">
        <v>1409</v>
      </c>
      <c r="B237" s="1072" t="s">
        <v>1346</v>
      </c>
      <c r="C237" s="1072"/>
      <c r="D237" s="1072"/>
      <c r="E237" s="1072"/>
      <c r="F237" s="1090">
        <v>960</v>
      </c>
      <c r="H237" s="1097"/>
    </row>
    <row r="238" spans="1:8" s="1066" customFormat="1" ht="14.25" customHeight="1" thickBot="1">
      <c r="A238" s="1078" t="s">
        <v>1409</v>
      </c>
      <c r="B238" s="1072" t="s">
        <v>1351</v>
      </c>
      <c r="C238" s="1072"/>
      <c r="D238" s="1072"/>
      <c r="E238" s="1072"/>
      <c r="F238" s="1090">
        <v>960</v>
      </c>
      <c r="H238" s="1097"/>
    </row>
    <row r="239" spans="1:8" s="1066" customFormat="1" ht="14.25" customHeight="1" thickBot="1">
      <c r="A239" s="1078" t="s">
        <v>1409</v>
      </c>
      <c r="B239" s="1072" t="s">
        <v>1356</v>
      </c>
      <c r="C239" s="1072"/>
      <c r="D239" s="1072"/>
      <c r="E239" s="1072"/>
      <c r="F239" s="1090">
        <v>960</v>
      </c>
      <c r="H239" s="1097"/>
    </row>
    <row r="240" spans="1:8" s="1066" customFormat="1" ht="14.25" customHeight="1" thickBot="1">
      <c r="A240" s="1078" t="s">
        <v>1409</v>
      </c>
      <c r="B240" s="1072" t="s">
        <v>1360</v>
      </c>
      <c r="C240" s="1072"/>
      <c r="D240" s="1072"/>
      <c r="E240" s="1072"/>
      <c r="F240" s="1090">
        <v>990</v>
      </c>
      <c r="H240" s="1097"/>
    </row>
    <row r="241" spans="1:8" s="1066" customFormat="1" ht="14.25" customHeight="1" thickBot="1">
      <c r="A241" s="1078" t="s">
        <v>1409</v>
      </c>
      <c r="B241" s="1072" t="s">
        <v>1364</v>
      </c>
      <c r="C241" s="1072"/>
      <c r="D241" s="1072"/>
      <c r="E241" s="1072"/>
      <c r="F241" s="1090">
        <v>1000</v>
      </c>
      <c r="H241" s="1097"/>
    </row>
    <row r="242" spans="1:8" s="1066" customFormat="1" ht="14.25" customHeight="1" thickBot="1">
      <c r="A242" s="1078" t="s">
        <v>1409</v>
      </c>
      <c r="B242" s="1072" t="s">
        <v>1368</v>
      </c>
      <c r="C242" s="1072"/>
      <c r="D242" s="1072"/>
      <c r="E242" s="1072"/>
      <c r="F242" s="1090">
        <v>980</v>
      </c>
      <c r="H242" s="1097"/>
    </row>
    <row r="243" spans="1:8" s="1066" customFormat="1" ht="14.25" customHeight="1" thickBot="1">
      <c r="A243" s="1078" t="s">
        <v>1409</v>
      </c>
      <c r="B243" s="1072" t="s">
        <v>1372</v>
      </c>
      <c r="C243" s="1072"/>
      <c r="D243" s="1072"/>
      <c r="E243" s="1072"/>
      <c r="F243" s="1090">
        <v>970</v>
      </c>
      <c r="H243" s="1097"/>
    </row>
    <row r="244" spans="1:8" s="1066" customFormat="1" ht="14.25" customHeight="1" thickBot="1">
      <c r="A244" s="1078" t="s">
        <v>1409</v>
      </c>
      <c r="B244" s="1088" t="s">
        <v>1376</v>
      </c>
      <c r="C244" s="1088"/>
      <c r="D244" s="1088"/>
      <c r="E244" s="1088"/>
      <c r="F244" s="1098">
        <v>970</v>
      </c>
      <c r="H244" s="1097"/>
    </row>
    <row r="245" spans="1:8" s="1066" customFormat="1" ht="14.25" customHeight="1" thickBot="1">
      <c r="A245" s="1078" t="s">
        <v>1411</v>
      </c>
      <c r="B245" s="1079" t="s">
        <v>1412</v>
      </c>
      <c r="C245" s="1079">
        <v>4050</v>
      </c>
      <c r="D245" s="1079">
        <v>4020</v>
      </c>
      <c r="E245" s="1079">
        <v>4160</v>
      </c>
      <c r="F245" s="1080">
        <v>840</v>
      </c>
      <c r="H245" s="1097"/>
    </row>
    <row r="246" spans="1:8" s="1066" customFormat="1" ht="14.25" customHeight="1" thickBot="1">
      <c r="A246" s="1078" t="s">
        <v>1411</v>
      </c>
      <c r="B246" s="1072" t="s">
        <v>1074</v>
      </c>
      <c r="C246" s="1072">
        <v>4010</v>
      </c>
      <c r="D246" s="1072">
        <v>3960</v>
      </c>
      <c r="E246" s="1072">
        <v>4130</v>
      </c>
      <c r="F246" s="1090">
        <v>840</v>
      </c>
      <c r="H246" s="1097"/>
    </row>
    <row r="247" spans="1:8" s="1066" customFormat="1" ht="14.25" customHeight="1" thickBot="1">
      <c r="A247" s="1078" t="s">
        <v>1411</v>
      </c>
      <c r="B247" s="1072" t="s">
        <v>1413</v>
      </c>
      <c r="C247" s="1072">
        <v>3170</v>
      </c>
      <c r="D247" s="1072">
        <v>3140</v>
      </c>
      <c r="E247" s="1072">
        <v>3270</v>
      </c>
      <c r="F247" s="1090">
        <v>640</v>
      </c>
      <c r="H247" s="1097"/>
    </row>
    <row r="248" spans="1:8" s="1066" customFormat="1" ht="14.25" customHeight="1" thickBot="1">
      <c r="A248" s="1078" t="s">
        <v>1411</v>
      </c>
      <c r="B248" s="1072" t="s">
        <v>1414</v>
      </c>
      <c r="C248" s="1072">
        <v>3140</v>
      </c>
      <c r="D248" s="1072">
        <v>3120</v>
      </c>
      <c r="E248" s="1072">
        <v>3240</v>
      </c>
      <c r="F248" s="1090">
        <v>620</v>
      </c>
      <c r="H248" s="1097"/>
    </row>
    <row r="249" spans="1:8" s="1066" customFormat="1" ht="14.25" customHeight="1" thickBot="1">
      <c r="A249" s="1078" t="s">
        <v>1411</v>
      </c>
      <c r="B249" s="1072" t="s">
        <v>1115</v>
      </c>
      <c r="C249" s="1072">
        <v>3200</v>
      </c>
      <c r="D249" s="1072">
        <v>3100</v>
      </c>
      <c r="E249" s="1072">
        <v>3230</v>
      </c>
      <c r="F249" s="1090">
        <v>750</v>
      </c>
      <c r="H249" s="1097"/>
    </row>
    <row r="250" spans="1:8" s="1066" customFormat="1" ht="14.25" customHeight="1" thickBot="1">
      <c r="A250" s="1078" t="s">
        <v>1411</v>
      </c>
      <c r="B250" s="1072" t="s">
        <v>1126</v>
      </c>
      <c r="C250" s="1072">
        <v>4060</v>
      </c>
      <c r="D250" s="1072">
        <v>4000</v>
      </c>
      <c r="E250" s="1072">
        <v>4140</v>
      </c>
      <c r="F250" s="1090">
        <v>790</v>
      </c>
      <c r="H250" s="1097"/>
    </row>
    <row r="251" spans="1:8" s="1066" customFormat="1" ht="14.25" customHeight="1" thickBot="1">
      <c r="A251" s="1078" t="s">
        <v>1411</v>
      </c>
      <c r="B251" s="1072" t="s">
        <v>1137</v>
      </c>
      <c r="C251" s="1072">
        <v>3990</v>
      </c>
      <c r="D251" s="1072">
        <v>3970</v>
      </c>
      <c r="E251" s="1072">
        <v>4110</v>
      </c>
      <c r="F251" s="1090">
        <v>730</v>
      </c>
      <c r="H251" s="1097"/>
    </row>
    <row r="252" spans="1:8" s="1066" customFormat="1" ht="14.25" customHeight="1" thickBot="1">
      <c r="A252" s="1078" t="s">
        <v>1411</v>
      </c>
      <c r="B252" s="1072" t="s">
        <v>1148</v>
      </c>
      <c r="C252" s="1072">
        <v>3560</v>
      </c>
      <c r="D252" s="1072">
        <v>3530</v>
      </c>
      <c r="E252" s="1072">
        <v>3650</v>
      </c>
      <c r="F252" s="1090">
        <v>750</v>
      </c>
      <c r="H252" s="1097"/>
    </row>
    <row r="253" spans="1:8" s="1066" customFormat="1" ht="14.25" customHeight="1" thickBot="1">
      <c r="A253" s="1078" t="s">
        <v>1411</v>
      </c>
      <c r="B253" s="1072" t="s">
        <v>1160</v>
      </c>
      <c r="C253" s="1072">
        <v>3780</v>
      </c>
      <c r="D253" s="1072">
        <v>3750</v>
      </c>
      <c r="E253" s="1072">
        <v>3870</v>
      </c>
      <c r="F253" s="1090">
        <v>770</v>
      </c>
      <c r="H253" s="1097"/>
    </row>
    <row r="254" spans="1:8" s="1066" customFormat="1" ht="14.25" customHeight="1" thickBot="1">
      <c r="A254" s="1078" t="s">
        <v>1411</v>
      </c>
      <c r="B254" s="1072" t="s">
        <v>1170</v>
      </c>
      <c r="C254" s="1100"/>
      <c r="D254" s="1100"/>
      <c r="E254" s="1100"/>
      <c r="F254" s="1090">
        <v>740</v>
      </c>
      <c r="H254" s="1097"/>
    </row>
    <row r="255" spans="1:8" s="1066" customFormat="1" ht="14.25" customHeight="1" thickBot="1">
      <c r="A255" s="1078" t="s">
        <v>1411</v>
      </c>
      <c r="B255" s="1072" t="s">
        <v>1180</v>
      </c>
      <c r="C255" s="1100"/>
      <c r="D255" s="1100"/>
      <c r="E255" s="1100"/>
      <c r="F255" s="1090">
        <v>760</v>
      </c>
      <c r="H255" s="1097"/>
    </row>
    <row r="256" spans="1:8" s="1066" customFormat="1" ht="14.25" customHeight="1" thickBot="1">
      <c r="A256" s="1078" t="s">
        <v>1411</v>
      </c>
      <c r="B256" s="1072" t="s">
        <v>1190</v>
      </c>
      <c r="C256" s="1072">
        <v>3760</v>
      </c>
      <c r="D256" s="1072">
        <v>3730</v>
      </c>
      <c r="E256" s="1072">
        <v>3870</v>
      </c>
      <c r="F256" s="1090">
        <v>830</v>
      </c>
      <c r="H256" s="1097"/>
    </row>
    <row r="257" spans="1:8" s="1066" customFormat="1" ht="14.25" customHeight="1" thickBot="1">
      <c r="A257" s="1078" t="s">
        <v>1411</v>
      </c>
      <c r="B257" s="1072" t="s">
        <v>1200</v>
      </c>
      <c r="C257" s="1072">
        <v>3570</v>
      </c>
      <c r="D257" s="1072">
        <v>3540</v>
      </c>
      <c r="E257" s="1072">
        <v>3650</v>
      </c>
      <c r="F257" s="1090">
        <v>790</v>
      </c>
      <c r="H257" s="1097"/>
    </row>
    <row r="258" spans="1:8" s="1066" customFormat="1" ht="14.25" customHeight="1" thickBot="1">
      <c r="A258" s="1078" t="s">
        <v>1411</v>
      </c>
      <c r="B258" s="1072" t="s">
        <v>1210</v>
      </c>
      <c r="C258" s="1072">
        <v>3410</v>
      </c>
      <c r="D258" s="1072">
        <v>3380</v>
      </c>
      <c r="E258" s="1072">
        <v>3500</v>
      </c>
      <c r="F258" s="1090">
        <v>830</v>
      </c>
      <c r="H258" s="1097"/>
    </row>
    <row r="259" spans="1:8" s="1066" customFormat="1" ht="14.25" customHeight="1" thickBot="1">
      <c r="A259" s="1078" t="s">
        <v>1411</v>
      </c>
      <c r="B259" s="1072" t="s">
        <v>1220</v>
      </c>
      <c r="C259" s="1072">
        <v>3870</v>
      </c>
      <c r="D259" s="1072">
        <v>3840</v>
      </c>
      <c r="E259" s="1072">
        <v>3970</v>
      </c>
      <c r="F259" s="1090">
        <v>830</v>
      </c>
      <c r="H259" s="1097"/>
    </row>
    <row r="260" spans="1:8" s="1066" customFormat="1" ht="14.25" customHeight="1" thickBot="1">
      <c r="A260" s="1078" t="s">
        <v>1411</v>
      </c>
      <c r="B260" s="1072" t="s">
        <v>1230</v>
      </c>
      <c r="C260" s="1072">
        <v>3700</v>
      </c>
      <c r="D260" s="1072">
        <v>3660</v>
      </c>
      <c r="E260" s="1072">
        <v>3810</v>
      </c>
      <c r="F260" s="1090">
        <v>790</v>
      </c>
      <c r="H260" s="1097"/>
    </row>
    <row r="261" spans="1:8" s="1066" customFormat="1" ht="14.25" customHeight="1" thickBot="1">
      <c r="A261" s="1078" t="s">
        <v>1411</v>
      </c>
      <c r="B261" s="1072" t="s">
        <v>1240</v>
      </c>
      <c r="C261" s="1072">
        <v>3470</v>
      </c>
      <c r="D261" s="1072">
        <v>3430</v>
      </c>
      <c r="E261" s="1072">
        <v>3640</v>
      </c>
      <c r="F261" s="1090">
        <v>760</v>
      </c>
      <c r="H261" s="1097"/>
    </row>
    <row r="262" spans="1:8" s="1066" customFormat="1" ht="14.25" customHeight="1" thickBot="1">
      <c r="A262" s="1078" t="s">
        <v>1411</v>
      </c>
      <c r="B262" s="1072" t="s">
        <v>1250</v>
      </c>
      <c r="C262" s="1072">
        <v>3510</v>
      </c>
      <c r="D262" s="1072">
        <v>3470</v>
      </c>
      <c r="E262" s="1072">
        <v>3680</v>
      </c>
      <c r="F262" s="1099"/>
      <c r="H262" s="1097"/>
    </row>
    <row r="263" spans="1:8" s="1066" customFormat="1" ht="14.25" customHeight="1" thickBot="1">
      <c r="A263" s="1078" t="s">
        <v>1411</v>
      </c>
      <c r="B263" s="1072" t="s">
        <v>1260</v>
      </c>
      <c r="C263" s="1072">
        <v>3960</v>
      </c>
      <c r="D263" s="1072">
        <v>3930</v>
      </c>
      <c r="E263" s="1072">
        <v>4070</v>
      </c>
      <c r="F263" s="1090">
        <v>830</v>
      </c>
      <c r="H263" s="1097"/>
    </row>
    <row r="264" spans="1:8" s="1066" customFormat="1" ht="14.25" customHeight="1" thickBot="1">
      <c r="A264" s="1078" t="s">
        <v>1411</v>
      </c>
      <c r="B264" s="1072" t="s">
        <v>1269</v>
      </c>
      <c r="C264" s="1072">
        <v>4010</v>
      </c>
      <c r="D264" s="1072">
        <v>3980</v>
      </c>
      <c r="E264" s="1072">
        <v>4150</v>
      </c>
      <c r="F264" s="1090">
        <v>760</v>
      </c>
      <c r="H264" s="1097"/>
    </row>
    <row r="265" spans="1:8" s="1066" customFormat="1" ht="14.25" customHeight="1" thickBot="1">
      <c r="A265" s="1078" t="s">
        <v>1411</v>
      </c>
      <c r="B265" s="1072" t="s">
        <v>1278</v>
      </c>
      <c r="C265" s="1072">
        <v>3910</v>
      </c>
      <c r="D265" s="1072">
        <v>3890</v>
      </c>
      <c r="E265" s="1072">
        <v>4040</v>
      </c>
      <c r="F265" s="1090">
        <v>780</v>
      </c>
      <c r="H265" s="1097"/>
    </row>
    <row r="266" spans="1:8" s="1066" customFormat="1" ht="14.25" customHeight="1" thickBot="1">
      <c r="A266" s="1078" t="s">
        <v>1411</v>
      </c>
      <c r="B266" s="1072" t="s">
        <v>1286</v>
      </c>
      <c r="C266" s="1072">
        <v>3930</v>
      </c>
      <c r="D266" s="1072">
        <v>3900</v>
      </c>
      <c r="E266" s="1072">
        <v>4080</v>
      </c>
      <c r="F266" s="1090">
        <v>770</v>
      </c>
      <c r="H266" s="1097"/>
    </row>
    <row r="267" spans="1:8" s="1066" customFormat="1" ht="14.25" customHeight="1" thickBot="1">
      <c r="A267" s="1078" t="s">
        <v>1411</v>
      </c>
      <c r="B267" s="1072" t="s">
        <v>1293</v>
      </c>
      <c r="C267" s="1072">
        <v>3800</v>
      </c>
      <c r="D267" s="1072">
        <v>3780</v>
      </c>
      <c r="E267" s="1072">
        <v>3930</v>
      </c>
      <c r="F267" s="1099"/>
      <c r="H267" s="1097"/>
    </row>
    <row r="268" spans="1:8" s="1066" customFormat="1" ht="14.25" customHeight="1" thickBot="1">
      <c r="A268" s="1078" t="s">
        <v>1411</v>
      </c>
      <c r="B268" s="1072" t="s">
        <v>1300</v>
      </c>
      <c r="C268" s="1072">
        <v>3460</v>
      </c>
      <c r="D268" s="1072">
        <v>3430</v>
      </c>
      <c r="E268" s="1072">
        <v>3560</v>
      </c>
      <c r="F268" s="1090">
        <v>840</v>
      </c>
      <c r="H268" s="1097"/>
    </row>
    <row r="269" spans="1:8" s="1066" customFormat="1" ht="14.25" customHeight="1" thickBot="1">
      <c r="A269" s="1078" t="s">
        <v>1411</v>
      </c>
      <c r="B269" s="1072" t="s">
        <v>1307</v>
      </c>
      <c r="C269" s="1072">
        <v>3210</v>
      </c>
      <c r="D269" s="1072">
        <v>3190</v>
      </c>
      <c r="E269" s="1072">
        <v>3310</v>
      </c>
      <c r="F269" s="1090">
        <v>730</v>
      </c>
      <c r="H269" s="1097"/>
    </row>
    <row r="270" spans="1:8" s="1066" customFormat="1" ht="14.25" customHeight="1" thickBot="1">
      <c r="A270" s="1078" t="s">
        <v>1411</v>
      </c>
      <c r="B270" s="1072" t="s">
        <v>1314</v>
      </c>
      <c r="C270" s="1072">
        <v>3240</v>
      </c>
      <c r="D270" s="1072">
        <v>3210</v>
      </c>
      <c r="E270" s="1072">
        <v>3390</v>
      </c>
      <c r="F270" s="1090">
        <v>820</v>
      </c>
      <c r="H270" s="1097"/>
    </row>
    <row r="271" spans="1:8" s="1066" customFormat="1" ht="14.25" customHeight="1" thickBot="1">
      <c r="A271" s="1078" t="s">
        <v>1411</v>
      </c>
      <c r="B271" s="1072" t="s">
        <v>1321</v>
      </c>
      <c r="C271" s="1072">
        <v>3300</v>
      </c>
      <c r="D271" s="1072">
        <v>3270</v>
      </c>
      <c r="E271" s="1072">
        <v>3380</v>
      </c>
      <c r="F271" s="1090">
        <v>750</v>
      </c>
      <c r="H271" s="1097"/>
    </row>
    <row r="272" spans="1:8" s="1066" customFormat="1" ht="14.25" customHeight="1" thickBot="1">
      <c r="A272" s="1078" t="s">
        <v>1411</v>
      </c>
      <c r="B272" s="1072" t="s">
        <v>1328</v>
      </c>
      <c r="C272" s="1100"/>
      <c r="D272" s="1100"/>
      <c r="E272" s="1100"/>
      <c r="F272" s="1090">
        <v>740</v>
      </c>
      <c r="H272" s="1097"/>
    </row>
    <row r="273" spans="1:8" s="1066" customFormat="1" ht="14.25" customHeight="1" thickBot="1">
      <c r="A273" s="1078" t="s">
        <v>1411</v>
      </c>
      <c r="B273" s="1072" t="s">
        <v>1332</v>
      </c>
      <c r="C273" s="1072">
        <v>3130</v>
      </c>
      <c r="D273" s="1072">
        <v>3100</v>
      </c>
      <c r="E273" s="1072">
        <v>3230</v>
      </c>
      <c r="F273" s="1090">
        <v>700</v>
      </c>
      <c r="H273" s="1097"/>
    </row>
    <row r="274" spans="1:8" s="1066" customFormat="1" ht="14.25" customHeight="1" thickBot="1">
      <c r="A274" s="1078" t="s">
        <v>1411</v>
      </c>
      <c r="B274" s="1072" t="s">
        <v>1337</v>
      </c>
      <c r="C274" s="1072">
        <v>3460</v>
      </c>
      <c r="D274" s="1072">
        <v>3430</v>
      </c>
      <c r="E274" s="1072">
        <v>3560</v>
      </c>
      <c r="F274" s="1090">
        <v>690</v>
      </c>
      <c r="H274" s="1097"/>
    </row>
    <row r="275" spans="1:8" s="1066" customFormat="1" ht="14.25" customHeight="1" thickBot="1">
      <c r="A275" s="1078" t="s">
        <v>1411</v>
      </c>
      <c r="B275" s="1072" t="s">
        <v>1342</v>
      </c>
      <c r="C275" s="1072">
        <v>4040</v>
      </c>
      <c r="D275" s="1072">
        <v>4020</v>
      </c>
      <c r="E275" s="1072">
        <v>4160</v>
      </c>
      <c r="F275" s="1090">
        <v>820</v>
      </c>
      <c r="H275" s="1097"/>
    </row>
    <row r="276" spans="1:8" s="1066" customFormat="1" ht="14.25" customHeight="1" thickBot="1">
      <c r="A276" s="1078" t="s">
        <v>1411</v>
      </c>
      <c r="B276" s="1072" t="s">
        <v>1347</v>
      </c>
      <c r="C276" s="1072">
        <v>3270</v>
      </c>
      <c r="D276" s="1072">
        <v>3240</v>
      </c>
      <c r="E276" s="1072">
        <v>3350</v>
      </c>
      <c r="F276" s="1090">
        <v>680</v>
      </c>
      <c r="H276" s="1097"/>
    </row>
    <row r="277" spans="1:8" s="1066" customFormat="1" ht="14.25" customHeight="1" thickBot="1">
      <c r="A277" s="1078" t="s">
        <v>1411</v>
      </c>
      <c r="B277" s="1072" t="s">
        <v>1352</v>
      </c>
      <c r="C277" s="1072">
        <v>2930</v>
      </c>
      <c r="D277" s="1072">
        <v>2900</v>
      </c>
      <c r="E277" s="1072">
        <v>3000</v>
      </c>
      <c r="F277" s="1090">
        <v>640</v>
      </c>
      <c r="H277" s="1097"/>
    </row>
    <row r="278" spans="1:8" s="1066" customFormat="1" ht="14.25" customHeight="1" thickBot="1">
      <c r="A278" s="1078" t="s">
        <v>1411</v>
      </c>
      <c r="B278" s="1072" t="s">
        <v>1357</v>
      </c>
      <c r="C278" s="1072">
        <v>4080</v>
      </c>
      <c r="D278" s="1072">
        <v>4030</v>
      </c>
      <c r="E278" s="1072">
        <v>4140</v>
      </c>
      <c r="F278" s="1090">
        <v>850</v>
      </c>
      <c r="H278" s="1097"/>
    </row>
    <row r="279" spans="1:8" s="1066" customFormat="1" ht="14.25" customHeight="1" thickBot="1">
      <c r="A279" s="1078" t="s">
        <v>1411</v>
      </c>
      <c r="B279" s="1072" t="s">
        <v>1361</v>
      </c>
      <c r="C279" s="1072"/>
      <c r="D279" s="1072"/>
      <c r="E279" s="1072"/>
      <c r="F279" s="1090">
        <v>760</v>
      </c>
      <c r="H279" s="1097"/>
    </row>
    <row r="280" spans="1:8" s="1066" customFormat="1" ht="14.25" customHeight="1" thickBot="1">
      <c r="A280" s="1078" t="s">
        <v>1411</v>
      </c>
      <c r="B280" s="1072" t="s">
        <v>1365</v>
      </c>
      <c r="C280" s="1072"/>
      <c r="D280" s="1072"/>
      <c r="E280" s="1072"/>
      <c r="F280" s="1090">
        <v>760</v>
      </c>
      <c r="H280" s="1097"/>
    </row>
    <row r="281" spans="1:8" s="1066" customFormat="1" ht="14.25" customHeight="1" thickBot="1">
      <c r="A281" s="1078" t="s">
        <v>1411</v>
      </c>
      <c r="B281" s="1072" t="s">
        <v>1369</v>
      </c>
      <c r="C281" s="1072"/>
      <c r="D281" s="1072"/>
      <c r="E281" s="1072"/>
      <c r="F281" s="1090">
        <v>780</v>
      </c>
      <c r="H281" s="1097"/>
    </row>
    <row r="282" spans="1:8" s="1066" customFormat="1" ht="14.25" customHeight="1" thickBot="1">
      <c r="A282" s="1078" t="s">
        <v>1411</v>
      </c>
      <c r="B282" s="1072" t="s">
        <v>1373</v>
      </c>
      <c r="C282" s="1072"/>
      <c r="D282" s="1072"/>
      <c r="E282" s="1072"/>
      <c r="F282" s="1090">
        <v>730</v>
      </c>
      <c r="H282" s="1097"/>
    </row>
    <row r="283" spans="1:8" s="1066" customFormat="1" ht="14.25" customHeight="1" thickBot="1">
      <c r="A283" s="1078" t="s">
        <v>1411</v>
      </c>
      <c r="B283" s="1072" t="s">
        <v>1377</v>
      </c>
      <c r="C283" s="1072"/>
      <c r="D283" s="1072"/>
      <c r="E283" s="1072"/>
      <c r="F283" s="1090">
        <v>770</v>
      </c>
      <c r="H283" s="1097"/>
    </row>
    <row r="284" spans="1:8" s="1066" customFormat="1" ht="14.25" customHeight="1" thickBot="1">
      <c r="A284" s="1078" t="s">
        <v>1411</v>
      </c>
      <c r="B284" s="1072" t="s">
        <v>1380</v>
      </c>
      <c r="C284" s="1072"/>
      <c r="D284" s="1072"/>
      <c r="E284" s="1072"/>
      <c r="F284" s="1090">
        <v>640</v>
      </c>
      <c r="H284" s="1097"/>
    </row>
    <row r="285" spans="1:8" s="1066" customFormat="1" ht="14.25" customHeight="1" thickBot="1">
      <c r="A285" s="1078" t="s">
        <v>1411</v>
      </c>
      <c r="B285" s="1072" t="s">
        <v>1383</v>
      </c>
      <c r="C285" s="1072"/>
      <c r="D285" s="1072"/>
      <c r="E285" s="1072"/>
      <c r="F285" s="1090">
        <v>640</v>
      </c>
      <c r="H285" s="1097"/>
    </row>
    <row r="286" spans="1:8" s="1066" customFormat="1" ht="14.25" customHeight="1" thickBot="1">
      <c r="A286" s="1078" t="s">
        <v>1411</v>
      </c>
      <c r="B286" s="1072" t="s">
        <v>1386</v>
      </c>
      <c r="C286" s="1072"/>
      <c r="D286" s="1072"/>
      <c r="E286" s="1072"/>
      <c r="F286" s="1090">
        <v>850</v>
      </c>
      <c r="H286" s="1097"/>
    </row>
    <row r="287" spans="1:8" s="1066" customFormat="1" ht="14.25" customHeight="1" thickBot="1">
      <c r="A287" s="1078" t="s">
        <v>1411</v>
      </c>
      <c r="B287" s="1072" t="s">
        <v>1389</v>
      </c>
      <c r="C287" s="1072"/>
      <c r="D287" s="1072"/>
      <c r="E287" s="1072"/>
      <c r="F287" s="1090">
        <v>760</v>
      </c>
      <c r="H287" s="1097"/>
    </row>
    <row r="288" spans="1:8" s="1066" customFormat="1" ht="14.25" customHeight="1" thickBot="1">
      <c r="A288" s="1078" t="s">
        <v>1411</v>
      </c>
      <c r="B288" s="1072" t="s">
        <v>1392</v>
      </c>
      <c r="C288" s="1072"/>
      <c r="D288" s="1072"/>
      <c r="E288" s="1072"/>
      <c r="F288" s="1090">
        <v>830</v>
      </c>
      <c r="H288" s="1097"/>
    </row>
    <row r="289" spans="1:8" s="1066" customFormat="1" ht="14.25" customHeight="1" thickBot="1">
      <c r="A289" s="1078" t="s">
        <v>1411</v>
      </c>
      <c r="B289" s="1088" t="s">
        <v>1395</v>
      </c>
      <c r="C289" s="1088"/>
      <c r="D289" s="1088"/>
      <c r="E289" s="1088"/>
      <c r="F289" s="1098">
        <v>680</v>
      </c>
      <c r="H289" s="1097"/>
    </row>
    <row r="290" spans="1:8" s="1066" customFormat="1" ht="14.25" customHeight="1" thickBot="1">
      <c r="A290" s="1078" t="s">
        <v>1415</v>
      </c>
      <c r="B290" s="1079" t="s">
        <v>1416</v>
      </c>
      <c r="C290" s="1079">
        <v>2770</v>
      </c>
      <c r="D290" s="1079">
        <v>2740</v>
      </c>
      <c r="E290" s="1079">
        <v>2720</v>
      </c>
      <c r="F290" s="1101"/>
      <c r="H290" s="1097"/>
    </row>
    <row r="291" spans="1:8" s="1066" customFormat="1" ht="14.25" customHeight="1" thickBot="1">
      <c r="A291" s="1078" t="s">
        <v>1415</v>
      </c>
      <c r="B291" s="1072" t="s">
        <v>1075</v>
      </c>
      <c r="C291" s="1072">
        <v>2670</v>
      </c>
      <c r="D291" s="1072">
        <v>2640</v>
      </c>
      <c r="E291" s="1072">
        <v>2620</v>
      </c>
      <c r="F291" s="1099"/>
      <c r="H291" s="1097"/>
    </row>
    <row r="292" spans="1:8" s="1066" customFormat="1" ht="14.25" customHeight="1" thickBot="1">
      <c r="A292" s="1078" t="s">
        <v>1415</v>
      </c>
      <c r="B292" s="1072" t="s">
        <v>1417</v>
      </c>
      <c r="C292" s="1072">
        <v>2180</v>
      </c>
      <c r="D292" s="1072">
        <v>2140</v>
      </c>
      <c r="E292" s="1072">
        <v>2120</v>
      </c>
      <c r="F292" s="1090">
        <v>490</v>
      </c>
      <c r="H292" s="1097"/>
    </row>
    <row r="293" spans="1:8" s="1066" customFormat="1" ht="14.25" customHeight="1" thickBot="1">
      <c r="A293" s="1078" t="s">
        <v>1415</v>
      </c>
      <c r="B293" s="1072" t="s">
        <v>1418</v>
      </c>
      <c r="C293" s="1072"/>
      <c r="D293" s="1072"/>
      <c r="E293" s="1072"/>
      <c r="F293" s="1090">
        <v>470</v>
      </c>
      <c r="H293" s="1097"/>
    </row>
    <row r="294" spans="1:8" s="1066" customFormat="1" ht="14.25" customHeight="1" thickBot="1">
      <c r="A294" s="1078" t="s">
        <v>1415</v>
      </c>
      <c r="B294" s="1072" t="s">
        <v>1419</v>
      </c>
      <c r="C294" s="1072">
        <v>2730</v>
      </c>
      <c r="D294" s="1072">
        <v>2700</v>
      </c>
      <c r="E294" s="1072">
        <v>2680</v>
      </c>
      <c r="F294" s="1090">
        <v>490</v>
      </c>
      <c r="H294" s="1097"/>
    </row>
    <row r="295" spans="1:8" s="1066" customFormat="1" ht="14.25" customHeight="1" thickBot="1">
      <c r="A295" s="1078" t="s">
        <v>1415</v>
      </c>
      <c r="B295" s="1072" t="s">
        <v>1116</v>
      </c>
      <c r="C295" s="1072">
        <v>2380</v>
      </c>
      <c r="D295" s="1072">
        <v>2350</v>
      </c>
      <c r="E295" s="1072">
        <v>2330</v>
      </c>
      <c r="F295" s="1090">
        <v>530</v>
      </c>
      <c r="H295" s="1097"/>
    </row>
    <row r="296" spans="1:8" s="1066" customFormat="1" ht="14.25" customHeight="1" thickBot="1">
      <c r="A296" s="1078" t="s">
        <v>1415</v>
      </c>
      <c r="B296" s="1072" t="s">
        <v>1127</v>
      </c>
      <c r="C296" s="1072">
        <v>2650</v>
      </c>
      <c r="D296" s="1072">
        <v>2620</v>
      </c>
      <c r="E296" s="1072">
        <v>2590</v>
      </c>
      <c r="F296" s="1090">
        <v>590</v>
      </c>
      <c r="H296" s="1097"/>
    </row>
    <row r="297" spans="1:8" s="1066" customFormat="1" ht="14.25" customHeight="1" thickBot="1">
      <c r="A297" s="1078" t="s">
        <v>1415</v>
      </c>
      <c r="B297" s="1072" t="s">
        <v>1138</v>
      </c>
      <c r="C297" s="1072">
        <v>2700</v>
      </c>
      <c r="D297" s="1072">
        <v>2670</v>
      </c>
      <c r="E297" s="1072">
        <v>2650</v>
      </c>
      <c r="F297" s="1090">
        <v>630</v>
      </c>
      <c r="H297" s="1097"/>
    </row>
    <row r="298" spans="1:8" s="1066" customFormat="1" ht="14.25" customHeight="1" thickBot="1">
      <c r="A298" s="1078" t="s">
        <v>1415</v>
      </c>
      <c r="B298" s="1072" t="s">
        <v>1149</v>
      </c>
      <c r="C298" s="1072">
        <v>2650</v>
      </c>
      <c r="D298" s="1072">
        <v>2620</v>
      </c>
      <c r="E298" s="1072">
        <v>2590</v>
      </c>
      <c r="F298" s="1090">
        <v>640</v>
      </c>
      <c r="H298" s="1097"/>
    </row>
    <row r="299" spans="1:8" s="1066" customFormat="1" ht="14.25" customHeight="1" thickBot="1">
      <c r="A299" s="1078" t="s">
        <v>1415</v>
      </c>
      <c r="B299" s="1072" t="s">
        <v>1161</v>
      </c>
      <c r="C299" s="1072">
        <v>2500</v>
      </c>
      <c r="D299" s="1072">
        <v>2480</v>
      </c>
      <c r="E299" s="1072">
        <v>2460</v>
      </c>
      <c r="F299" s="1099"/>
      <c r="H299" s="1097"/>
    </row>
    <row r="300" spans="1:8" s="1066" customFormat="1" ht="14.25" customHeight="1" thickBot="1">
      <c r="A300" s="1078" t="s">
        <v>1415</v>
      </c>
      <c r="B300" s="1072" t="s">
        <v>1171</v>
      </c>
      <c r="C300" s="1072">
        <v>2760</v>
      </c>
      <c r="D300" s="1072">
        <v>2730</v>
      </c>
      <c r="E300" s="1072">
        <v>2700</v>
      </c>
      <c r="F300" s="1090">
        <v>630</v>
      </c>
      <c r="H300" s="1097"/>
    </row>
    <row r="301" spans="1:8" s="1066" customFormat="1" ht="14.25" customHeight="1" thickBot="1">
      <c r="A301" s="1078" t="s">
        <v>1415</v>
      </c>
      <c r="B301" s="1072" t="s">
        <v>1181</v>
      </c>
      <c r="C301" s="1072">
        <v>2510</v>
      </c>
      <c r="D301" s="1072">
        <v>2480</v>
      </c>
      <c r="E301" s="1072">
        <v>2460</v>
      </c>
      <c r="F301" s="1099"/>
      <c r="H301" s="1097"/>
    </row>
    <row r="302" spans="1:8" s="1066" customFormat="1" ht="14.25" customHeight="1" thickBot="1">
      <c r="A302" s="1078" t="s">
        <v>1415</v>
      </c>
      <c r="B302" s="1072" t="s">
        <v>1191</v>
      </c>
      <c r="C302" s="1072">
        <v>2480</v>
      </c>
      <c r="D302" s="1072">
        <v>2450</v>
      </c>
      <c r="E302" s="1072">
        <v>2420</v>
      </c>
      <c r="F302" s="1090">
        <v>600</v>
      </c>
      <c r="H302" s="1097"/>
    </row>
    <row r="303" spans="1:8" s="1066" customFormat="1" ht="14.25" customHeight="1" thickBot="1">
      <c r="A303" s="1078" t="s">
        <v>1415</v>
      </c>
      <c r="B303" s="1072" t="s">
        <v>1201</v>
      </c>
      <c r="C303" s="1072">
        <v>2270</v>
      </c>
      <c r="D303" s="1072">
        <v>2240</v>
      </c>
      <c r="E303" s="1072">
        <v>2210</v>
      </c>
      <c r="F303" s="1090">
        <v>540</v>
      </c>
      <c r="H303" s="1097"/>
    </row>
    <row r="304" spans="1:8" s="1066" customFormat="1" ht="14.25" customHeight="1" thickBot="1">
      <c r="A304" s="1078" t="s">
        <v>1415</v>
      </c>
      <c r="B304" s="1072" t="s">
        <v>1211</v>
      </c>
      <c r="C304" s="1072">
        <v>2310</v>
      </c>
      <c r="D304" s="1072">
        <v>2290</v>
      </c>
      <c r="E304" s="1072">
        <v>2270</v>
      </c>
      <c r="F304" s="1099"/>
      <c r="H304" s="1097"/>
    </row>
    <row r="305" spans="1:8" s="1066" customFormat="1" ht="14.25" customHeight="1" thickBot="1">
      <c r="A305" s="1078" t="s">
        <v>1415</v>
      </c>
      <c r="B305" s="1072" t="s">
        <v>1221</v>
      </c>
      <c r="C305" s="1072">
        <v>2490</v>
      </c>
      <c r="D305" s="1072">
        <v>2470</v>
      </c>
      <c r="E305" s="1072">
        <v>2440</v>
      </c>
      <c r="F305" s="1090">
        <v>560</v>
      </c>
      <c r="H305" s="1097"/>
    </row>
    <row r="306" spans="1:8" s="1066" customFormat="1" ht="14.25" customHeight="1" thickBot="1">
      <c r="A306" s="1078" t="s">
        <v>1415</v>
      </c>
      <c r="B306" s="1072" t="s">
        <v>1231</v>
      </c>
      <c r="C306" s="1072">
        <v>2420</v>
      </c>
      <c r="D306" s="1072">
        <v>2400</v>
      </c>
      <c r="E306" s="1072">
        <v>2380</v>
      </c>
      <c r="F306" s="1099"/>
      <c r="H306" s="1097"/>
    </row>
    <row r="307" spans="1:8" s="1066" customFormat="1" ht="14.25" customHeight="1" thickBot="1">
      <c r="A307" s="1078" t="s">
        <v>1415</v>
      </c>
      <c r="B307" s="1072" t="s">
        <v>1241</v>
      </c>
      <c r="C307" s="1072">
        <v>2770</v>
      </c>
      <c r="D307" s="1072">
        <v>2740</v>
      </c>
      <c r="E307" s="1072">
        <v>2710</v>
      </c>
      <c r="F307" s="1090">
        <v>650</v>
      </c>
      <c r="H307" s="1097"/>
    </row>
    <row r="308" spans="1:8" s="1066" customFormat="1" ht="14.25" customHeight="1" thickBot="1">
      <c r="A308" s="1078" t="s">
        <v>1415</v>
      </c>
      <c r="B308" s="1072" t="s">
        <v>1251</v>
      </c>
      <c r="C308" s="1072">
        <v>2610</v>
      </c>
      <c r="D308" s="1072">
        <v>2580</v>
      </c>
      <c r="E308" s="1072">
        <v>2550</v>
      </c>
      <c r="F308" s="1090">
        <v>580</v>
      </c>
      <c r="H308" s="1097"/>
    </row>
    <row r="309" spans="1:8" s="1066" customFormat="1" ht="14.25" customHeight="1" thickBot="1">
      <c r="A309" s="1078" t="s">
        <v>1415</v>
      </c>
      <c r="B309" s="1072" t="s">
        <v>1261</v>
      </c>
      <c r="C309" s="1072">
        <v>2690</v>
      </c>
      <c r="D309" s="1072">
        <v>2670</v>
      </c>
      <c r="E309" s="1072">
        <v>2650</v>
      </c>
      <c r="F309" s="1099"/>
      <c r="H309" s="1097"/>
    </row>
    <row r="310" spans="1:8" s="1066" customFormat="1" ht="14.25" customHeight="1" thickBot="1">
      <c r="A310" s="1078" t="s">
        <v>1415</v>
      </c>
      <c r="B310" s="1072" t="s">
        <v>1270</v>
      </c>
      <c r="C310" s="1072">
        <v>2360</v>
      </c>
      <c r="D310" s="1072">
        <v>2330</v>
      </c>
      <c r="E310" s="1072">
        <v>2310</v>
      </c>
      <c r="F310" s="1090">
        <v>560</v>
      </c>
      <c r="H310" s="1097"/>
    </row>
    <row r="311" spans="1:8" s="1066" customFormat="1" ht="14.25" customHeight="1" thickBot="1">
      <c r="A311" s="1078" t="s">
        <v>1415</v>
      </c>
      <c r="B311" s="1072" t="s">
        <v>1279</v>
      </c>
      <c r="C311" s="1072">
        <v>1970</v>
      </c>
      <c r="D311" s="1072">
        <v>1950</v>
      </c>
      <c r="E311" s="1072">
        <v>1920</v>
      </c>
      <c r="F311" s="1090">
        <v>470</v>
      </c>
      <c r="H311" s="1097"/>
    </row>
    <row r="312" spans="1:8" s="1066" customFormat="1" ht="14.25" customHeight="1" thickBot="1">
      <c r="A312" s="1078" t="s">
        <v>1415</v>
      </c>
      <c r="B312" s="1072" t="s">
        <v>1287</v>
      </c>
      <c r="C312" s="1072">
        <v>2230</v>
      </c>
      <c r="D312" s="1072">
        <v>2200</v>
      </c>
      <c r="E312" s="1072">
        <v>2170</v>
      </c>
      <c r="F312" s="1090">
        <v>460</v>
      </c>
      <c r="H312" s="1097"/>
    </row>
    <row r="313" spans="1:8" s="1066" customFormat="1" ht="14.25" customHeight="1" thickBot="1">
      <c r="A313" s="1078" t="s">
        <v>1415</v>
      </c>
      <c r="B313" s="1072" t="s">
        <v>1294</v>
      </c>
      <c r="C313" s="1072">
        <v>2770</v>
      </c>
      <c r="D313" s="1072">
        <v>2740</v>
      </c>
      <c r="E313" s="1072">
        <v>2710</v>
      </c>
      <c r="F313" s="1090">
        <v>610</v>
      </c>
      <c r="H313" s="1097"/>
    </row>
    <row r="314" spans="1:8" s="1066" customFormat="1" ht="14.25" customHeight="1" thickBot="1">
      <c r="A314" s="1078" t="s">
        <v>1415</v>
      </c>
      <c r="B314" s="1072" t="s">
        <v>1301</v>
      </c>
      <c r="C314" s="1072"/>
      <c r="D314" s="1072"/>
      <c r="E314" s="1072"/>
      <c r="F314" s="1090">
        <v>490</v>
      </c>
      <c r="H314" s="1097"/>
    </row>
    <row r="315" spans="1:8" s="1066" customFormat="1" ht="14.25" customHeight="1" thickBot="1">
      <c r="A315" s="1078" t="s">
        <v>1415</v>
      </c>
      <c r="B315" s="1072" t="s">
        <v>1308</v>
      </c>
      <c r="C315" s="1072"/>
      <c r="D315" s="1072"/>
      <c r="E315" s="1072"/>
      <c r="F315" s="1090">
        <v>520</v>
      </c>
      <c r="H315" s="1097"/>
    </row>
    <row r="316" spans="1:8" s="1066" customFormat="1" ht="14.25" customHeight="1" thickBot="1">
      <c r="A316" s="1078" t="s">
        <v>1415</v>
      </c>
      <c r="B316" s="1088" t="s">
        <v>1315</v>
      </c>
      <c r="C316" s="1088"/>
      <c r="D316" s="1088"/>
      <c r="E316" s="1088"/>
      <c r="F316" s="1098">
        <v>460</v>
      </c>
      <c r="H316" s="1097"/>
    </row>
    <row r="317" spans="1:8" s="1066" customFormat="1" ht="14.25" customHeight="1" thickBot="1">
      <c r="A317" s="1078" t="s">
        <v>912</v>
      </c>
      <c r="B317" s="1079" t="s">
        <v>1420</v>
      </c>
      <c r="C317" s="1079">
        <v>1200</v>
      </c>
      <c r="D317" s="1079">
        <v>1180</v>
      </c>
      <c r="E317" s="1079">
        <v>1160</v>
      </c>
      <c r="F317" s="1080">
        <v>370</v>
      </c>
      <c r="H317" s="1063"/>
    </row>
    <row r="318" spans="1:8" s="1066" customFormat="1" ht="14.25" customHeight="1" thickBot="1">
      <c r="A318" s="1078" t="s">
        <v>912</v>
      </c>
      <c r="B318" s="1072" t="s">
        <v>1421</v>
      </c>
      <c r="C318" s="1072">
        <v>1090</v>
      </c>
      <c r="D318" s="1072">
        <v>1060</v>
      </c>
      <c r="E318" s="1072">
        <v>1040</v>
      </c>
      <c r="F318" s="1099"/>
      <c r="H318" s="1063"/>
    </row>
    <row r="319" spans="1:8" s="1066" customFormat="1" ht="14.25" customHeight="1" thickBot="1">
      <c r="A319" s="1078" t="s">
        <v>912</v>
      </c>
      <c r="B319" s="1072" t="s">
        <v>1422</v>
      </c>
      <c r="C319" s="1072">
        <v>1520</v>
      </c>
      <c r="D319" s="1072">
        <v>1470</v>
      </c>
      <c r="E319" s="1072">
        <v>1440</v>
      </c>
      <c r="F319" s="1090">
        <v>370</v>
      </c>
      <c r="H319" s="1063"/>
    </row>
    <row r="320" spans="1:8" s="1066" customFormat="1" ht="14.25" customHeight="1" thickBot="1">
      <c r="A320" s="1078" t="s">
        <v>912</v>
      </c>
      <c r="B320" s="1072" t="s">
        <v>1103</v>
      </c>
      <c r="C320" s="1072">
        <v>1360</v>
      </c>
      <c r="D320" s="1072">
        <v>1300</v>
      </c>
      <c r="E320" s="1072">
        <v>1270</v>
      </c>
      <c r="F320" s="1099"/>
      <c r="H320" s="1063"/>
    </row>
    <row r="321" spans="1:8" s="1066" customFormat="1" ht="14.25" customHeight="1" thickBot="1">
      <c r="A321" s="1078" t="s">
        <v>912</v>
      </c>
      <c r="B321" s="1072" t="s">
        <v>1117</v>
      </c>
      <c r="C321" s="1072">
        <v>1750</v>
      </c>
      <c r="D321" s="1072">
        <v>1690</v>
      </c>
      <c r="E321" s="1072">
        <v>1660</v>
      </c>
      <c r="F321" s="1099"/>
      <c r="H321" s="1063"/>
    </row>
    <row r="322" spans="1:8" s="1066" customFormat="1" ht="14.25" customHeight="1" thickBot="1">
      <c r="A322" s="1078" t="s">
        <v>912</v>
      </c>
      <c r="B322" s="1072" t="s">
        <v>1128</v>
      </c>
      <c r="C322" s="1072">
        <v>1650</v>
      </c>
      <c r="D322" s="1072">
        <v>1610</v>
      </c>
      <c r="E322" s="1072">
        <v>1580</v>
      </c>
      <c r="F322" s="1090">
        <v>500</v>
      </c>
      <c r="H322" s="1063"/>
    </row>
    <row r="323" spans="1:8" s="1066" customFormat="1" ht="14.25" customHeight="1" thickBot="1">
      <c r="A323" s="1078" t="s">
        <v>912</v>
      </c>
      <c r="B323" s="1072" t="s">
        <v>1139</v>
      </c>
      <c r="C323" s="1072">
        <v>1780</v>
      </c>
      <c r="D323" s="1072">
        <v>1740</v>
      </c>
      <c r="E323" s="1072">
        <v>1720</v>
      </c>
      <c r="F323" s="1099"/>
      <c r="H323" s="1063"/>
    </row>
    <row r="324" spans="1:8" s="1066" customFormat="1" ht="14.25" customHeight="1" thickBot="1">
      <c r="A324" s="1078" t="s">
        <v>912</v>
      </c>
      <c r="B324" s="1072" t="s">
        <v>1150</v>
      </c>
      <c r="C324" s="1072">
        <v>1650</v>
      </c>
      <c r="D324" s="1072">
        <v>1610</v>
      </c>
      <c r="E324" s="1072">
        <v>1580</v>
      </c>
      <c r="F324" s="1099"/>
      <c r="H324" s="1063"/>
    </row>
    <row r="325" spans="1:8" s="1066" customFormat="1" ht="14.25" customHeight="1" thickBot="1">
      <c r="A325" s="1078" t="s">
        <v>912</v>
      </c>
      <c r="B325" s="1072" t="s">
        <v>1162</v>
      </c>
      <c r="C325" s="1072">
        <v>1330</v>
      </c>
      <c r="D325" s="1072">
        <v>1270</v>
      </c>
      <c r="E325" s="1072">
        <v>1240</v>
      </c>
      <c r="F325" s="1090">
        <v>430</v>
      </c>
      <c r="H325" s="1063"/>
    </row>
    <row r="326" spans="1:8" s="1066" customFormat="1" ht="14.25" customHeight="1" thickBot="1">
      <c r="A326" s="1078" t="s">
        <v>912</v>
      </c>
      <c r="B326" s="1072" t="s">
        <v>1172</v>
      </c>
      <c r="C326" s="1072">
        <v>1470</v>
      </c>
      <c r="D326" s="1072">
        <v>1430</v>
      </c>
      <c r="E326" s="1072">
        <v>1400</v>
      </c>
      <c r="F326" s="1099"/>
      <c r="H326" s="1063"/>
    </row>
    <row r="327" spans="1:8" s="1066" customFormat="1" ht="14.25" customHeight="1" thickBot="1">
      <c r="A327" s="1078" t="s">
        <v>912</v>
      </c>
      <c r="B327" s="1072" t="s">
        <v>1182</v>
      </c>
      <c r="C327" s="1072">
        <v>1420</v>
      </c>
      <c r="D327" s="1072">
        <v>1380</v>
      </c>
      <c r="E327" s="1072">
        <v>1360</v>
      </c>
      <c r="F327" s="1090">
        <v>420</v>
      </c>
      <c r="H327" s="1063"/>
    </row>
    <row r="328" spans="1:8" s="1066" customFormat="1" ht="14.25" customHeight="1" thickBot="1">
      <c r="A328" s="1078" t="s">
        <v>912</v>
      </c>
      <c r="B328" s="1072" t="s">
        <v>1192</v>
      </c>
      <c r="C328" s="1072">
        <v>1400</v>
      </c>
      <c r="D328" s="1072">
        <v>1360</v>
      </c>
      <c r="E328" s="1072">
        <v>1330</v>
      </c>
      <c r="F328" s="1090">
        <v>460</v>
      </c>
      <c r="H328" s="1063"/>
    </row>
    <row r="329" spans="1:8" s="1066" customFormat="1" ht="14.25" customHeight="1" thickBot="1">
      <c r="A329" s="1078" t="s">
        <v>912</v>
      </c>
      <c r="B329" s="1072" t="s">
        <v>1202</v>
      </c>
      <c r="C329" s="1072">
        <v>1640</v>
      </c>
      <c r="D329" s="1072">
        <v>1610</v>
      </c>
      <c r="E329" s="1072">
        <v>1580</v>
      </c>
      <c r="F329" s="1090">
        <v>410</v>
      </c>
      <c r="H329" s="1063"/>
    </row>
    <row r="330" spans="1:8" s="1066" customFormat="1" ht="14.25" customHeight="1" thickBot="1">
      <c r="A330" s="1078" t="s">
        <v>912</v>
      </c>
      <c r="B330" s="1072" t="s">
        <v>1212</v>
      </c>
      <c r="C330" s="1072">
        <v>1260</v>
      </c>
      <c r="D330" s="1072">
        <v>1220</v>
      </c>
      <c r="E330" s="1072">
        <v>1200</v>
      </c>
      <c r="F330" s="1099"/>
      <c r="H330" s="1063"/>
    </row>
    <row r="331" spans="1:8" s="1066" customFormat="1" ht="14.25" customHeight="1" thickBot="1">
      <c r="A331" s="1078" t="s">
        <v>912</v>
      </c>
      <c r="B331" s="1072" t="s">
        <v>1222</v>
      </c>
      <c r="C331" s="1072">
        <v>1620</v>
      </c>
      <c r="D331" s="1072">
        <v>1560</v>
      </c>
      <c r="E331" s="1072">
        <v>1530</v>
      </c>
      <c r="F331" s="1090">
        <v>490</v>
      </c>
      <c r="H331" s="1063"/>
    </row>
    <row r="332" spans="1:8" s="1066" customFormat="1" ht="14.25" customHeight="1" thickBot="1">
      <c r="A332" s="1078" t="s">
        <v>912</v>
      </c>
      <c r="B332" s="1072" t="s">
        <v>1232</v>
      </c>
      <c r="C332" s="1072">
        <v>1520</v>
      </c>
      <c r="D332" s="1072">
        <v>1470</v>
      </c>
      <c r="E332" s="1072">
        <v>1440</v>
      </c>
      <c r="F332" s="1090">
        <v>440</v>
      </c>
      <c r="H332" s="1063"/>
    </row>
    <row r="333" spans="1:8" s="1066" customFormat="1" ht="14.25" customHeight="1" thickBot="1">
      <c r="A333" s="1078" t="s">
        <v>912</v>
      </c>
      <c r="B333" s="1072" t="s">
        <v>1242</v>
      </c>
      <c r="C333" s="1072">
        <v>1370</v>
      </c>
      <c r="D333" s="1072">
        <v>1320</v>
      </c>
      <c r="E333" s="1072">
        <v>1300</v>
      </c>
      <c r="F333" s="1090">
        <v>460</v>
      </c>
      <c r="H333" s="1063"/>
    </row>
    <row r="334" spans="1:8" s="1066" customFormat="1" ht="14.25" customHeight="1" thickBot="1">
      <c r="A334" s="1078" t="s">
        <v>912</v>
      </c>
      <c r="B334" s="1072" t="s">
        <v>1252</v>
      </c>
      <c r="C334" s="1072">
        <v>1410</v>
      </c>
      <c r="D334" s="1072">
        <v>1340</v>
      </c>
      <c r="E334" s="1072">
        <v>1310</v>
      </c>
      <c r="F334" s="1090">
        <v>410</v>
      </c>
      <c r="H334" s="1063"/>
    </row>
    <row r="335" spans="1:8" s="1066" customFormat="1" ht="14.25" customHeight="1" thickBot="1">
      <c r="A335" s="1078" t="s">
        <v>912</v>
      </c>
      <c r="B335" s="1072" t="s">
        <v>1262</v>
      </c>
      <c r="C335" s="1072">
        <v>1260</v>
      </c>
      <c r="D335" s="1072">
        <v>1220</v>
      </c>
      <c r="E335" s="1072">
        <v>1200</v>
      </c>
      <c r="F335" s="1099"/>
      <c r="H335" s="1063"/>
    </row>
    <row r="336" spans="1:8" s="1066" customFormat="1" ht="14.25" customHeight="1" thickBot="1">
      <c r="A336" s="1078" t="s">
        <v>912</v>
      </c>
      <c r="B336" s="1072" t="s">
        <v>1271</v>
      </c>
      <c r="C336" s="1072">
        <v>1160</v>
      </c>
      <c r="D336" s="1072">
        <v>1140</v>
      </c>
      <c r="E336" s="1072">
        <v>1120</v>
      </c>
      <c r="F336" s="1090">
        <v>430</v>
      </c>
      <c r="H336" s="1063"/>
    </row>
    <row r="337" spans="1:8" s="1066" customFormat="1" ht="14.25" customHeight="1" thickBot="1">
      <c r="A337" s="1078" t="s">
        <v>912</v>
      </c>
      <c r="B337" s="1088" t="s">
        <v>1280</v>
      </c>
      <c r="C337" s="1088"/>
      <c r="D337" s="1088"/>
      <c r="E337" s="1088"/>
      <c r="F337" s="1098">
        <v>380</v>
      </c>
      <c r="H337" s="1063"/>
    </row>
    <row r="338" spans="1:8" s="1066" customFormat="1" ht="14.25" customHeight="1" thickBot="1">
      <c r="A338" s="1078" t="s">
        <v>913</v>
      </c>
      <c r="B338" s="1079" t="s">
        <v>1423</v>
      </c>
      <c r="C338" s="1079">
        <v>880</v>
      </c>
      <c r="D338" s="1079">
        <v>850</v>
      </c>
      <c r="E338" s="1079">
        <v>830</v>
      </c>
      <c r="F338" s="1101"/>
      <c r="H338" s="1063"/>
    </row>
    <row r="339" spans="1:8" s="1066" customFormat="1" ht="14.25" customHeight="1" thickBot="1">
      <c r="A339" s="1078" t="s">
        <v>913</v>
      </c>
      <c r="B339" s="1072" t="s">
        <v>1424</v>
      </c>
      <c r="C339" s="1072">
        <v>830</v>
      </c>
      <c r="D339" s="1072">
        <v>800</v>
      </c>
      <c r="E339" s="1072">
        <v>780</v>
      </c>
      <c r="F339" s="1099"/>
      <c r="H339" s="1063"/>
    </row>
    <row r="340" spans="1:8" s="1066" customFormat="1" ht="14.25" customHeight="1" thickBot="1">
      <c r="A340" s="1078" t="s">
        <v>913</v>
      </c>
      <c r="B340" s="1072" t="s">
        <v>1425</v>
      </c>
      <c r="C340" s="1072">
        <v>980</v>
      </c>
      <c r="D340" s="1072">
        <v>950</v>
      </c>
      <c r="E340" s="1072">
        <v>920</v>
      </c>
      <c r="F340" s="1099"/>
      <c r="H340" s="1063"/>
    </row>
    <row r="341" spans="1:8" s="1066" customFormat="1" ht="14.25" customHeight="1" thickBot="1">
      <c r="A341" s="1078" t="s">
        <v>913</v>
      </c>
      <c r="B341" s="1072" t="s">
        <v>1426</v>
      </c>
      <c r="C341" s="1072">
        <v>760</v>
      </c>
      <c r="D341" s="1072">
        <v>720</v>
      </c>
      <c r="E341" s="1072">
        <v>690</v>
      </c>
      <c r="F341" s="1090">
        <v>350</v>
      </c>
      <c r="H341" s="1063"/>
    </row>
    <row r="342" spans="1:8" s="1066" customFormat="1" ht="14.25" customHeight="1" thickBot="1">
      <c r="A342" s="1078" t="s">
        <v>913</v>
      </c>
      <c r="B342" s="1072" t="s">
        <v>1118</v>
      </c>
      <c r="C342" s="1072">
        <v>910</v>
      </c>
      <c r="D342" s="1072">
        <v>870</v>
      </c>
      <c r="E342" s="1072">
        <v>850</v>
      </c>
      <c r="F342" s="1090">
        <v>370</v>
      </c>
      <c r="H342" s="1063"/>
    </row>
    <row r="343" spans="1:8" s="1066" customFormat="1" ht="14.25" customHeight="1" thickBot="1">
      <c r="A343" s="1078" t="s">
        <v>913</v>
      </c>
      <c r="B343" s="1072" t="s">
        <v>1129</v>
      </c>
      <c r="C343" s="1072">
        <v>800</v>
      </c>
      <c r="D343" s="1072">
        <v>760</v>
      </c>
      <c r="E343" s="1072">
        <v>730</v>
      </c>
      <c r="F343" s="1090">
        <v>340</v>
      </c>
      <c r="H343" s="1063"/>
    </row>
    <row r="344" spans="1:8" s="1066" customFormat="1" ht="14.25" customHeight="1" thickBot="1">
      <c r="A344" s="1078" t="s">
        <v>913</v>
      </c>
      <c r="B344" s="1088" t="s">
        <v>1140</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2" t="s">
        <v>2077</v>
      </c>
      <c r="B1" s="3492"/>
    </row>
    <row r="2" spans="1:6" ht="14.25" thickBot="1">
      <c r="A2" s="1848"/>
      <c r="B2" s="1848"/>
    </row>
    <row r="3" spans="1:6" ht="14.25" thickBot="1">
      <c r="A3" s="1848"/>
      <c r="B3" s="1848"/>
      <c r="C3" s="1849" t="s">
        <v>2078</v>
      </c>
      <c r="D3" s="1849" t="s">
        <v>2079</v>
      </c>
      <c r="E3" s="1849" t="s">
        <v>2080</v>
      </c>
      <c r="F3" s="1849" t="s">
        <v>2081</v>
      </c>
    </row>
    <row r="4" spans="1:6" ht="14.25" thickBot="1">
      <c r="A4" s="1850" t="s">
        <v>2082</v>
      </c>
      <c r="B4" s="1851" t="s">
        <v>2083</v>
      </c>
      <c r="C4" s="1849"/>
      <c r="D4" s="1849"/>
      <c r="E4" s="1849"/>
      <c r="F4" s="1849"/>
    </row>
    <row r="5" spans="1:6" ht="14.25" thickBot="1">
      <c r="A5" s="1852" t="s">
        <v>2084</v>
      </c>
      <c r="B5" s="1853" t="s">
        <v>2085</v>
      </c>
      <c r="C5" s="1854">
        <v>8.8999999999999996E-2</v>
      </c>
      <c r="D5" s="1854">
        <v>7.3999999999999996E-2</v>
      </c>
      <c r="E5" s="1854">
        <v>7.4999999999999997E-2</v>
      </c>
      <c r="F5" s="1855">
        <v>0.1</v>
      </c>
    </row>
    <row r="6" spans="1:6" ht="14.25" thickBot="1">
      <c r="A6" s="1852" t="s">
        <v>1092</v>
      </c>
      <c r="B6" s="1856" t="s">
        <v>2086</v>
      </c>
      <c r="C6" s="1857">
        <v>0.1</v>
      </c>
      <c r="D6" s="1857">
        <v>9.0999999999999998E-2</v>
      </c>
      <c r="E6" s="1857">
        <v>9.0999999999999998E-2</v>
      </c>
      <c r="F6" s="1858">
        <v>0.1</v>
      </c>
    </row>
    <row r="7" spans="1:6" ht="14.25" thickBot="1">
      <c r="A7" s="1852" t="s">
        <v>1092</v>
      </c>
      <c r="B7" s="1859" t="s">
        <v>1080</v>
      </c>
      <c r="C7" s="1857">
        <v>8.5999999999999993E-2</v>
      </c>
      <c r="D7" s="1857">
        <v>9.6000000000000002E-2</v>
      </c>
      <c r="E7" s="1857">
        <v>7.5999999999999998E-2</v>
      </c>
      <c r="F7" s="1858">
        <v>0.1</v>
      </c>
    </row>
    <row r="8" spans="1:6" ht="14.25" thickBot="1">
      <c r="A8" s="1852" t="s">
        <v>1092</v>
      </c>
      <c r="B8" s="1856" t="s">
        <v>1093</v>
      </c>
      <c r="C8" s="1857">
        <v>9.9000000000000005E-2</v>
      </c>
      <c r="D8" s="1857">
        <v>9.8000000000000004E-2</v>
      </c>
      <c r="E8" s="1857">
        <v>9.8000000000000004E-2</v>
      </c>
      <c r="F8" s="1858">
        <v>0.1</v>
      </c>
    </row>
    <row r="9" spans="1:6" ht="14.25" thickBot="1">
      <c r="A9" s="1860" t="s">
        <v>1092</v>
      </c>
      <c r="B9" s="1861" t="s">
        <v>1107</v>
      </c>
      <c r="C9" s="1862">
        <v>0.05</v>
      </c>
      <c r="D9" s="1863"/>
      <c r="E9" s="1863"/>
      <c r="F9" s="1864"/>
    </row>
    <row r="10" spans="1:6" ht="14.25" thickBot="1">
      <c r="A10" s="1852" t="s">
        <v>1151</v>
      </c>
      <c r="B10" s="1853" t="s">
        <v>2087</v>
      </c>
      <c r="C10" s="1854">
        <v>8.8999999999999996E-2</v>
      </c>
      <c r="D10" s="1854">
        <v>7.2999999999999995E-2</v>
      </c>
      <c r="E10" s="1854">
        <v>8.2000000000000003E-2</v>
      </c>
      <c r="F10" s="1855">
        <v>0.1</v>
      </c>
    </row>
    <row r="11" spans="1:6" ht="14.25" thickBot="1">
      <c r="A11" s="1852" t="s">
        <v>1151</v>
      </c>
      <c r="B11" s="1859" t="s">
        <v>1067</v>
      </c>
      <c r="C11" s="1857">
        <v>8.8999999999999996E-2</v>
      </c>
      <c r="D11" s="1857">
        <v>7.2999999999999995E-2</v>
      </c>
      <c r="E11" s="1857">
        <v>8.2000000000000003E-2</v>
      </c>
      <c r="F11" s="1858">
        <v>0.1</v>
      </c>
    </row>
    <row r="12" spans="1:6" ht="14.25" thickBot="1">
      <c r="A12" s="1852" t="s">
        <v>1151</v>
      </c>
      <c r="B12" s="1859" t="s">
        <v>1081</v>
      </c>
      <c r="C12" s="1857">
        <v>6.0999999999999999E-2</v>
      </c>
      <c r="D12" s="1857">
        <v>7.0999999999999994E-2</v>
      </c>
      <c r="E12" s="1857">
        <v>9.6000000000000002E-2</v>
      </c>
      <c r="F12" s="1858">
        <v>0.1</v>
      </c>
    </row>
    <row r="13" spans="1:6" ht="14.25" thickBot="1">
      <c r="A13" s="1852" t="s">
        <v>1151</v>
      </c>
      <c r="B13" s="1859" t="s">
        <v>1094</v>
      </c>
      <c r="C13" s="1857">
        <v>6.9000000000000006E-2</v>
      </c>
      <c r="D13" s="1857">
        <v>6.5000000000000002E-2</v>
      </c>
      <c r="E13" s="1857">
        <v>6.6000000000000003E-2</v>
      </c>
      <c r="F13" s="1858">
        <v>0.1</v>
      </c>
    </row>
    <row r="14" spans="1:6" ht="14.25" thickBot="1">
      <c r="A14" s="1852" t="s">
        <v>1151</v>
      </c>
      <c r="B14" s="1859" t="s">
        <v>1108</v>
      </c>
      <c r="C14" s="1857">
        <v>0.1</v>
      </c>
      <c r="D14" s="1857">
        <v>6.5000000000000002E-2</v>
      </c>
      <c r="E14" s="1857">
        <v>7.0000000000000007E-2</v>
      </c>
      <c r="F14" s="1858">
        <v>0.1</v>
      </c>
    </row>
    <row r="15" spans="1:6" ht="14.25" thickBot="1">
      <c r="A15" s="1852" t="s">
        <v>1151</v>
      </c>
      <c r="B15" s="1859" t="s">
        <v>1119</v>
      </c>
      <c r="C15" s="1857">
        <v>9.8000000000000004E-2</v>
      </c>
      <c r="D15" s="1857">
        <v>8.8999999999999996E-2</v>
      </c>
      <c r="E15" s="1857">
        <v>8.8999999999999996E-2</v>
      </c>
      <c r="F15" s="1858">
        <v>0.1</v>
      </c>
    </row>
    <row r="16" spans="1:6" ht="14.25" thickBot="1">
      <c r="A16" s="1852" t="s">
        <v>1151</v>
      </c>
      <c r="B16" s="1859" t="s">
        <v>1130</v>
      </c>
      <c r="C16" s="1857">
        <v>7.0000000000000007E-2</v>
      </c>
      <c r="D16" s="1857">
        <v>9.2999999999999999E-2</v>
      </c>
      <c r="E16" s="1857">
        <v>9.6000000000000002E-2</v>
      </c>
      <c r="F16" s="1858">
        <v>0.1</v>
      </c>
    </row>
    <row r="17" spans="1:6" ht="14.25" thickBot="1">
      <c r="A17" s="1852" t="s">
        <v>1151</v>
      </c>
      <c r="B17" s="1859" t="s">
        <v>1141</v>
      </c>
      <c r="C17" s="1857">
        <v>9.5000000000000001E-2</v>
      </c>
      <c r="D17" s="1857">
        <v>0.1</v>
      </c>
      <c r="E17" s="1857">
        <v>0.1</v>
      </c>
      <c r="F17" s="1865"/>
    </row>
    <row r="18" spans="1:6" ht="14.25" thickBot="1">
      <c r="A18" s="1852" t="s">
        <v>1151</v>
      </c>
      <c r="B18" s="1859" t="s">
        <v>1153</v>
      </c>
      <c r="C18" s="1857">
        <v>7.3999999999999996E-2</v>
      </c>
      <c r="D18" s="1857">
        <v>9.9000000000000005E-2</v>
      </c>
      <c r="E18" s="1857">
        <v>0.1</v>
      </c>
      <c r="F18" s="1865"/>
    </row>
    <row r="19" spans="1:6" ht="14.25" thickBot="1">
      <c r="A19" s="1852" t="s">
        <v>1151</v>
      </c>
      <c r="B19" s="1859" t="s">
        <v>1163</v>
      </c>
      <c r="C19" s="1857">
        <v>9.9000000000000005E-2</v>
      </c>
      <c r="D19" s="1857">
        <v>7.5999999999999998E-2</v>
      </c>
      <c r="E19" s="1857">
        <v>8.6999999999999994E-2</v>
      </c>
      <c r="F19" s="1865"/>
    </row>
    <row r="20" spans="1:6" ht="14.25" thickBot="1">
      <c r="A20" s="1852" t="s">
        <v>1151</v>
      </c>
      <c r="B20" s="1859" t="s">
        <v>1173</v>
      </c>
      <c r="C20" s="1857">
        <v>9.8000000000000004E-2</v>
      </c>
      <c r="D20" s="1857">
        <v>8.5000000000000006E-2</v>
      </c>
      <c r="E20" s="1857">
        <v>8.2000000000000003E-2</v>
      </c>
      <c r="F20" s="1865"/>
    </row>
    <row r="21" spans="1:6" ht="14.25" thickBot="1">
      <c r="A21" s="1852" t="s">
        <v>1151</v>
      </c>
      <c r="B21" s="1859" t="s">
        <v>1183</v>
      </c>
      <c r="C21" s="1857">
        <v>6.6000000000000003E-2</v>
      </c>
      <c r="D21" s="1857">
        <v>6.4000000000000001E-2</v>
      </c>
      <c r="E21" s="1857">
        <v>6.5000000000000002E-2</v>
      </c>
      <c r="F21" s="1865"/>
    </row>
    <row r="22" spans="1:6" ht="14.25" thickBot="1">
      <c r="A22" s="1852" t="s">
        <v>1151</v>
      </c>
      <c r="B22" s="1859" t="s">
        <v>2088</v>
      </c>
      <c r="C22" s="1857">
        <v>0.08</v>
      </c>
      <c r="D22" s="1857">
        <v>9.8000000000000004E-2</v>
      </c>
      <c r="E22" s="1857">
        <v>9.8000000000000004E-2</v>
      </c>
      <c r="F22" s="1865"/>
    </row>
    <row r="23" spans="1:6" ht="14.25" thickBot="1">
      <c r="A23" s="1852" t="s">
        <v>1151</v>
      </c>
      <c r="B23" s="1859" t="s">
        <v>1203</v>
      </c>
      <c r="C23" s="1857">
        <v>9.9000000000000005E-2</v>
      </c>
      <c r="D23" s="1857">
        <v>9.8000000000000004E-2</v>
      </c>
      <c r="E23" s="1857">
        <v>9.0999999999999998E-2</v>
      </c>
      <c r="F23" s="1865"/>
    </row>
    <row r="24" spans="1:6" ht="14.25" thickBot="1">
      <c r="A24" s="1852" t="s">
        <v>1151</v>
      </c>
      <c r="B24" s="1859" t="s">
        <v>1213</v>
      </c>
      <c r="C24" s="1857">
        <v>8.8999999999999996E-2</v>
      </c>
      <c r="D24" s="1857">
        <v>9.7000000000000003E-2</v>
      </c>
      <c r="E24" s="1857">
        <v>7.0000000000000007E-2</v>
      </c>
      <c r="F24" s="1865"/>
    </row>
    <row r="25" spans="1:6" ht="14.25" thickBot="1">
      <c r="A25" s="1852" t="s">
        <v>1151</v>
      </c>
      <c r="B25" s="1859" t="s">
        <v>1223</v>
      </c>
      <c r="C25" s="1857">
        <v>8.8999999999999996E-2</v>
      </c>
      <c r="D25" s="1857">
        <v>0.1</v>
      </c>
      <c r="E25" s="1857">
        <v>8.1000000000000003E-2</v>
      </c>
      <c r="F25" s="1865"/>
    </row>
    <row r="26" spans="1:6" ht="14.25" thickBot="1">
      <c r="A26" s="1852" t="s">
        <v>1151</v>
      </c>
      <c r="B26" s="1859" t="s">
        <v>1233</v>
      </c>
      <c r="C26" s="1866"/>
      <c r="D26" s="1857">
        <v>9.6000000000000002E-2</v>
      </c>
      <c r="E26" s="1857">
        <v>9.2999999999999999E-2</v>
      </c>
      <c r="F26" s="1865"/>
    </row>
    <row r="27" spans="1:6" ht="14.25" thickBot="1">
      <c r="A27" s="1852" t="s">
        <v>1151</v>
      </c>
      <c r="B27" s="1859" t="s">
        <v>1243</v>
      </c>
      <c r="C27" s="1866"/>
      <c r="D27" s="1857">
        <v>7.5999999999999998E-2</v>
      </c>
      <c r="E27" s="1857">
        <v>9.1999999999999998E-2</v>
      </c>
      <c r="F27" s="1865"/>
    </row>
    <row r="28" spans="1:6" ht="14.25" thickBot="1">
      <c r="A28" s="1860" t="s">
        <v>1151</v>
      </c>
      <c r="B28" s="1861" t="s">
        <v>1253</v>
      </c>
      <c r="C28" s="1863"/>
      <c r="D28" s="1862">
        <v>7.5999999999999998E-2</v>
      </c>
      <c r="E28" s="1862">
        <v>9.1999999999999998E-2</v>
      </c>
      <c r="F28" s="1864"/>
    </row>
    <row r="29" spans="1:6" ht="14.25" thickBot="1">
      <c r="A29" s="1852" t="s">
        <v>1322</v>
      </c>
      <c r="B29" s="1853" t="s">
        <v>2089</v>
      </c>
      <c r="C29" s="1854">
        <v>6.4000000000000001E-2</v>
      </c>
      <c r="D29" s="1854">
        <v>6.5000000000000002E-2</v>
      </c>
      <c r="E29" s="1854">
        <v>6.9000000000000006E-2</v>
      </c>
      <c r="F29" s="1855">
        <v>0.1</v>
      </c>
    </row>
    <row r="30" spans="1:6" ht="14.25" thickBot="1">
      <c r="A30" s="1852" t="s">
        <v>1322</v>
      </c>
      <c r="B30" s="1859" t="s">
        <v>1068</v>
      </c>
      <c r="C30" s="1857">
        <v>6.4000000000000001E-2</v>
      </c>
      <c r="D30" s="1857">
        <v>9.9000000000000005E-2</v>
      </c>
      <c r="E30" s="1857">
        <v>0.1</v>
      </c>
      <c r="F30" s="1858">
        <v>0.1</v>
      </c>
    </row>
    <row r="31" spans="1:6" ht="14.25" thickBot="1">
      <c r="A31" s="1852" t="s">
        <v>1322</v>
      </c>
      <c r="B31" s="1859" t="s">
        <v>1082</v>
      </c>
      <c r="C31" s="1857">
        <v>0.1</v>
      </c>
      <c r="D31" s="1857">
        <v>9.5000000000000001E-2</v>
      </c>
      <c r="E31" s="1857">
        <v>8.8999999999999996E-2</v>
      </c>
      <c r="F31" s="1858">
        <v>0.1</v>
      </c>
    </row>
    <row r="32" spans="1:6" ht="14.25" thickBot="1">
      <c r="A32" s="1852" t="s">
        <v>1322</v>
      </c>
      <c r="B32" s="1859" t="s">
        <v>1095</v>
      </c>
      <c r="C32" s="1857">
        <v>0.05</v>
      </c>
      <c r="D32" s="1857">
        <v>0.05</v>
      </c>
      <c r="E32" s="1857">
        <v>8.7999999999999995E-2</v>
      </c>
      <c r="F32" s="1858">
        <v>0.1</v>
      </c>
    </row>
    <row r="33" spans="1:6" ht="14.25" thickBot="1">
      <c r="A33" s="1852" t="s">
        <v>1322</v>
      </c>
      <c r="B33" s="1859" t="s">
        <v>1109</v>
      </c>
      <c r="C33" s="1857">
        <v>7.4999999999999997E-2</v>
      </c>
      <c r="D33" s="1857">
        <v>9.4E-2</v>
      </c>
      <c r="E33" s="1857">
        <v>9.7000000000000003E-2</v>
      </c>
      <c r="F33" s="1858">
        <v>0.1</v>
      </c>
    </row>
    <row r="34" spans="1:6" ht="14.25" thickBot="1">
      <c r="A34" s="1852" t="s">
        <v>1322</v>
      </c>
      <c r="B34" s="1859" t="s">
        <v>1120</v>
      </c>
      <c r="C34" s="1857">
        <v>9.8000000000000004E-2</v>
      </c>
      <c r="D34" s="1857">
        <v>8.5999999999999993E-2</v>
      </c>
      <c r="E34" s="1857">
        <v>9.7000000000000003E-2</v>
      </c>
      <c r="F34" s="1858">
        <v>0.1</v>
      </c>
    </row>
    <row r="35" spans="1:6" ht="14.25" thickBot="1">
      <c r="A35" s="1852" t="s">
        <v>1322</v>
      </c>
      <c r="B35" s="1859" t="s">
        <v>1131</v>
      </c>
      <c r="C35" s="1857">
        <v>5.8999999999999997E-2</v>
      </c>
      <c r="D35" s="1857">
        <v>6.5000000000000002E-2</v>
      </c>
      <c r="E35" s="1857">
        <v>7.0000000000000007E-2</v>
      </c>
      <c r="F35" s="1858">
        <v>0.1</v>
      </c>
    </row>
    <row r="36" spans="1:6" ht="14.25" thickBot="1">
      <c r="A36" s="1852" t="s">
        <v>1322</v>
      </c>
      <c r="B36" s="1859" t="s">
        <v>1142</v>
      </c>
      <c r="C36" s="1857">
        <v>6.3E-2</v>
      </c>
      <c r="D36" s="1857">
        <v>0.1</v>
      </c>
      <c r="E36" s="1857">
        <v>0.1</v>
      </c>
      <c r="F36" s="1858">
        <v>0.1</v>
      </c>
    </row>
    <row r="37" spans="1:6" ht="14.25" thickBot="1">
      <c r="A37" s="1852" t="s">
        <v>1322</v>
      </c>
      <c r="B37" s="1859" t="s">
        <v>1154</v>
      </c>
      <c r="C37" s="1857">
        <v>7.3999999999999996E-2</v>
      </c>
      <c r="D37" s="1857">
        <v>0.1</v>
      </c>
      <c r="E37" s="1857">
        <v>0.1</v>
      </c>
      <c r="F37" s="1858">
        <v>0.1</v>
      </c>
    </row>
    <row r="38" spans="1:6" ht="14.25" thickBot="1">
      <c r="A38" s="1852" t="s">
        <v>1322</v>
      </c>
      <c r="B38" s="1859" t="s">
        <v>1164</v>
      </c>
      <c r="C38" s="1857">
        <v>0.1</v>
      </c>
      <c r="D38" s="1857">
        <v>9.6000000000000002E-2</v>
      </c>
      <c r="E38" s="1857">
        <v>9.6000000000000002E-2</v>
      </c>
      <c r="F38" s="1865"/>
    </row>
    <row r="39" spans="1:6" ht="14.25" thickBot="1">
      <c r="A39" s="1852" t="s">
        <v>1322</v>
      </c>
      <c r="B39" s="1859" t="s">
        <v>1174</v>
      </c>
      <c r="C39" s="1857">
        <v>0.1</v>
      </c>
      <c r="D39" s="1857">
        <v>9.6000000000000002E-2</v>
      </c>
      <c r="E39" s="1857">
        <v>9.6000000000000002E-2</v>
      </c>
      <c r="F39" s="1865"/>
    </row>
    <row r="40" spans="1:6" ht="14.25" thickBot="1">
      <c r="A40" s="1852" t="s">
        <v>1322</v>
      </c>
      <c r="B40" s="1859" t="s">
        <v>1184</v>
      </c>
      <c r="C40" s="1857">
        <v>9.6000000000000002E-2</v>
      </c>
      <c r="D40" s="1857">
        <v>0.1</v>
      </c>
      <c r="E40" s="1857">
        <v>9.9000000000000005E-2</v>
      </c>
      <c r="F40" s="1865"/>
    </row>
    <row r="41" spans="1:6" ht="14.25" thickBot="1">
      <c r="A41" s="1852" t="s">
        <v>1322</v>
      </c>
      <c r="B41" s="1859" t="s">
        <v>1194</v>
      </c>
      <c r="C41" s="1857">
        <v>9.6000000000000002E-2</v>
      </c>
      <c r="D41" s="1857">
        <v>9.8000000000000004E-2</v>
      </c>
      <c r="E41" s="1857">
        <v>9.8000000000000004E-2</v>
      </c>
      <c r="F41" s="1865"/>
    </row>
    <row r="42" spans="1:6" ht="14.25" thickBot="1">
      <c r="A42" s="1852" t="s">
        <v>1322</v>
      </c>
      <c r="B42" s="1859" t="s">
        <v>1204</v>
      </c>
      <c r="C42" s="1857">
        <v>0.1</v>
      </c>
      <c r="D42" s="1857">
        <v>8.7999999999999995E-2</v>
      </c>
      <c r="E42" s="1857">
        <v>0.1</v>
      </c>
      <c r="F42" s="1865"/>
    </row>
    <row r="43" spans="1:6" ht="14.25" thickBot="1">
      <c r="A43" s="1852" t="s">
        <v>1322</v>
      </c>
      <c r="B43" s="1859" t="s">
        <v>1214</v>
      </c>
      <c r="C43" s="1857">
        <v>9.8000000000000004E-2</v>
      </c>
      <c r="D43" s="1857">
        <v>9.7000000000000003E-2</v>
      </c>
      <c r="E43" s="1857">
        <v>9.6000000000000002E-2</v>
      </c>
      <c r="F43" s="1865"/>
    </row>
    <row r="44" spans="1:6" ht="14.25" thickBot="1">
      <c r="A44" s="1852" t="s">
        <v>1322</v>
      </c>
      <c r="B44" s="1859" t="s">
        <v>1224</v>
      </c>
      <c r="C44" s="1857">
        <v>8.5999999999999993E-2</v>
      </c>
      <c r="D44" s="1857">
        <v>7.9000000000000001E-2</v>
      </c>
      <c r="E44" s="1857">
        <v>7.0999999999999994E-2</v>
      </c>
      <c r="F44" s="1865"/>
    </row>
    <row r="45" spans="1:6" ht="14.25" thickBot="1">
      <c r="A45" s="1852" t="s">
        <v>1322</v>
      </c>
      <c r="B45" s="1859" t="s">
        <v>1234</v>
      </c>
      <c r="C45" s="1857">
        <v>9.8000000000000004E-2</v>
      </c>
      <c r="D45" s="1857">
        <v>9.6000000000000002E-2</v>
      </c>
      <c r="E45" s="1857">
        <v>9.6000000000000002E-2</v>
      </c>
      <c r="F45" s="1865"/>
    </row>
    <row r="46" spans="1:6" ht="14.25" thickBot="1">
      <c r="A46" s="1852" t="s">
        <v>1322</v>
      </c>
      <c r="B46" s="1859" t="s">
        <v>1244</v>
      </c>
      <c r="C46" s="1857">
        <v>8.5999999999999993E-2</v>
      </c>
      <c r="D46" s="1857">
        <v>9.8000000000000004E-2</v>
      </c>
      <c r="E46" s="1857">
        <v>8.7999999999999995E-2</v>
      </c>
      <c r="F46" s="1865"/>
    </row>
    <row r="47" spans="1:6" ht="14.25" thickBot="1">
      <c r="A47" s="1852" t="s">
        <v>1322</v>
      </c>
      <c r="B47" s="1859" t="s">
        <v>1254</v>
      </c>
      <c r="C47" s="1857">
        <v>9.6000000000000002E-2</v>
      </c>
      <c r="D47" s="1866"/>
      <c r="E47" s="1857">
        <v>6.9000000000000006E-2</v>
      </c>
      <c r="F47" s="1865"/>
    </row>
    <row r="48" spans="1:6" ht="14.25" thickBot="1">
      <c r="A48" s="1860" t="s">
        <v>1322</v>
      </c>
      <c r="B48" s="1861" t="s">
        <v>1263</v>
      </c>
      <c r="C48" s="1862">
        <v>9.8000000000000004E-2</v>
      </c>
      <c r="D48" s="1863"/>
      <c r="E48" s="1862">
        <v>9.5000000000000001E-2</v>
      </c>
      <c r="F48" s="1864"/>
    </row>
    <row r="49" spans="1:6" ht="14.25" thickBot="1">
      <c r="A49" s="1852" t="s">
        <v>920</v>
      </c>
      <c r="B49" s="1853" t="s">
        <v>2090</v>
      </c>
      <c r="C49" s="1854">
        <v>9.7000000000000003E-2</v>
      </c>
      <c r="D49" s="1854">
        <v>9.5000000000000001E-2</v>
      </c>
      <c r="E49" s="1854">
        <v>9.7000000000000003E-2</v>
      </c>
      <c r="F49" s="1855">
        <v>0.1</v>
      </c>
    </row>
    <row r="50" spans="1:6" ht="14.25" thickBot="1">
      <c r="A50" s="1852" t="s">
        <v>920</v>
      </c>
      <c r="B50" s="1856" t="s">
        <v>1069</v>
      </c>
      <c r="C50" s="1857">
        <v>7.4999999999999997E-2</v>
      </c>
      <c r="D50" s="1857">
        <v>9.5000000000000001E-2</v>
      </c>
      <c r="E50" s="1857">
        <v>0.1</v>
      </c>
      <c r="F50" s="1858">
        <v>0.1</v>
      </c>
    </row>
    <row r="51" spans="1:6" ht="14.25" thickBot="1">
      <c r="A51" s="1852" t="s">
        <v>920</v>
      </c>
      <c r="B51" s="1856" t="s">
        <v>1083</v>
      </c>
      <c r="C51" s="1857">
        <v>9.8000000000000004E-2</v>
      </c>
      <c r="D51" s="1857">
        <v>8.8999999999999996E-2</v>
      </c>
      <c r="E51" s="1857">
        <v>0.1</v>
      </c>
      <c r="F51" s="1858">
        <v>0.1</v>
      </c>
    </row>
    <row r="52" spans="1:6" ht="14.25" thickBot="1">
      <c r="A52" s="1852" t="s">
        <v>920</v>
      </c>
      <c r="B52" s="1856" t="s">
        <v>1096</v>
      </c>
      <c r="C52" s="1857">
        <v>9.8000000000000004E-2</v>
      </c>
      <c r="D52" s="1857">
        <v>9.7000000000000003E-2</v>
      </c>
      <c r="E52" s="1857">
        <v>8.1000000000000003E-2</v>
      </c>
      <c r="F52" s="1858">
        <v>0.1</v>
      </c>
    </row>
    <row r="53" spans="1:6" ht="14.25" thickBot="1">
      <c r="A53" s="1852" t="s">
        <v>920</v>
      </c>
      <c r="B53" s="1856" t="s">
        <v>1110</v>
      </c>
      <c r="C53" s="1857">
        <v>9.7000000000000003E-2</v>
      </c>
      <c r="D53" s="1857">
        <v>7.5999999999999998E-2</v>
      </c>
      <c r="E53" s="1857">
        <v>7.0999999999999994E-2</v>
      </c>
      <c r="F53" s="1858">
        <v>0.1</v>
      </c>
    </row>
    <row r="54" spans="1:6" ht="14.25" thickBot="1">
      <c r="A54" s="1852" t="s">
        <v>920</v>
      </c>
      <c r="B54" s="1856" t="s">
        <v>1121</v>
      </c>
      <c r="C54" s="1857">
        <v>7.5999999999999998E-2</v>
      </c>
      <c r="D54" s="1857">
        <v>0.1</v>
      </c>
      <c r="E54" s="1857">
        <v>9.9000000000000005E-2</v>
      </c>
      <c r="F54" s="1858">
        <v>0.1</v>
      </c>
    </row>
    <row r="55" spans="1:6" ht="14.25" thickBot="1">
      <c r="A55" s="1852" t="s">
        <v>920</v>
      </c>
      <c r="B55" s="1856" t="s">
        <v>1132</v>
      </c>
      <c r="C55" s="1857">
        <v>0.1</v>
      </c>
      <c r="D55" s="1857">
        <v>0.1</v>
      </c>
      <c r="E55" s="1857">
        <v>9.6000000000000002E-2</v>
      </c>
      <c r="F55" s="1858">
        <v>0.1</v>
      </c>
    </row>
    <row r="56" spans="1:6" ht="14.25" thickBot="1">
      <c r="A56" s="1852" t="s">
        <v>920</v>
      </c>
      <c r="B56" s="1856" t="s">
        <v>1143</v>
      </c>
      <c r="C56" s="1857">
        <v>0.1</v>
      </c>
      <c r="D56" s="1857">
        <v>9.6000000000000002E-2</v>
      </c>
      <c r="E56" s="1857">
        <v>5.1999999999999998E-2</v>
      </c>
      <c r="F56" s="1858">
        <v>0.1</v>
      </c>
    </row>
    <row r="57" spans="1:6" ht="14.25" thickBot="1">
      <c r="A57" s="1852" t="s">
        <v>920</v>
      </c>
      <c r="B57" s="1856" t="s">
        <v>1155</v>
      </c>
      <c r="C57" s="1857">
        <v>9.7000000000000003E-2</v>
      </c>
      <c r="D57" s="1857">
        <v>9.6000000000000002E-2</v>
      </c>
      <c r="E57" s="1857">
        <v>9.6000000000000002E-2</v>
      </c>
      <c r="F57" s="1858">
        <v>0.1</v>
      </c>
    </row>
    <row r="58" spans="1:6" ht="14.25" thickBot="1">
      <c r="A58" s="1852" t="s">
        <v>920</v>
      </c>
      <c r="B58" s="1856" t="s">
        <v>1165</v>
      </c>
      <c r="C58" s="1857">
        <v>9.6000000000000002E-2</v>
      </c>
      <c r="D58" s="1857">
        <v>9.9000000000000005E-2</v>
      </c>
      <c r="E58" s="1857">
        <v>9.6000000000000002E-2</v>
      </c>
      <c r="F58" s="1858">
        <v>0.1</v>
      </c>
    </row>
    <row r="59" spans="1:6" ht="14.25" thickBot="1">
      <c r="A59" s="1852" t="s">
        <v>920</v>
      </c>
      <c r="B59" s="1856" t="s">
        <v>1175</v>
      </c>
      <c r="C59" s="1857">
        <v>7.1999999999999995E-2</v>
      </c>
      <c r="D59" s="1857">
        <v>9.6000000000000002E-2</v>
      </c>
      <c r="E59" s="1857">
        <v>7.0999999999999994E-2</v>
      </c>
      <c r="F59" s="1858">
        <v>0.1</v>
      </c>
    </row>
    <row r="60" spans="1:6" ht="14.25" thickBot="1">
      <c r="A60" s="1852" t="s">
        <v>920</v>
      </c>
      <c r="B60" s="1856" t="s">
        <v>1185</v>
      </c>
      <c r="C60" s="1857">
        <v>9.6000000000000002E-2</v>
      </c>
      <c r="D60" s="1857">
        <v>8.8999999999999996E-2</v>
      </c>
      <c r="E60" s="1857">
        <v>9.6000000000000002E-2</v>
      </c>
      <c r="F60" s="1858">
        <v>0.1</v>
      </c>
    </row>
    <row r="61" spans="1:6" ht="14.25" thickBot="1">
      <c r="A61" s="1852" t="s">
        <v>920</v>
      </c>
      <c r="B61" s="1856" t="s">
        <v>1195</v>
      </c>
      <c r="C61" s="1857">
        <v>8.8999999999999996E-2</v>
      </c>
      <c r="D61" s="1857">
        <v>9.8000000000000004E-2</v>
      </c>
      <c r="E61" s="1857">
        <v>8.7999999999999995E-2</v>
      </c>
      <c r="F61" s="1865"/>
    </row>
    <row r="62" spans="1:6" ht="14.25" thickBot="1">
      <c r="A62" s="1852" t="s">
        <v>920</v>
      </c>
      <c r="B62" s="1856" t="s">
        <v>1205</v>
      </c>
      <c r="C62" s="1857">
        <v>9.8000000000000004E-2</v>
      </c>
      <c r="D62" s="1857">
        <v>9.2999999999999999E-2</v>
      </c>
      <c r="E62" s="1857">
        <v>9.7000000000000003E-2</v>
      </c>
      <c r="F62" s="1865"/>
    </row>
    <row r="63" spans="1:6" ht="14.25" thickBot="1">
      <c r="A63" s="1852" t="s">
        <v>920</v>
      </c>
      <c r="B63" s="1856" t="s">
        <v>1215</v>
      </c>
      <c r="C63" s="1857">
        <v>9.6000000000000002E-2</v>
      </c>
      <c r="D63" s="1857">
        <v>9.8000000000000004E-2</v>
      </c>
      <c r="E63" s="1857">
        <v>0.09</v>
      </c>
      <c r="F63" s="1865"/>
    </row>
    <row r="64" spans="1:6" ht="14.25" thickBot="1">
      <c r="A64" s="1852" t="s">
        <v>920</v>
      </c>
      <c r="B64" s="1856" t="s">
        <v>1225</v>
      </c>
      <c r="C64" s="1857">
        <v>9.9000000000000005E-2</v>
      </c>
      <c r="D64" s="1857">
        <v>9.7000000000000003E-2</v>
      </c>
      <c r="E64" s="1857">
        <v>9.9000000000000005E-2</v>
      </c>
      <c r="F64" s="1865"/>
    </row>
    <row r="65" spans="1:6" ht="14.25" thickBot="1">
      <c r="A65" s="1852" t="s">
        <v>920</v>
      </c>
      <c r="B65" s="1856" t="s">
        <v>1235</v>
      </c>
      <c r="C65" s="1857">
        <v>9.8000000000000004E-2</v>
      </c>
      <c r="D65" s="1857">
        <v>9.6000000000000002E-2</v>
      </c>
      <c r="E65" s="1857">
        <v>9.6000000000000002E-2</v>
      </c>
      <c r="F65" s="1865"/>
    </row>
    <row r="66" spans="1:6" ht="14.25" thickBot="1">
      <c r="A66" s="1852" t="s">
        <v>920</v>
      </c>
      <c r="B66" s="1856" t="s">
        <v>1245</v>
      </c>
      <c r="C66" s="1857">
        <v>9.6000000000000002E-2</v>
      </c>
      <c r="D66" s="1857">
        <v>9.1999999999999998E-2</v>
      </c>
      <c r="E66" s="1857">
        <v>9.6000000000000002E-2</v>
      </c>
      <c r="F66" s="1865"/>
    </row>
    <row r="67" spans="1:6" ht="14.25" thickBot="1">
      <c r="A67" s="1852" t="s">
        <v>920</v>
      </c>
      <c r="B67" s="1856" t="s">
        <v>1255</v>
      </c>
      <c r="C67" s="1857">
        <v>9.4E-2</v>
      </c>
      <c r="D67" s="1857">
        <v>0.1</v>
      </c>
      <c r="E67" s="1857">
        <v>8.7999999999999995E-2</v>
      </c>
      <c r="F67" s="1865"/>
    </row>
    <row r="68" spans="1:6" ht="14.25" thickBot="1">
      <c r="A68" s="1852" t="s">
        <v>920</v>
      </c>
      <c r="B68" s="1856" t="s">
        <v>1264</v>
      </c>
      <c r="C68" s="1857">
        <v>0.1</v>
      </c>
      <c r="D68" s="1857">
        <v>8.7999999999999995E-2</v>
      </c>
      <c r="E68" s="1857">
        <v>9.7000000000000003E-2</v>
      </c>
      <c r="F68" s="1865"/>
    </row>
    <row r="69" spans="1:6" ht="14.25" thickBot="1">
      <c r="A69" s="1852" t="s">
        <v>920</v>
      </c>
      <c r="B69" s="1856" t="s">
        <v>1273</v>
      </c>
      <c r="C69" s="1857">
        <v>6.4000000000000001E-2</v>
      </c>
      <c r="D69" s="1857">
        <v>0.1</v>
      </c>
      <c r="E69" s="1857">
        <v>0.1</v>
      </c>
      <c r="F69" s="1865"/>
    </row>
    <row r="70" spans="1:6" ht="14.25" thickBot="1">
      <c r="A70" s="1852" t="s">
        <v>920</v>
      </c>
      <c r="B70" s="1856" t="s">
        <v>1281</v>
      </c>
      <c r="C70" s="1857">
        <v>9.0999999999999998E-2</v>
      </c>
      <c r="D70" s="1866"/>
      <c r="E70" s="1866"/>
      <c r="F70" s="1865"/>
    </row>
    <row r="71" spans="1:6" ht="14.25" thickBot="1">
      <c r="A71" s="1852" t="s">
        <v>920</v>
      </c>
      <c r="B71" s="1856" t="s">
        <v>1288</v>
      </c>
      <c r="C71" s="1857">
        <v>0.1</v>
      </c>
      <c r="D71" s="1866"/>
      <c r="E71" s="1866"/>
      <c r="F71" s="1865"/>
    </row>
    <row r="72" spans="1:6" ht="14.25" thickBot="1">
      <c r="A72" s="1852" t="s">
        <v>920</v>
      </c>
      <c r="B72" s="1856" t="s">
        <v>2091</v>
      </c>
      <c r="C72" s="1866"/>
      <c r="D72" s="1866"/>
      <c r="E72" s="1866"/>
      <c r="F72" s="1858">
        <v>0.05</v>
      </c>
    </row>
    <row r="73" spans="1:6" ht="14.25" thickBot="1">
      <c r="A73" s="1852" t="s">
        <v>920</v>
      </c>
      <c r="B73" s="1856" t="s">
        <v>2092</v>
      </c>
      <c r="C73" s="1866"/>
      <c r="D73" s="1866"/>
      <c r="E73" s="1866"/>
      <c r="F73" s="1858">
        <v>0.05</v>
      </c>
    </row>
    <row r="74" spans="1:6" ht="14.25" thickBot="1">
      <c r="A74" s="1852" t="s">
        <v>920</v>
      </c>
      <c r="B74" s="1856" t="s">
        <v>2093</v>
      </c>
      <c r="C74" s="1866"/>
      <c r="D74" s="1866"/>
      <c r="E74" s="1866"/>
      <c r="F74" s="1858">
        <v>0.05</v>
      </c>
    </row>
    <row r="75" spans="1:6" ht="14.25" thickBot="1">
      <c r="A75" s="1860" t="s">
        <v>920</v>
      </c>
      <c r="B75" s="1867" t="s">
        <v>2094</v>
      </c>
      <c r="C75" s="1863"/>
      <c r="D75" s="1863"/>
      <c r="E75" s="1863"/>
      <c r="F75" s="1868">
        <v>0.05</v>
      </c>
    </row>
    <row r="76" spans="1:6" ht="14.25" thickBot="1">
      <c r="A76" s="1852" t="s">
        <v>1403</v>
      </c>
      <c r="B76" s="1853" t="s">
        <v>2095</v>
      </c>
      <c r="C76" s="1854">
        <v>0.1</v>
      </c>
      <c r="D76" s="1854">
        <v>0.1</v>
      </c>
      <c r="E76" s="1854">
        <v>0.1</v>
      </c>
      <c r="F76" s="1855">
        <v>0.1</v>
      </c>
    </row>
    <row r="77" spans="1:6" ht="14.25" thickBot="1">
      <c r="A77" s="1852" t="s">
        <v>1403</v>
      </c>
      <c r="B77" s="1856" t="s">
        <v>1070</v>
      </c>
      <c r="C77" s="1857">
        <v>8.7999999999999995E-2</v>
      </c>
      <c r="D77" s="1857">
        <v>8.6999999999999994E-2</v>
      </c>
      <c r="E77" s="1857">
        <v>7.9000000000000001E-2</v>
      </c>
      <c r="F77" s="1858">
        <v>0.1</v>
      </c>
    </row>
    <row r="78" spans="1:6" ht="14.25" thickBot="1">
      <c r="A78" s="1852" t="s">
        <v>1403</v>
      </c>
      <c r="B78" s="1856" t="s">
        <v>1084</v>
      </c>
      <c r="C78" s="1857">
        <v>8.6999999999999994E-2</v>
      </c>
      <c r="D78" s="1857">
        <v>8.4000000000000005E-2</v>
      </c>
      <c r="E78" s="1857">
        <v>9.6000000000000002E-2</v>
      </c>
      <c r="F78" s="1858">
        <v>0.1</v>
      </c>
    </row>
    <row r="79" spans="1:6" ht="14.25" thickBot="1">
      <c r="A79" s="1852" t="s">
        <v>1403</v>
      </c>
      <c r="B79" s="1856" t="s">
        <v>1097</v>
      </c>
      <c r="C79" s="1857">
        <v>9.8000000000000004E-2</v>
      </c>
      <c r="D79" s="1857">
        <v>9.8000000000000004E-2</v>
      </c>
      <c r="E79" s="1857">
        <v>9.0999999999999998E-2</v>
      </c>
      <c r="F79" s="1858">
        <v>0.1</v>
      </c>
    </row>
    <row r="80" spans="1:6" ht="14.25" thickBot="1">
      <c r="A80" s="1852" t="s">
        <v>1403</v>
      </c>
      <c r="B80" s="1856" t="s">
        <v>1111</v>
      </c>
      <c r="C80" s="1857">
        <v>9.6000000000000002E-2</v>
      </c>
      <c r="D80" s="1857">
        <v>9.6000000000000002E-2</v>
      </c>
      <c r="E80" s="1857">
        <v>0.1</v>
      </c>
      <c r="F80" s="1858">
        <v>0.1</v>
      </c>
    </row>
    <row r="81" spans="1:6" ht="14.25" thickBot="1">
      <c r="A81" s="1852" t="s">
        <v>1403</v>
      </c>
      <c r="B81" s="1856" t="s">
        <v>1122</v>
      </c>
      <c r="C81" s="1857">
        <v>9.9000000000000005E-2</v>
      </c>
      <c r="D81" s="1857">
        <v>9.9000000000000005E-2</v>
      </c>
      <c r="E81" s="1857">
        <v>9.8000000000000004E-2</v>
      </c>
      <c r="F81" s="1858">
        <v>0.1</v>
      </c>
    </row>
    <row r="82" spans="1:6" ht="14.25" thickBot="1">
      <c r="A82" s="1852" t="s">
        <v>1403</v>
      </c>
      <c r="B82" s="1856" t="s">
        <v>1133</v>
      </c>
      <c r="C82" s="1857">
        <v>9.9000000000000005E-2</v>
      </c>
      <c r="D82" s="1857">
        <v>9.9000000000000005E-2</v>
      </c>
      <c r="E82" s="1857">
        <v>9.7000000000000003E-2</v>
      </c>
      <c r="F82" s="1858">
        <v>0.1</v>
      </c>
    </row>
    <row r="83" spans="1:6" ht="14.25" thickBot="1">
      <c r="A83" s="1852" t="s">
        <v>1403</v>
      </c>
      <c r="B83" s="1856" t="s">
        <v>1144</v>
      </c>
      <c r="C83" s="1857">
        <v>9.8000000000000004E-2</v>
      </c>
      <c r="D83" s="1857">
        <v>9.8000000000000004E-2</v>
      </c>
      <c r="E83" s="1857">
        <v>9.8000000000000004E-2</v>
      </c>
      <c r="F83" s="1858">
        <v>0.1</v>
      </c>
    </row>
    <row r="84" spans="1:6" ht="14.25" thickBot="1">
      <c r="A84" s="1852" t="s">
        <v>1403</v>
      </c>
      <c r="B84" s="1856" t="s">
        <v>1156</v>
      </c>
      <c r="C84" s="1857">
        <v>9.9000000000000005E-2</v>
      </c>
      <c r="D84" s="1857">
        <v>9.9000000000000005E-2</v>
      </c>
      <c r="E84" s="1857">
        <v>9.9000000000000005E-2</v>
      </c>
      <c r="F84" s="1858">
        <v>0.1</v>
      </c>
    </row>
    <row r="85" spans="1:6" ht="14.25" thickBot="1">
      <c r="A85" s="1852" t="s">
        <v>1403</v>
      </c>
      <c r="B85" s="1856" t="s">
        <v>1166</v>
      </c>
      <c r="C85" s="1857">
        <v>9.9000000000000005E-2</v>
      </c>
      <c r="D85" s="1857">
        <v>9.9000000000000005E-2</v>
      </c>
      <c r="E85" s="1857">
        <v>9.9000000000000005E-2</v>
      </c>
      <c r="F85" s="1858">
        <v>0.1</v>
      </c>
    </row>
    <row r="86" spans="1:6" ht="14.25" thickBot="1">
      <c r="A86" s="1852" t="s">
        <v>1403</v>
      </c>
      <c r="B86" s="1856" t="s">
        <v>1176</v>
      </c>
      <c r="C86" s="1857">
        <v>0.1</v>
      </c>
      <c r="D86" s="1857">
        <v>0.1</v>
      </c>
      <c r="E86" s="1857">
        <v>7.6999999999999999E-2</v>
      </c>
      <c r="F86" s="1858">
        <v>0.1</v>
      </c>
    </row>
    <row r="87" spans="1:6" ht="14.25" thickBot="1">
      <c r="A87" s="1852" t="s">
        <v>1403</v>
      </c>
      <c r="B87" s="1856" t="s">
        <v>1186</v>
      </c>
      <c r="C87" s="1857">
        <v>0.1</v>
      </c>
      <c r="D87" s="1857">
        <v>0.1</v>
      </c>
      <c r="E87" s="1857">
        <v>9.8000000000000004E-2</v>
      </c>
      <c r="F87" s="1865"/>
    </row>
    <row r="88" spans="1:6" ht="14.25" thickBot="1">
      <c r="A88" s="1852" t="s">
        <v>1403</v>
      </c>
      <c r="B88" s="1856" t="s">
        <v>1196</v>
      </c>
      <c r="C88" s="1857">
        <v>9.1999999999999998E-2</v>
      </c>
      <c r="D88" s="1857">
        <v>8.5000000000000006E-2</v>
      </c>
      <c r="E88" s="1857">
        <v>9.6000000000000002E-2</v>
      </c>
      <c r="F88" s="1865"/>
    </row>
    <row r="89" spans="1:6" ht="14.25" thickBot="1">
      <c r="A89" s="1852" t="s">
        <v>1403</v>
      </c>
      <c r="B89" s="1856" t="s">
        <v>1206</v>
      </c>
      <c r="C89" s="1857">
        <v>0.1</v>
      </c>
      <c r="D89" s="1857">
        <v>0.1</v>
      </c>
      <c r="E89" s="1857">
        <v>9.7000000000000003E-2</v>
      </c>
      <c r="F89" s="1865"/>
    </row>
    <row r="90" spans="1:6" ht="14.25" thickBot="1">
      <c r="A90" s="1852" t="s">
        <v>1403</v>
      </c>
      <c r="B90" s="1856" t="s">
        <v>1216</v>
      </c>
      <c r="C90" s="1857">
        <v>9.8000000000000004E-2</v>
      </c>
      <c r="D90" s="1857">
        <v>9.8000000000000004E-2</v>
      </c>
      <c r="E90" s="1857">
        <v>8.7999999999999995E-2</v>
      </c>
      <c r="F90" s="1865"/>
    </row>
    <row r="91" spans="1:6" ht="14.25" thickBot="1">
      <c r="A91" s="1852" t="s">
        <v>1403</v>
      </c>
      <c r="B91" s="1856" t="s">
        <v>1226</v>
      </c>
      <c r="C91" s="1857">
        <v>9.9000000000000005E-2</v>
      </c>
      <c r="D91" s="1857">
        <v>9.9000000000000005E-2</v>
      </c>
      <c r="E91" s="1857">
        <v>9.0999999999999998E-2</v>
      </c>
      <c r="F91" s="1865"/>
    </row>
    <row r="92" spans="1:6" ht="14.25" thickBot="1">
      <c r="A92" s="1852" t="s">
        <v>1403</v>
      </c>
      <c r="B92" s="1856" t="s">
        <v>1236</v>
      </c>
      <c r="C92" s="1857">
        <v>9.6000000000000002E-2</v>
      </c>
      <c r="D92" s="1857">
        <v>9.6000000000000002E-2</v>
      </c>
      <c r="E92" s="1857">
        <v>7.2999999999999995E-2</v>
      </c>
      <c r="F92" s="1865"/>
    </row>
    <row r="93" spans="1:6" ht="14.25" thickBot="1">
      <c r="A93" s="1852" t="s">
        <v>1403</v>
      </c>
      <c r="B93" s="1856" t="s">
        <v>1246</v>
      </c>
      <c r="C93" s="1857">
        <v>9.6000000000000002E-2</v>
      </c>
      <c r="D93" s="1857">
        <v>9.6000000000000002E-2</v>
      </c>
      <c r="E93" s="1857">
        <v>9.9000000000000005E-2</v>
      </c>
      <c r="F93" s="1865"/>
    </row>
    <row r="94" spans="1:6" ht="14.25" thickBot="1">
      <c r="A94" s="1852" t="s">
        <v>1403</v>
      </c>
      <c r="B94" s="1856" t="s">
        <v>1256</v>
      </c>
      <c r="C94" s="1857">
        <v>7.5999999999999998E-2</v>
      </c>
      <c r="D94" s="1857">
        <v>7.3999999999999996E-2</v>
      </c>
      <c r="E94" s="1857">
        <v>9.7000000000000003E-2</v>
      </c>
      <c r="F94" s="1865"/>
    </row>
    <row r="95" spans="1:6" ht="14.25" thickBot="1">
      <c r="A95" s="1852" t="s">
        <v>1403</v>
      </c>
      <c r="B95" s="1856" t="s">
        <v>1265</v>
      </c>
      <c r="C95" s="1857">
        <v>9.9000000000000005E-2</v>
      </c>
      <c r="D95" s="1857">
        <v>9.4E-2</v>
      </c>
      <c r="E95" s="1857">
        <v>9.6000000000000002E-2</v>
      </c>
      <c r="F95" s="1865"/>
    </row>
    <row r="96" spans="1:6" ht="14.25" thickBot="1">
      <c r="A96" s="1852" t="s">
        <v>1403</v>
      </c>
      <c r="B96" s="1856" t="s">
        <v>1274</v>
      </c>
      <c r="C96" s="1857">
        <v>9.9000000000000005E-2</v>
      </c>
      <c r="D96" s="1857">
        <v>9.9000000000000005E-2</v>
      </c>
      <c r="E96" s="1857">
        <v>9.9000000000000005E-2</v>
      </c>
      <c r="F96" s="1865"/>
    </row>
    <row r="97" spans="1:6" ht="14.25" thickBot="1">
      <c r="A97" s="1852" t="s">
        <v>1403</v>
      </c>
      <c r="B97" s="1856" t="s">
        <v>1282</v>
      </c>
      <c r="C97" s="1857">
        <v>9.8000000000000004E-2</v>
      </c>
      <c r="D97" s="1857">
        <v>9.8000000000000004E-2</v>
      </c>
      <c r="E97" s="1857">
        <v>9.7000000000000003E-2</v>
      </c>
      <c r="F97" s="1865"/>
    </row>
    <row r="98" spans="1:6" ht="14.25" thickBot="1">
      <c r="A98" s="1852" t="s">
        <v>1403</v>
      </c>
      <c r="B98" s="1856" t="s">
        <v>1289</v>
      </c>
      <c r="C98" s="1857">
        <v>0.1</v>
      </c>
      <c r="D98" s="1857">
        <v>0.1</v>
      </c>
      <c r="E98" s="1857">
        <v>9.7000000000000003E-2</v>
      </c>
      <c r="F98" s="1865"/>
    </row>
    <row r="99" spans="1:6" ht="14.25" thickBot="1">
      <c r="A99" s="1852" t="s">
        <v>1403</v>
      </c>
      <c r="B99" s="1856" t="s">
        <v>1296</v>
      </c>
      <c r="C99" s="1857">
        <v>0.1</v>
      </c>
      <c r="D99" s="1857">
        <v>0.1</v>
      </c>
      <c r="E99" s="1866"/>
      <c r="F99" s="1865"/>
    </row>
    <row r="100" spans="1:6" ht="14.25" thickBot="1">
      <c r="A100" s="1852" t="s">
        <v>1403</v>
      </c>
      <c r="B100" s="1856" t="s">
        <v>1303</v>
      </c>
      <c r="C100" s="1857">
        <v>0.09</v>
      </c>
      <c r="D100" s="1857">
        <v>8.8999999999999996E-2</v>
      </c>
      <c r="E100" s="1866"/>
      <c r="F100" s="1865"/>
    </row>
    <row r="101" spans="1:6" ht="14.25" thickBot="1">
      <c r="A101" s="1852" t="s">
        <v>1403</v>
      </c>
      <c r="B101" s="1856" t="s">
        <v>1310</v>
      </c>
      <c r="C101" s="1857">
        <v>9.8000000000000004E-2</v>
      </c>
      <c r="D101" s="1857">
        <v>9.7000000000000003E-2</v>
      </c>
      <c r="E101" s="1866"/>
      <c r="F101" s="1865"/>
    </row>
    <row r="102" spans="1:6" ht="14.25" thickBot="1">
      <c r="A102" s="1852" t="s">
        <v>1403</v>
      </c>
      <c r="B102" s="1856" t="s">
        <v>2096</v>
      </c>
      <c r="C102" s="1866"/>
      <c r="D102" s="1866"/>
      <c r="E102" s="1866"/>
      <c r="F102" s="1858">
        <v>0.05</v>
      </c>
    </row>
    <row r="103" spans="1:6" ht="24.75" thickBot="1">
      <c r="A103" s="1852" t="s">
        <v>1403</v>
      </c>
      <c r="B103" s="1856" t="s">
        <v>2097</v>
      </c>
      <c r="C103" s="1866"/>
      <c r="D103" s="1866"/>
      <c r="E103" s="1866"/>
      <c r="F103" s="1858">
        <v>0.05</v>
      </c>
    </row>
    <row r="104" spans="1:6" ht="14.25" thickBot="1">
      <c r="A104" s="1852" t="s">
        <v>1403</v>
      </c>
      <c r="B104" s="1856" t="s">
        <v>2098</v>
      </c>
      <c r="C104" s="1866"/>
      <c r="D104" s="1866"/>
      <c r="E104" s="1866"/>
      <c r="F104" s="1858">
        <v>0.05</v>
      </c>
    </row>
    <row r="105" spans="1:6" ht="14.25" thickBot="1">
      <c r="A105" s="1852" t="s">
        <v>1403</v>
      </c>
      <c r="B105" s="1856" t="s">
        <v>2099</v>
      </c>
      <c r="C105" s="1866"/>
      <c r="D105" s="1866"/>
      <c r="E105" s="1866"/>
      <c r="F105" s="1858">
        <v>0.05</v>
      </c>
    </row>
    <row r="106" spans="1:6" ht="14.25" thickBot="1">
      <c r="A106" s="1852" t="s">
        <v>1403</v>
      </c>
      <c r="B106" s="1856" t="s">
        <v>2100</v>
      </c>
      <c r="C106" s="1866"/>
      <c r="D106" s="1866"/>
      <c r="E106" s="1866"/>
      <c r="F106" s="1858">
        <v>0.05</v>
      </c>
    </row>
    <row r="107" spans="1:6" ht="24.75" thickBot="1">
      <c r="A107" s="1852" t="s">
        <v>1403</v>
      </c>
      <c r="B107" s="1856" t="s">
        <v>2101</v>
      </c>
      <c r="C107" s="1866"/>
      <c r="D107" s="1866"/>
      <c r="E107" s="1866"/>
      <c r="F107" s="1858">
        <v>0.05</v>
      </c>
    </row>
    <row r="108" spans="1:6" ht="24.75" thickBot="1">
      <c r="A108" s="1852" t="s">
        <v>1403</v>
      </c>
      <c r="B108" s="1856" t="s">
        <v>2102</v>
      </c>
      <c r="C108" s="1866"/>
      <c r="D108" s="1866"/>
      <c r="E108" s="1866"/>
      <c r="F108" s="1858">
        <v>0.05</v>
      </c>
    </row>
    <row r="109" spans="1:6" ht="24.75" thickBot="1">
      <c r="A109" s="1860" t="s">
        <v>1403</v>
      </c>
      <c r="B109" s="1867" t="s">
        <v>2103</v>
      </c>
      <c r="C109" s="1863"/>
      <c r="D109" s="1863"/>
      <c r="E109" s="1863"/>
      <c r="F109" s="1868">
        <v>0.05</v>
      </c>
    </row>
    <row r="110" spans="1:6" ht="14.25" thickBot="1">
      <c r="A110" s="1852" t="s">
        <v>1405</v>
      </c>
      <c r="B110" s="1853" t="s">
        <v>2104</v>
      </c>
      <c r="C110" s="1854">
        <v>0.129</v>
      </c>
      <c r="D110" s="1854">
        <v>0.129</v>
      </c>
      <c r="E110" s="1854">
        <v>0.126</v>
      </c>
      <c r="F110" s="1855">
        <v>0.13</v>
      </c>
    </row>
    <row r="111" spans="1:6" ht="14.25" thickBot="1">
      <c r="A111" s="1852" t="s">
        <v>1405</v>
      </c>
      <c r="B111" s="1856" t="s">
        <v>1071</v>
      </c>
      <c r="C111" s="1857">
        <v>0.11</v>
      </c>
      <c r="D111" s="1857">
        <v>0.11</v>
      </c>
      <c r="E111" s="1857">
        <v>9.9000000000000005E-2</v>
      </c>
      <c r="F111" s="1858">
        <v>0.128</v>
      </c>
    </row>
    <row r="112" spans="1:6" ht="14.25" thickBot="1">
      <c r="A112" s="1852" t="s">
        <v>1405</v>
      </c>
      <c r="B112" s="1856" t="s">
        <v>1085</v>
      </c>
      <c r="C112" s="1857">
        <v>0.125</v>
      </c>
      <c r="D112" s="1857">
        <v>0.125</v>
      </c>
      <c r="E112" s="1857">
        <v>0.12</v>
      </c>
      <c r="F112" s="1858">
        <v>0.125</v>
      </c>
    </row>
    <row r="113" spans="1:6" ht="14.25" thickBot="1">
      <c r="A113" s="1852" t="s">
        <v>1405</v>
      </c>
      <c r="B113" s="1856" t="s">
        <v>1098</v>
      </c>
      <c r="C113" s="1857">
        <v>0.13</v>
      </c>
      <c r="D113" s="1857">
        <v>0.13</v>
      </c>
      <c r="E113" s="1857">
        <v>0.13</v>
      </c>
      <c r="F113" s="1858">
        <v>0.13</v>
      </c>
    </row>
    <row r="114" spans="1:6" ht="14.25" thickBot="1">
      <c r="A114" s="1852" t="s">
        <v>1405</v>
      </c>
      <c r="B114" s="1856" t="s">
        <v>1112</v>
      </c>
      <c r="C114" s="1857">
        <v>0.123</v>
      </c>
      <c r="D114" s="1857">
        <v>0.123</v>
      </c>
      <c r="E114" s="1857">
        <v>0.12</v>
      </c>
      <c r="F114" s="1858">
        <v>0.13</v>
      </c>
    </row>
    <row r="115" spans="1:6" ht="14.25" thickBot="1">
      <c r="A115" s="1852" t="s">
        <v>1405</v>
      </c>
      <c r="B115" s="1856" t="s">
        <v>1123</v>
      </c>
      <c r="C115" s="1857">
        <v>0.125</v>
      </c>
      <c r="D115" s="1857">
        <v>0.125</v>
      </c>
      <c r="E115" s="1857">
        <v>0.11700000000000001</v>
      </c>
      <c r="F115" s="1858">
        <v>0.13</v>
      </c>
    </row>
    <row r="116" spans="1:6" ht="14.25" thickBot="1">
      <c r="A116" s="1852" t="s">
        <v>1405</v>
      </c>
      <c r="B116" s="1856" t="s">
        <v>1134</v>
      </c>
      <c r="C116" s="1857">
        <v>0.11700000000000001</v>
      </c>
      <c r="D116" s="1857">
        <v>0.11700000000000001</v>
      </c>
      <c r="E116" s="1857">
        <v>8.7999999999999995E-2</v>
      </c>
      <c r="F116" s="1858">
        <v>0.13</v>
      </c>
    </row>
    <row r="117" spans="1:6" ht="14.25" thickBot="1">
      <c r="A117" s="1852" t="s">
        <v>1405</v>
      </c>
      <c r="B117" s="1856" t="s">
        <v>1145</v>
      </c>
      <c r="C117" s="1857">
        <v>0.13</v>
      </c>
      <c r="D117" s="1857">
        <v>0.13</v>
      </c>
      <c r="E117" s="1857">
        <v>0.129</v>
      </c>
      <c r="F117" s="1858">
        <v>0.13</v>
      </c>
    </row>
    <row r="118" spans="1:6" ht="14.25" thickBot="1">
      <c r="A118" s="1852" t="s">
        <v>1405</v>
      </c>
      <c r="B118" s="1856" t="s">
        <v>1157</v>
      </c>
      <c r="C118" s="1857">
        <v>0.123</v>
      </c>
      <c r="D118" s="1857">
        <v>0.123</v>
      </c>
      <c r="E118" s="1857">
        <v>0.11600000000000001</v>
      </c>
      <c r="F118" s="1858">
        <v>0.13</v>
      </c>
    </row>
    <row r="119" spans="1:6" ht="14.25" thickBot="1">
      <c r="A119" s="1852" t="s">
        <v>1405</v>
      </c>
      <c r="B119" s="1856" t="s">
        <v>1167</v>
      </c>
      <c r="C119" s="1857">
        <v>0.127</v>
      </c>
      <c r="D119" s="1857">
        <v>0.127</v>
      </c>
      <c r="E119" s="1857">
        <v>0.124</v>
      </c>
      <c r="F119" s="1858">
        <v>0.13</v>
      </c>
    </row>
    <row r="120" spans="1:6" ht="14.25" thickBot="1">
      <c r="A120" s="1852" t="s">
        <v>1405</v>
      </c>
      <c r="B120" s="1856" t="s">
        <v>1177</v>
      </c>
      <c r="C120" s="1857">
        <v>0.125</v>
      </c>
      <c r="D120" s="1857">
        <v>0.125</v>
      </c>
      <c r="E120" s="1857">
        <v>0.122</v>
      </c>
      <c r="F120" s="1858">
        <v>0.13</v>
      </c>
    </row>
    <row r="121" spans="1:6" ht="14.25" thickBot="1">
      <c r="A121" s="1852" t="s">
        <v>1405</v>
      </c>
      <c r="B121" s="1856" t="s">
        <v>1187</v>
      </c>
      <c r="C121" s="1857">
        <v>0.13</v>
      </c>
      <c r="D121" s="1857">
        <v>0.13</v>
      </c>
      <c r="E121" s="1857">
        <v>0.13</v>
      </c>
      <c r="F121" s="1858">
        <v>0.13</v>
      </c>
    </row>
    <row r="122" spans="1:6" ht="14.25" thickBot="1">
      <c r="A122" s="1852" t="s">
        <v>1405</v>
      </c>
      <c r="B122" s="1856" t="s">
        <v>1197</v>
      </c>
      <c r="C122" s="1857">
        <v>0.13</v>
      </c>
      <c r="D122" s="1857">
        <v>0.13</v>
      </c>
      <c r="E122" s="1857">
        <v>0.125</v>
      </c>
      <c r="F122" s="1858">
        <v>0.13</v>
      </c>
    </row>
    <row r="123" spans="1:6" ht="14.25" thickBot="1">
      <c r="A123" s="1852" t="s">
        <v>1405</v>
      </c>
      <c r="B123" s="1856" t="s">
        <v>1207</v>
      </c>
      <c r="C123" s="1857">
        <v>0.129</v>
      </c>
      <c r="D123" s="1857">
        <v>0.129</v>
      </c>
      <c r="E123" s="1857">
        <v>0.123</v>
      </c>
      <c r="F123" s="1858">
        <v>0.13</v>
      </c>
    </row>
    <row r="124" spans="1:6" ht="14.25" thickBot="1">
      <c r="A124" s="1852" t="s">
        <v>1405</v>
      </c>
      <c r="B124" s="1856" t="s">
        <v>1217</v>
      </c>
      <c r="C124" s="1857">
        <v>0.10199999999999999</v>
      </c>
      <c r="D124" s="1857">
        <v>0.10100000000000001</v>
      </c>
      <c r="E124" s="1857">
        <v>0.08</v>
      </c>
      <c r="F124" s="1865"/>
    </row>
    <row r="125" spans="1:6" ht="14.25" thickBot="1">
      <c r="A125" s="1852" t="s">
        <v>1405</v>
      </c>
      <c r="B125" s="1856" t="s">
        <v>1227</v>
      </c>
      <c r="C125" s="1857">
        <v>0.13</v>
      </c>
      <c r="D125" s="1857">
        <v>0.13</v>
      </c>
      <c r="E125" s="1857">
        <v>0.129</v>
      </c>
      <c r="F125" s="1865"/>
    </row>
    <row r="126" spans="1:6" ht="14.25" thickBot="1">
      <c r="A126" s="1852" t="s">
        <v>1405</v>
      </c>
      <c r="B126" s="1856" t="s">
        <v>1237</v>
      </c>
      <c r="C126" s="1857">
        <v>0.13</v>
      </c>
      <c r="D126" s="1857">
        <v>0.13</v>
      </c>
      <c r="E126" s="1857">
        <v>0.126</v>
      </c>
      <c r="F126" s="1865"/>
    </row>
    <row r="127" spans="1:6" ht="14.25" thickBot="1">
      <c r="A127" s="1852" t="s">
        <v>1405</v>
      </c>
      <c r="B127" s="1856" t="s">
        <v>1247</v>
      </c>
      <c r="C127" s="1857">
        <v>0.125</v>
      </c>
      <c r="D127" s="1857">
        <v>0.125</v>
      </c>
      <c r="E127" s="1857">
        <v>0.121</v>
      </c>
      <c r="F127" s="1865"/>
    </row>
    <row r="128" spans="1:6" ht="14.25" thickBot="1">
      <c r="A128" s="1852" t="s">
        <v>1405</v>
      </c>
      <c r="B128" s="1856" t="s">
        <v>1257</v>
      </c>
      <c r="C128" s="1857">
        <v>0.12</v>
      </c>
      <c r="D128" s="1857">
        <v>0.12</v>
      </c>
      <c r="E128" s="1857">
        <v>0.105</v>
      </c>
      <c r="F128" s="1865"/>
    </row>
    <row r="129" spans="1:6" ht="14.25" thickBot="1">
      <c r="A129" s="1852" t="s">
        <v>1405</v>
      </c>
      <c r="B129" s="1856" t="s">
        <v>1266</v>
      </c>
      <c r="C129" s="1857">
        <v>0.13</v>
      </c>
      <c r="D129" s="1857">
        <v>0.13</v>
      </c>
      <c r="E129" s="1857">
        <v>0.126</v>
      </c>
      <c r="F129" s="1865"/>
    </row>
    <row r="130" spans="1:6" ht="14.25" thickBot="1">
      <c r="A130" s="1852" t="s">
        <v>1405</v>
      </c>
      <c r="B130" s="1856" t="s">
        <v>1275</v>
      </c>
      <c r="C130" s="1857">
        <v>0.125</v>
      </c>
      <c r="D130" s="1857">
        <v>0.125</v>
      </c>
      <c r="E130" s="1857">
        <v>0.122</v>
      </c>
      <c r="F130" s="1865"/>
    </row>
    <row r="131" spans="1:6" ht="14.25" thickBot="1">
      <c r="A131" s="1852" t="s">
        <v>1405</v>
      </c>
      <c r="B131" s="1856" t="s">
        <v>1283</v>
      </c>
      <c r="C131" s="1857">
        <v>0.127</v>
      </c>
      <c r="D131" s="1857">
        <v>0.126</v>
      </c>
      <c r="E131" s="1857">
        <v>0.123</v>
      </c>
      <c r="F131" s="1865"/>
    </row>
    <row r="132" spans="1:6" ht="14.25" thickBot="1">
      <c r="A132" s="1852" t="s">
        <v>1405</v>
      </c>
      <c r="B132" s="1856" t="s">
        <v>1290</v>
      </c>
      <c r="C132" s="1857">
        <v>9.0999999999999998E-2</v>
      </c>
      <c r="D132" s="1857">
        <v>0.121</v>
      </c>
      <c r="E132" s="1857">
        <v>9.9000000000000005E-2</v>
      </c>
      <c r="F132" s="1865"/>
    </row>
    <row r="133" spans="1:6" ht="14.25" thickBot="1">
      <c r="A133" s="1852" t="s">
        <v>1405</v>
      </c>
      <c r="B133" s="1856" t="s">
        <v>1297</v>
      </c>
      <c r="C133" s="1857">
        <v>0.13</v>
      </c>
      <c r="D133" s="1857">
        <v>0.13</v>
      </c>
      <c r="E133" s="1857">
        <v>0.129</v>
      </c>
      <c r="F133" s="1865"/>
    </row>
    <row r="134" spans="1:6" ht="14.25" thickBot="1">
      <c r="A134" s="1852" t="s">
        <v>1405</v>
      </c>
      <c r="B134" s="1856" t="s">
        <v>2105</v>
      </c>
      <c r="C134" s="1857">
        <v>6.8000000000000005E-2</v>
      </c>
      <c r="D134" s="1857">
        <v>6.5000000000000002E-2</v>
      </c>
      <c r="E134" s="1857">
        <v>6.5000000000000002E-2</v>
      </c>
      <c r="F134" s="1858">
        <v>0.13</v>
      </c>
    </row>
    <row r="135" spans="1:6" ht="14.25" thickBot="1">
      <c r="A135" s="1852" t="s">
        <v>1405</v>
      </c>
      <c r="B135" s="1856" t="s">
        <v>1311</v>
      </c>
      <c r="C135" s="1857">
        <v>0.123</v>
      </c>
      <c r="D135" s="1857">
        <v>0.123</v>
      </c>
      <c r="E135" s="1857">
        <v>0.11</v>
      </c>
      <c r="F135" s="1865"/>
    </row>
    <row r="136" spans="1:6" ht="14.25" thickBot="1">
      <c r="A136" s="1852" t="s">
        <v>1405</v>
      </c>
      <c r="B136" s="1856" t="s">
        <v>1318</v>
      </c>
      <c r="C136" s="1857">
        <v>0.13</v>
      </c>
      <c r="D136" s="1857">
        <v>0.13</v>
      </c>
      <c r="E136" s="1857">
        <v>0.125</v>
      </c>
      <c r="F136" s="1865"/>
    </row>
    <row r="137" spans="1:6" ht="14.25" thickBot="1">
      <c r="A137" s="1852" t="s">
        <v>1405</v>
      </c>
      <c r="B137" s="1856" t="s">
        <v>1325</v>
      </c>
      <c r="C137" s="1857">
        <v>0.121</v>
      </c>
      <c r="D137" s="1857">
        <v>0.122</v>
      </c>
      <c r="E137" s="1857">
        <v>0.115</v>
      </c>
      <c r="F137" s="1865"/>
    </row>
    <row r="138" spans="1:6" ht="14.25" thickBot="1">
      <c r="A138" s="1852" t="s">
        <v>1405</v>
      </c>
      <c r="B138" s="1856" t="s">
        <v>2106</v>
      </c>
      <c r="C138" s="1857">
        <v>0.105</v>
      </c>
      <c r="D138" s="1857">
        <v>0.125</v>
      </c>
      <c r="E138" s="1857">
        <v>0.112</v>
      </c>
      <c r="F138" s="1865"/>
    </row>
    <row r="139" spans="1:6" ht="14.25" thickBot="1">
      <c r="A139" s="1852" t="s">
        <v>1405</v>
      </c>
      <c r="B139" s="1856" t="s">
        <v>2107</v>
      </c>
      <c r="C139" s="1857">
        <v>0.127</v>
      </c>
      <c r="D139" s="1857">
        <v>0.127</v>
      </c>
      <c r="E139" s="1857">
        <v>0.122</v>
      </c>
      <c r="F139" s="1858">
        <v>0.13</v>
      </c>
    </row>
    <row r="140" spans="1:6" ht="14.25" thickBot="1">
      <c r="A140" s="1852" t="s">
        <v>1405</v>
      </c>
      <c r="B140" s="1856" t="s">
        <v>2108</v>
      </c>
      <c r="C140" s="1857">
        <v>0.125</v>
      </c>
      <c r="D140" s="1857">
        <v>0.125</v>
      </c>
      <c r="E140" s="1857">
        <v>0.11899999999999999</v>
      </c>
      <c r="F140" s="1858">
        <v>0.13</v>
      </c>
    </row>
    <row r="141" spans="1:6" ht="14.25" thickBot="1">
      <c r="A141" s="1852" t="s">
        <v>1405</v>
      </c>
      <c r="B141" s="1856" t="s">
        <v>1344</v>
      </c>
      <c r="C141" s="1857">
        <v>0.125</v>
      </c>
      <c r="D141" s="1857">
        <v>0.125</v>
      </c>
      <c r="E141" s="1857">
        <v>0.11700000000000001</v>
      </c>
      <c r="F141" s="1865"/>
    </row>
    <row r="142" spans="1:6" ht="14.25" thickBot="1">
      <c r="A142" s="1852" t="s">
        <v>1405</v>
      </c>
      <c r="B142" s="1856" t="s">
        <v>1349</v>
      </c>
      <c r="C142" s="1857">
        <v>0.125</v>
      </c>
      <c r="D142" s="1857">
        <v>0.125</v>
      </c>
      <c r="E142" s="1857">
        <v>0.115</v>
      </c>
      <c r="F142" s="1865"/>
    </row>
    <row r="143" spans="1:6" ht="14.25" thickBot="1">
      <c r="A143" s="1852" t="s">
        <v>1405</v>
      </c>
      <c r="B143" s="1856" t="s">
        <v>1354</v>
      </c>
      <c r="C143" s="1857">
        <v>0.121</v>
      </c>
      <c r="D143" s="1857">
        <v>0.121</v>
      </c>
      <c r="E143" s="1857">
        <v>0.108</v>
      </c>
      <c r="F143" s="1865"/>
    </row>
    <row r="144" spans="1:6" ht="14.25" thickBot="1">
      <c r="A144" s="1852" t="s">
        <v>1405</v>
      </c>
      <c r="B144" s="1869" t="s">
        <v>2109</v>
      </c>
      <c r="C144" s="1870">
        <v>0.126</v>
      </c>
      <c r="D144" s="1870">
        <v>0.126</v>
      </c>
      <c r="E144" s="1870">
        <v>0.121</v>
      </c>
      <c r="F144" s="1865"/>
    </row>
    <row r="145" spans="1:6" ht="14.25" thickBot="1">
      <c r="A145" s="1860" t="s">
        <v>1405</v>
      </c>
      <c r="B145" s="1871" t="s">
        <v>2110</v>
      </c>
      <c r="C145" s="1872"/>
      <c r="D145" s="1872"/>
      <c r="E145" s="1872"/>
      <c r="F145" s="1873">
        <v>0.05</v>
      </c>
    </row>
    <row r="146" spans="1:6" ht="24.75" thickBot="1">
      <c r="A146" s="1874" t="s">
        <v>1405</v>
      </c>
      <c r="B146" s="1859" t="s">
        <v>2111</v>
      </c>
      <c r="C146" s="1866"/>
      <c r="D146" s="1866"/>
      <c r="E146" s="1866"/>
      <c r="F146" s="1875">
        <v>0.05</v>
      </c>
    </row>
    <row r="147" spans="1:6" ht="24.75" thickBot="1">
      <c r="A147" s="1852" t="s">
        <v>1405</v>
      </c>
      <c r="B147" s="1856" t="s">
        <v>2112</v>
      </c>
      <c r="C147" s="1866"/>
      <c r="D147" s="1866"/>
      <c r="E147" s="1866"/>
      <c r="F147" s="1858">
        <v>0.05</v>
      </c>
    </row>
    <row r="148" spans="1:6" ht="24.75" thickBot="1">
      <c r="A148" s="1852" t="s">
        <v>1405</v>
      </c>
      <c r="B148" s="1856" t="s">
        <v>2113</v>
      </c>
      <c r="C148" s="1866"/>
      <c r="D148" s="1866"/>
      <c r="E148" s="1866"/>
      <c r="F148" s="1858">
        <v>0.05</v>
      </c>
    </row>
    <row r="149" spans="1:6" ht="24.75" thickBot="1">
      <c r="A149" s="1852" t="s">
        <v>1405</v>
      </c>
      <c r="B149" s="1856" t="s">
        <v>2114</v>
      </c>
      <c r="C149" s="1866"/>
      <c r="D149" s="1866"/>
      <c r="E149" s="1866"/>
      <c r="F149" s="1858">
        <v>0.05</v>
      </c>
    </row>
    <row r="150" spans="1:6" ht="24.75" thickBot="1">
      <c r="A150" s="1852" t="s">
        <v>1405</v>
      </c>
      <c r="B150" s="1856" t="s">
        <v>2115</v>
      </c>
      <c r="C150" s="1866"/>
      <c r="D150" s="1866"/>
      <c r="E150" s="1866"/>
      <c r="F150" s="1858">
        <v>0.05</v>
      </c>
    </row>
    <row r="151" spans="1:6" ht="24.75" thickBot="1">
      <c r="A151" s="1852" t="s">
        <v>1405</v>
      </c>
      <c r="B151" s="1856" t="s">
        <v>2116</v>
      </c>
      <c r="C151" s="1866"/>
      <c r="D151" s="1866"/>
      <c r="E151" s="1866"/>
      <c r="F151" s="1858">
        <v>0.05</v>
      </c>
    </row>
    <row r="152" spans="1:6" ht="24.75" thickBot="1">
      <c r="A152" s="1852" t="s">
        <v>1405</v>
      </c>
      <c r="B152" s="1856" t="s">
        <v>1387</v>
      </c>
      <c r="C152" s="1866"/>
      <c r="D152" s="1866"/>
      <c r="E152" s="1866"/>
      <c r="F152" s="1858">
        <v>0.05</v>
      </c>
    </row>
    <row r="153" spans="1:6" ht="14.25" thickBot="1">
      <c r="A153" s="1852" t="s">
        <v>1405</v>
      </c>
      <c r="B153" s="1856" t="s">
        <v>2117</v>
      </c>
      <c r="C153" s="1866"/>
      <c r="D153" s="1866"/>
      <c r="E153" s="1866"/>
      <c r="F153" s="1858">
        <v>0.05</v>
      </c>
    </row>
    <row r="154" spans="1:6" ht="14.25" thickBot="1">
      <c r="A154" s="1852" t="s">
        <v>1405</v>
      </c>
      <c r="B154" s="1856" t="s">
        <v>2118</v>
      </c>
      <c r="C154" s="1866"/>
      <c r="D154" s="1866"/>
      <c r="E154" s="1866"/>
      <c r="F154" s="1858">
        <v>0.05</v>
      </c>
    </row>
    <row r="155" spans="1:6" ht="24.75" thickBot="1">
      <c r="A155" s="1852" t="s">
        <v>1405</v>
      </c>
      <c r="B155" s="1856" t="s">
        <v>2119</v>
      </c>
      <c r="C155" s="1866"/>
      <c r="D155" s="1866"/>
      <c r="E155" s="1866"/>
      <c r="F155" s="1858">
        <v>0.05</v>
      </c>
    </row>
    <row r="156" spans="1:6" ht="24.75" thickBot="1">
      <c r="A156" s="1852" t="s">
        <v>1405</v>
      </c>
      <c r="B156" s="1856" t="s">
        <v>2120</v>
      </c>
      <c r="C156" s="1866"/>
      <c r="D156" s="1866"/>
      <c r="E156" s="1866"/>
      <c r="F156" s="1858">
        <v>0.05</v>
      </c>
    </row>
    <row r="157" spans="1:6" ht="14.25" thickBot="1">
      <c r="A157" s="1860" t="s">
        <v>1405</v>
      </c>
      <c r="B157" s="1867" t="s">
        <v>2121</v>
      </c>
      <c r="C157" s="1863"/>
      <c r="D157" s="1863"/>
      <c r="E157" s="1863"/>
      <c r="F157" s="1868">
        <v>0.05</v>
      </c>
    </row>
    <row r="158" spans="1:6" ht="14.25" thickBot="1">
      <c r="A158" s="1852" t="s">
        <v>1407</v>
      </c>
      <c r="B158" s="1853" t="s">
        <v>2122</v>
      </c>
      <c r="C158" s="1854">
        <v>0.13</v>
      </c>
      <c r="D158" s="1854">
        <v>0.13</v>
      </c>
      <c r="E158" s="1854">
        <v>0.13</v>
      </c>
      <c r="F158" s="1855">
        <v>0.13</v>
      </c>
    </row>
    <row r="159" spans="1:6" ht="14.25" thickBot="1">
      <c r="A159" s="1852" t="s">
        <v>1407</v>
      </c>
      <c r="B159" s="1856" t="s">
        <v>1072</v>
      </c>
      <c r="C159" s="1857">
        <v>0.13</v>
      </c>
      <c r="D159" s="1857">
        <v>0.13</v>
      </c>
      <c r="E159" s="1857">
        <v>0.13</v>
      </c>
      <c r="F159" s="1858">
        <v>0.13</v>
      </c>
    </row>
    <row r="160" spans="1:6" ht="14.25" thickBot="1">
      <c r="A160" s="1852" t="s">
        <v>1407</v>
      </c>
      <c r="B160" s="1856" t="s">
        <v>1086</v>
      </c>
      <c r="C160" s="1857">
        <v>0.13</v>
      </c>
      <c r="D160" s="1857">
        <v>0.13</v>
      </c>
      <c r="E160" s="1857">
        <v>0.129</v>
      </c>
      <c r="F160" s="1858">
        <v>0.13</v>
      </c>
    </row>
    <row r="161" spans="1:6" ht="14.25" thickBot="1">
      <c r="A161" s="1852" t="s">
        <v>1407</v>
      </c>
      <c r="B161" s="1856" t="s">
        <v>1099</v>
      </c>
      <c r="C161" s="1857">
        <v>0.128</v>
      </c>
      <c r="D161" s="1857">
        <v>0.128</v>
      </c>
      <c r="E161" s="1857">
        <v>0.125</v>
      </c>
      <c r="F161" s="1858">
        <v>0.13</v>
      </c>
    </row>
    <row r="162" spans="1:6" ht="14.25" thickBot="1">
      <c r="A162" s="1852" t="s">
        <v>1407</v>
      </c>
      <c r="B162" s="1856" t="s">
        <v>1113</v>
      </c>
      <c r="C162" s="1857">
        <v>0.122</v>
      </c>
      <c r="D162" s="1857">
        <v>0.122</v>
      </c>
      <c r="E162" s="1857">
        <v>0.126</v>
      </c>
      <c r="F162" s="1858">
        <v>0.122</v>
      </c>
    </row>
    <row r="163" spans="1:6" ht="14.25" thickBot="1">
      <c r="A163" s="1852" t="s">
        <v>1407</v>
      </c>
      <c r="B163" s="1856" t="s">
        <v>1124</v>
      </c>
      <c r="C163" s="1857">
        <v>0.13</v>
      </c>
      <c r="D163" s="1857">
        <v>0.13</v>
      </c>
      <c r="E163" s="1857">
        <v>0.125</v>
      </c>
      <c r="F163" s="1858">
        <v>0.13</v>
      </c>
    </row>
    <row r="164" spans="1:6" ht="14.25" thickBot="1">
      <c r="A164" s="1852" t="s">
        <v>1407</v>
      </c>
      <c r="B164" s="1856" t="s">
        <v>1135</v>
      </c>
      <c r="C164" s="1857">
        <v>0.13</v>
      </c>
      <c r="D164" s="1857">
        <v>0.13</v>
      </c>
      <c r="E164" s="1857">
        <v>0.13</v>
      </c>
      <c r="F164" s="1858">
        <v>0.13</v>
      </c>
    </row>
    <row r="165" spans="1:6" ht="14.25" thickBot="1">
      <c r="A165" s="1852" t="s">
        <v>1407</v>
      </c>
      <c r="B165" s="1856" t="s">
        <v>1146</v>
      </c>
      <c r="C165" s="1857">
        <v>0.13</v>
      </c>
      <c r="D165" s="1857">
        <v>0.13</v>
      </c>
      <c r="E165" s="1857">
        <v>0.124</v>
      </c>
      <c r="F165" s="1858">
        <v>0.13</v>
      </c>
    </row>
    <row r="166" spans="1:6" ht="14.25" thickBot="1">
      <c r="A166" s="1852" t="s">
        <v>1407</v>
      </c>
      <c r="B166" s="1856" t="s">
        <v>1158</v>
      </c>
      <c r="C166" s="1857">
        <v>0.13</v>
      </c>
      <c r="D166" s="1857">
        <v>0.13</v>
      </c>
      <c r="E166" s="1857">
        <v>0.13</v>
      </c>
      <c r="F166" s="1858">
        <v>0.13</v>
      </c>
    </row>
    <row r="167" spans="1:6" ht="14.25" thickBot="1">
      <c r="A167" s="1852" t="s">
        <v>1407</v>
      </c>
      <c r="B167" s="1856" t="s">
        <v>1168</v>
      </c>
      <c r="C167" s="1857">
        <v>0.125</v>
      </c>
      <c r="D167" s="1857">
        <v>0.125</v>
      </c>
      <c r="E167" s="1857">
        <v>0.121</v>
      </c>
      <c r="F167" s="1865"/>
    </row>
    <row r="168" spans="1:6" ht="14.25" thickBot="1">
      <c r="A168" s="1852" t="s">
        <v>1407</v>
      </c>
      <c r="B168" s="1856" t="s">
        <v>1178</v>
      </c>
      <c r="C168" s="1857">
        <v>0.13</v>
      </c>
      <c r="D168" s="1857">
        <v>0.13</v>
      </c>
      <c r="E168" s="1857">
        <v>0.126</v>
      </c>
      <c r="F168" s="1865"/>
    </row>
    <row r="169" spans="1:6" ht="14.25" thickBot="1">
      <c r="A169" s="1852" t="s">
        <v>1407</v>
      </c>
      <c r="B169" s="1856" t="s">
        <v>1188</v>
      </c>
      <c r="C169" s="1857">
        <v>0.128</v>
      </c>
      <c r="D169" s="1857">
        <v>0.129</v>
      </c>
      <c r="E169" s="1857">
        <v>0.13</v>
      </c>
      <c r="F169" s="1865"/>
    </row>
    <row r="170" spans="1:6" ht="14.25" thickBot="1">
      <c r="A170" s="1852" t="s">
        <v>1407</v>
      </c>
      <c r="B170" s="1856" t="s">
        <v>1198</v>
      </c>
      <c r="C170" s="1857">
        <v>0.14099999999999999</v>
      </c>
      <c r="D170" s="1857">
        <v>0.13</v>
      </c>
      <c r="E170" s="1857">
        <v>0.125</v>
      </c>
      <c r="F170" s="1865"/>
    </row>
    <row r="171" spans="1:6" ht="14.25" thickBot="1">
      <c r="A171" s="1852" t="s">
        <v>1407</v>
      </c>
      <c r="B171" s="1856" t="s">
        <v>2123</v>
      </c>
      <c r="C171" s="1857">
        <v>0.127</v>
      </c>
      <c r="D171" s="1857">
        <v>0.126</v>
      </c>
      <c r="E171" s="1857">
        <v>0.126</v>
      </c>
      <c r="F171" s="1858">
        <v>0.11799999999999999</v>
      </c>
    </row>
    <row r="172" spans="1:6" ht="14.25" thickBot="1">
      <c r="A172" s="1852" t="s">
        <v>1407</v>
      </c>
      <c r="B172" s="1856" t="s">
        <v>2124</v>
      </c>
      <c r="C172" s="1857">
        <v>0.13</v>
      </c>
      <c r="D172" s="1857">
        <v>0.13</v>
      </c>
      <c r="E172" s="1857">
        <v>0.13</v>
      </c>
      <c r="F172" s="1865"/>
    </row>
    <row r="173" spans="1:6" ht="14.25" thickBot="1">
      <c r="A173" s="1852" t="s">
        <v>1407</v>
      </c>
      <c r="B173" s="1856" t="s">
        <v>1228</v>
      </c>
      <c r="C173" s="1857">
        <v>0.13</v>
      </c>
      <c r="D173" s="1857">
        <v>0.13</v>
      </c>
      <c r="E173" s="1857">
        <v>0.13</v>
      </c>
      <c r="F173" s="1865"/>
    </row>
    <row r="174" spans="1:6" ht="14.25" thickBot="1">
      <c r="A174" s="1852" t="s">
        <v>1407</v>
      </c>
      <c r="B174" s="1856" t="s">
        <v>2125</v>
      </c>
      <c r="C174" s="1857">
        <v>0.13</v>
      </c>
      <c r="D174" s="1857">
        <v>0.13</v>
      </c>
      <c r="E174" s="1857">
        <v>0.13</v>
      </c>
      <c r="F174" s="1858">
        <v>0.13</v>
      </c>
    </row>
    <row r="175" spans="1:6" ht="14.25" thickBot="1">
      <c r="A175" s="1852" t="s">
        <v>1407</v>
      </c>
      <c r="B175" s="1856" t="s">
        <v>2126</v>
      </c>
      <c r="C175" s="1857">
        <v>0.13</v>
      </c>
      <c r="D175" s="1857">
        <v>0.13</v>
      </c>
      <c r="E175" s="1857">
        <v>0.13</v>
      </c>
      <c r="F175" s="1858">
        <v>0.13</v>
      </c>
    </row>
    <row r="176" spans="1:6" ht="14.25" thickBot="1">
      <c r="A176" s="1852" t="s">
        <v>1407</v>
      </c>
      <c r="B176" s="1856" t="s">
        <v>1258</v>
      </c>
      <c r="C176" s="1857">
        <v>0.13</v>
      </c>
      <c r="D176" s="1857">
        <v>0.13</v>
      </c>
      <c r="E176" s="1857">
        <v>0.13</v>
      </c>
      <c r="F176" s="1858">
        <v>0.13</v>
      </c>
    </row>
    <row r="177" spans="1:6" ht="14.25" thickBot="1">
      <c r="A177" s="1852" t="s">
        <v>1407</v>
      </c>
      <c r="B177" s="1856" t="s">
        <v>2127</v>
      </c>
      <c r="C177" s="1857">
        <v>0.13</v>
      </c>
      <c r="D177" s="1857">
        <v>0.13</v>
      </c>
      <c r="E177" s="1857">
        <v>0.13</v>
      </c>
      <c r="F177" s="1858">
        <v>0.13</v>
      </c>
    </row>
    <row r="178" spans="1:6" ht="14.25" thickBot="1">
      <c r="A178" s="1852" t="s">
        <v>1407</v>
      </c>
      <c r="B178" s="1856" t="s">
        <v>1276</v>
      </c>
      <c r="C178" s="1857">
        <v>0.13</v>
      </c>
      <c r="D178" s="1857">
        <v>0.13</v>
      </c>
      <c r="E178" s="1857">
        <v>0.13</v>
      </c>
      <c r="F178" s="1858">
        <v>0.127</v>
      </c>
    </row>
    <row r="179" spans="1:6" ht="14.25" thickBot="1">
      <c r="A179" s="1852" t="s">
        <v>1407</v>
      </c>
      <c r="B179" s="1856" t="s">
        <v>1284</v>
      </c>
      <c r="C179" s="1857">
        <v>0.13</v>
      </c>
      <c r="D179" s="1857">
        <v>0.13</v>
      </c>
      <c r="E179" s="1857">
        <v>0.13</v>
      </c>
      <c r="F179" s="1865"/>
    </row>
    <row r="180" spans="1:6" ht="14.25" thickBot="1">
      <c r="A180" s="1852" t="s">
        <v>1407</v>
      </c>
      <c r="B180" s="1856" t="s">
        <v>2128</v>
      </c>
      <c r="C180" s="1857">
        <v>0.13</v>
      </c>
      <c r="D180" s="1857">
        <v>0.13</v>
      </c>
      <c r="E180" s="1857">
        <v>0.125</v>
      </c>
      <c r="F180" s="1858">
        <v>0.13</v>
      </c>
    </row>
    <row r="181" spans="1:6" ht="14.25" thickBot="1">
      <c r="A181" s="1852" t="s">
        <v>1407</v>
      </c>
      <c r="B181" s="1856" t="s">
        <v>1298</v>
      </c>
      <c r="C181" s="1857">
        <v>0.122</v>
      </c>
      <c r="D181" s="1857">
        <v>0.123</v>
      </c>
      <c r="E181" s="1857">
        <v>0.126</v>
      </c>
      <c r="F181" s="1858">
        <v>0.121</v>
      </c>
    </row>
    <row r="182" spans="1:6" ht="14.25" thickBot="1">
      <c r="A182" s="1852" t="s">
        <v>1407</v>
      </c>
      <c r="B182" s="1856" t="s">
        <v>1305</v>
      </c>
      <c r="C182" s="1857">
        <v>0.125</v>
      </c>
      <c r="D182" s="1857">
        <v>0.125</v>
      </c>
      <c r="E182" s="1857">
        <v>0.11700000000000001</v>
      </c>
      <c r="F182" s="1858">
        <v>0.13</v>
      </c>
    </row>
    <row r="183" spans="1:6" ht="14.25" thickBot="1">
      <c r="A183" s="1852" t="s">
        <v>1407</v>
      </c>
      <c r="B183" s="1856" t="s">
        <v>1312</v>
      </c>
      <c r="C183" s="1857">
        <v>0.127</v>
      </c>
      <c r="D183" s="1857">
        <v>0.127</v>
      </c>
      <c r="E183" s="1857">
        <v>0.128</v>
      </c>
      <c r="F183" s="1865"/>
    </row>
    <row r="184" spans="1:6" ht="14.25" thickBot="1">
      <c r="A184" s="1852" t="s">
        <v>1407</v>
      </c>
      <c r="B184" s="1856" t="s">
        <v>1319</v>
      </c>
      <c r="C184" s="1857">
        <v>0.125</v>
      </c>
      <c r="D184" s="1857">
        <v>0.125</v>
      </c>
      <c r="E184" s="1857">
        <v>0.127</v>
      </c>
      <c r="F184" s="1865"/>
    </row>
    <row r="185" spans="1:6" ht="14.25" thickBot="1">
      <c r="A185" s="1852" t="s">
        <v>1407</v>
      </c>
      <c r="B185" s="1856" t="s">
        <v>2129</v>
      </c>
      <c r="C185" s="1857">
        <v>0.127</v>
      </c>
      <c r="D185" s="1857">
        <v>0.127</v>
      </c>
      <c r="E185" s="1857">
        <v>0.128</v>
      </c>
      <c r="F185" s="1858">
        <v>0.13</v>
      </c>
    </row>
    <row r="186" spans="1:6" ht="24.75" thickBot="1">
      <c r="A186" s="1852" t="s">
        <v>1407</v>
      </c>
      <c r="B186" s="1856" t="s">
        <v>2130</v>
      </c>
      <c r="C186" s="1866"/>
      <c r="D186" s="1866"/>
      <c r="E186" s="1866"/>
      <c r="F186" s="1858">
        <v>0.05</v>
      </c>
    </row>
    <row r="187" spans="1:6" ht="14.25" thickBot="1">
      <c r="A187" s="1852" t="s">
        <v>1407</v>
      </c>
      <c r="B187" s="1856" t="s">
        <v>2131</v>
      </c>
      <c r="C187" s="1866"/>
      <c r="D187" s="1866"/>
      <c r="E187" s="1866"/>
      <c r="F187" s="1858">
        <v>0.05</v>
      </c>
    </row>
    <row r="188" spans="1:6" ht="14.25" thickBot="1">
      <c r="A188" s="1852" t="s">
        <v>1407</v>
      </c>
      <c r="B188" s="1856" t="s">
        <v>2132</v>
      </c>
      <c r="C188" s="1866"/>
      <c r="D188" s="1866"/>
      <c r="E188" s="1866"/>
      <c r="F188" s="1858">
        <v>0.05</v>
      </c>
    </row>
    <row r="189" spans="1:6" ht="24.75" thickBot="1">
      <c r="A189" s="1852" t="s">
        <v>1407</v>
      </c>
      <c r="B189" s="1856" t="s">
        <v>2133</v>
      </c>
      <c r="C189" s="1866"/>
      <c r="D189" s="1866"/>
      <c r="E189" s="1866"/>
      <c r="F189" s="1858">
        <v>0.05</v>
      </c>
    </row>
    <row r="190" spans="1:6" ht="24.75" thickBot="1">
      <c r="A190" s="1852" t="s">
        <v>1407</v>
      </c>
      <c r="B190" s="1856" t="s">
        <v>2134</v>
      </c>
      <c r="C190" s="1866"/>
      <c r="D190" s="1866"/>
      <c r="E190" s="1866"/>
      <c r="F190" s="1858">
        <v>0.05</v>
      </c>
    </row>
    <row r="191" spans="1:6" ht="24.75" thickBot="1">
      <c r="A191" s="1852" t="s">
        <v>1407</v>
      </c>
      <c r="B191" s="1856" t="s">
        <v>2135</v>
      </c>
      <c r="C191" s="1866"/>
      <c r="D191" s="1866"/>
      <c r="E191" s="1866"/>
      <c r="F191" s="1858">
        <v>0.05</v>
      </c>
    </row>
    <row r="192" spans="1:6" ht="24.75" thickBot="1">
      <c r="A192" s="1852" t="s">
        <v>1407</v>
      </c>
      <c r="B192" s="1856" t="s">
        <v>2136</v>
      </c>
      <c r="C192" s="1866"/>
      <c r="D192" s="1866"/>
      <c r="E192" s="1866"/>
      <c r="F192" s="1858">
        <v>0.05</v>
      </c>
    </row>
    <row r="193" spans="1:6" ht="24.75" thickBot="1">
      <c r="A193" s="1852" t="s">
        <v>1407</v>
      </c>
      <c r="B193" s="1856" t="s">
        <v>2137</v>
      </c>
      <c r="C193" s="1866"/>
      <c r="D193" s="1866"/>
      <c r="E193" s="1866"/>
      <c r="F193" s="1858">
        <v>0.05</v>
      </c>
    </row>
    <row r="194" spans="1:6" ht="24.75" thickBot="1">
      <c r="A194" s="1852" t="s">
        <v>1407</v>
      </c>
      <c r="B194" s="1856" t="s">
        <v>2138</v>
      </c>
      <c r="C194" s="1866"/>
      <c r="D194" s="1866"/>
      <c r="E194" s="1866"/>
      <c r="F194" s="1858">
        <v>0.05</v>
      </c>
    </row>
    <row r="195" spans="1:6" ht="14.25" thickBot="1">
      <c r="A195" s="1852" t="s">
        <v>1407</v>
      </c>
      <c r="B195" s="1856" t="s">
        <v>2139</v>
      </c>
      <c r="C195" s="1866"/>
      <c r="D195" s="1866"/>
      <c r="E195" s="1866"/>
      <c r="F195" s="1858">
        <v>0.05</v>
      </c>
    </row>
    <row r="196" spans="1:6" ht="24.75" thickBot="1">
      <c r="A196" s="1852" t="s">
        <v>1407</v>
      </c>
      <c r="B196" s="1856" t="s">
        <v>2140</v>
      </c>
      <c r="C196" s="1866"/>
      <c r="D196" s="1866"/>
      <c r="E196" s="1866"/>
      <c r="F196" s="1858">
        <v>0.05</v>
      </c>
    </row>
    <row r="197" spans="1:6" ht="24.75" thickBot="1">
      <c r="A197" s="1852" t="s">
        <v>1407</v>
      </c>
      <c r="B197" s="1856" t="s">
        <v>2141</v>
      </c>
      <c r="C197" s="1866"/>
      <c r="D197" s="1866"/>
      <c r="E197" s="1866"/>
      <c r="F197" s="1858">
        <v>0.05</v>
      </c>
    </row>
    <row r="198" spans="1:6" ht="24.75" thickBot="1">
      <c r="A198" s="1852" t="s">
        <v>1407</v>
      </c>
      <c r="B198" s="1856" t="s">
        <v>2142</v>
      </c>
      <c r="C198" s="1866"/>
      <c r="D198" s="1866"/>
      <c r="E198" s="1866"/>
      <c r="F198" s="1858">
        <v>0.05</v>
      </c>
    </row>
    <row r="199" spans="1:6" ht="24.75" thickBot="1">
      <c r="A199" s="1852" t="s">
        <v>1407</v>
      </c>
      <c r="B199" s="1856" t="s">
        <v>2143</v>
      </c>
      <c r="C199" s="1866"/>
      <c r="D199" s="1866"/>
      <c r="E199" s="1866"/>
      <c r="F199" s="1858">
        <v>0.05</v>
      </c>
    </row>
    <row r="200" spans="1:6" ht="24.75" thickBot="1">
      <c r="A200" s="1852" t="s">
        <v>1407</v>
      </c>
      <c r="B200" s="1856" t="s">
        <v>2144</v>
      </c>
      <c r="C200" s="1866"/>
      <c r="D200" s="1866"/>
      <c r="E200" s="1866"/>
      <c r="F200" s="1858">
        <v>0.05</v>
      </c>
    </row>
    <row r="201" spans="1:6" ht="24.75" thickBot="1">
      <c r="A201" s="1852" t="s">
        <v>1407</v>
      </c>
      <c r="B201" s="1856" t="s">
        <v>2145</v>
      </c>
      <c r="C201" s="1866"/>
      <c r="D201" s="1866"/>
      <c r="E201" s="1866"/>
      <c r="F201" s="1858">
        <v>0.05</v>
      </c>
    </row>
    <row r="202" spans="1:6" ht="24.75" thickBot="1">
      <c r="A202" s="1852" t="s">
        <v>1407</v>
      </c>
      <c r="B202" s="1856" t="s">
        <v>2146</v>
      </c>
      <c r="C202" s="1866"/>
      <c r="D202" s="1866"/>
      <c r="E202" s="1866"/>
      <c r="F202" s="1858">
        <v>0.05</v>
      </c>
    </row>
    <row r="203" spans="1:6" ht="24.75" thickBot="1">
      <c r="A203" s="1852" t="s">
        <v>1407</v>
      </c>
      <c r="B203" s="1856" t="s">
        <v>2147</v>
      </c>
      <c r="C203" s="1866"/>
      <c r="D203" s="1866"/>
      <c r="E203" s="1866"/>
      <c r="F203" s="1858">
        <v>0.05</v>
      </c>
    </row>
    <row r="204" spans="1:6" ht="14.25" thickBot="1">
      <c r="A204" s="1852" t="s">
        <v>1407</v>
      </c>
      <c r="B204" s="1856" t="s">
        <v>2148</v>
      </c>
      <c r="C204" s="1866"/>
      <c r="D204" s="1866"/>
      <c r="E204" s="1866"/>
      <c r="F204" s="1858">
        <v>0.05</v>
      </c>
    </row>
    <row r="205" spans="1:6" ht="14.25" thickBot="1">
      <c r="A205" s="1860" t="s">
        <v>1407</v>
      </c>
      <c r="B205" s="1867" t="s">
        <v>2149</v>
      </c>
      <c r="C205" s="1863"/>
      <c r="D205" s="1863"/>
      <c r="E205" s="1863"/>
      <c r="F205" s="1868">
        <v>0.05</v>
      </c>
    </row>
    <row r="206" spans="1:6" ht="14.25" thickBot="1">
      <c r="A206" s="1852" t="s">
        <v>1409</v>
      </c>
      <c r="B206" s="1853" t="s">
        <v>2150</v>
      </c>
      <c r="C206" s="1854">
        <v>0.15</v>
      </c>
      <c r="D206" s="1854">
        <v>0.15</v>
      </c>
      <c r="E206" s="1854">
        <v>0.15</v>
      </c>
      <c r="F206" s="1855">
        <v>0.15</v>
      </c>
    </row>
    <row r="207" spans="1:6" ht="14.25" thickBot="1">
      <c r="A207" s="1852" t="s">
        <v>1409</v>
      </c>
      <c r="B207" s="1856" t="s">
        <v>1073</v>
      </c>
      <c r="C207" s="1857">
        <v>0.15</v>
      </c>
      <c r="D207" s="1857">
        <v>0.15</v>
      </c>
      <c r="E207" s="1857">
        <v>0.15</v>
      </c>
      <c r="F207" s="1858">
        <v>0.14399999999999999</v>
      </c>
    </row>
    <row r="208" spans="1:6" ht="14.25" thickBot="1">
      <c r="A208" s="1852" t="s">
        <v>1409</v>
      </c>
      <c r="B208" s="1856" t="s">
        <v>1087</v>
      </c>
      <c r="C208" s="1857">
        <v>0.15</v>
      </c>
      <c r="D208" s="1857">
        <v>0.15</v>
      </c>
      <c r="E208" s="1857">
        <v>0.15</v>
      </c>
      <c r="F208" s="1858">
        <v>0.15</v>
      </c>
    </row>
    <row r="209" spans="1:6" ht="14.25" thickBot="1">
      <c r="A209" s="1852" t="s">
        <v>1409</v>
      </c>
      <c r="B209" s="1856" t="s">
        <v>1100</v>
      </c>
      <c r="C209" s="1857">
        <v>0.13700000000000001</v>
      </c>
      <c r="D209" s="1857">
        <v>0.13700000000000001</v>
      </c>
      <c r="E209" s="1857">
        <v>0.14000000000000001</v>
      </c>
      <c r="F209" s="1858">
        <v>0.11700000000000001</v>
      </c>
    </row>
    <row r="210" spans="1:6" ht="14.25" thickBot="1">
      <c r="A210" s="1852" t="s">
        <v>1409</v>
      </c>
      <c r="B210" s="1856" t="s">
        <v>2151</v>
      </c>
      <c r="C210" s="1857">
        <v>0.15</v>
      </c>
      <c r="D210" s="1857">
        <v>0.15</v>
      </c>
      <c r="E210" s="1857">
        <v>0.15</v>
      </c>
      <c r="F210" s="1858">
        <v>0.13800000000000001</v>
      </c>
    </row>
    <row r="211" spans="1:6" ht="14.25" thickBot="1">
      <c r="A211" s="1852" t="s">
        <v>1409</v>
      </c>
      <c r="B211" s="1856" t="s">
        <v>2152</v>
      </c>
      <c r="C211" s="1857">
        <v>0.13700000000000001</v>
      </c>
      <c r="D211" s="1857">
        <v>0.13500000000000001</v>
      </c>
      <c r="E211" s="1857">
        <v>0.13600000000000001</v>
      </c>
      <c r="F211" s="1858">
        <v>0.1</v>
      </c>
    </row>
    <row r="212" spans="1:6" ht="14.25" thickBot="1">
      <c r="A212" s="1852" t="s">
        <v>1409</v>
      </c>
      <c r="B212" s="1856" t="s">
        <v>2153</v>
      </c>
      <c r="C212" s="1857">
        <v>0.15</v>
      </c>
      <c r="D212" s="1857">
        <v>0.15</v>
      </c>
      <c r="E212" s="1857">
        <v>0.14799999999999999</v>
      </c>
      <c r="F212" s="1858">
        <v>0.13600000000000001</v>
      </c>
    </row>
    <row r="213" spans="1:6" ht="14.25" thickBot="1">
      <c r="A213" s="1852" t="s">
        <v>1409</v>
      </c>
      <c r="B213" s="1856" t="s">
        <v>1147</v>
      </c>
      <c r="C213" s="1857">
        <v>0.15</v>
      </c>
      <c r="D213" s="1857">
        <v>0.15</v>
      </c>
      <c r="E213" s="1857">
        <v>0.15</v>
      </c>
      <c r="F213" s="1858">
        <v>0.13800000000000001</v>
      </c>
    </row>
    <row r="214" spans="1:6" ht="14.25" thickBot="1">
      <c r="A214" s="1852" t="s">
        <v>1409</v>
      </c>
      <c r="B214" s="1856" t="s">
        <v>1159</v>
      </c>
      <c r="C214" s="1857">
        <v>9.0999999999999998E-2</v>
      </c>
      <c r="D214" s="1857">
        <v>0.09</v>
      </c>
      <c r="E214" s="1857">
        <v>9.1999999999999998E-2</v>
      </c>
      <c r="F214" s="1865"/>
    </row>
    <row r="215" spans="1:6" ht="14.25" thickBot="1">
      <c r="A215" s="1852" t="s">
        <v>1409</v>
      </c>
      <c r="B215" s="1856" t="s">
        <v>2154</v>
      </c>
      <c r="C215" s="1857">
        <v>0.15</v>
      </c>
      <c r="D215" s="1857">
        <v>0.15</v>
      </c>
      <c r="E215" s="1857">
        <v>0.15</v>
      </c>
      <c r="F215" s="1858">
        <v>0.15</v>
      </c>
    </row>
    <row r="216" spans="1:6" ht="14.25" thickBot="1">
      <c r="A216" s="1852" t="s">
        <v>1409</v>
      </c>
      <c r="B216" s="1856" t="s">
        <v>1179</v>
      </c>
      <c r="C216" s="1857">
        <v>0.14699999999999999</v>
      </c>
      <c r="D216" s="1857">
        <v>0.14699999999999999</v>
      </c>
      <c r="E216" s="1857">
        <v>0.15</v>
      </c>
      <c r="F216" s="1858">
        <v>0.14000000000000001</v>
      </c>
    </row>
    <row r="217" spans="1:6" ht="14.25" thickBot="1">
      <c r="A217" s="1852" t="s">
        <v>1409</v>
      </c>
      <c r="B217" s="1856" t="s">
        <v>1189</v>
      </c>
      <c r="C217" s="1857">
        <v>0.15</v>
      </c>
      <c r="D217" s="1857">
        <v>0.15</v>
      </c>
      <c r="E217" s="1857">
        <v>0.15</v>
      </c>
      <c r="F217" s="1858">
        <v>0.15</v>
      </c>
    </row>
    <row r="218" spans="1:6" ht="14.25" thickBot="1">
      <c r="A218" s="1852" t="s">
        <v>1409</v>
      </c>
      <c r="B218" s="1856" t="s">
        <v>2155</v>
      </c>
      <c r="C218" s="1857">
        <v>0.15</v>
      </c>
      <c r="D218" s="1857">
        <v>0.15</v>
      </c>
      <c r="E218" s="1857">
        <v>0.15</v>
      </c>
      <c r="F218" s="1858">
        <v>0.15</v>
      </c>
    </row>
    <row r="219" spans="1:6" ht="14.25" thickBot="1">
      <c r="A219" s="1852" t="s">
        <v>1409</v>
      </c>
      <c r="B219" s="1856" t="s">
        <v>1209</v>
      </c>
      <c r="C219" s="1857">
        <v>0.15</v>
      </c>
      <c r="D219" s="1857">
        <v>0.15</v>
      </c>
      <c r="E219" s="1857">
        <v>0.15</v>
      </c>
      <c r="F219" s="1858">
        <v>0.14799999999999999</v>
      </c>
    </row>
    <row r="220" spans="1:6" ht="14.25" thickBot="1">
      <c r="A220" s="1852" t="s">
        <v>1409</v>
      </c>
      <c r="B220" s="1856" t="s">
        <v>2156</v>
      </c>
      <c r="C220" s="1857">
        <v>0.15</v>
      </c>
      <c r="D220" s="1857">
        <v>0.15</v>
      </c>
      <c r="E220" s="1857">
        <v>0.15</v>
      </c>
      <c r="F220" s="1858">
        <v>0.15</v>
      </c>
    </row>
    <row r="221" spans="1:6" ht="14.25" thickBot="1">
      <c r="A221" s="1852" t="s">
        <v>1409</v>
      </c>
      <c r="B221" s="1856" t="s">
        <v>1229</v>
      </c>
      <c r="C221" s="1857"/>
      <c r="D221" s="1866"/>
      <c r="E221" s="1866"/>
      <c r="F221" s="1858">
        <v>0.14799999999999999</v>
      </c>
    </row>
    <row r="222" spans="1:6" ht="14.25" thickBot="1">
      <c r="A222" s="1852" t="s">
        <v>1409</v>
      </c>
      <c r="B222" s="1856" t="s">
        <v>1239</v>
      </c>
      <c r="C222" s="1857"/>
      <c r="D222" s="1866"/>
      <c r="E222" s="1866"/>
      <c r="F222" s="1858">
        <v>0.1</v>
      </c>
    </row>
    <row r="223" spans="1:6" ht="14.25" thickBot="1">
      <c r="A223" s="1852" t="s">
        <v>1409</v>
      </c>
      <c r="B223" s="1856" t="s">
        <v>1249</v>
      </c>
      <c r="C223" s="1857"/>
      <c r="D223" s="1866"/>
      <c r="E223" s="1866"/>
      <c r="F223" s="1858">
        <v>0.15</v>
      </c>
    </row>
    <row r="224" spans="1:6" ht="14.25" thickBot="1">
      <c r="A224" s="1852" t="s">
        <v>1409</v>
      </c>
      <c r="B224" s="1856" t="s">
        <v>1259</v>
      </c>
      <c r="C224" s="1857"/>
      <c r="D224" s="1866"/>
      <c r="E224" s="1866"/>
      <c r="F224" s="1858">
        <v>0.15</v>
      </c>
    </row>
    <row r="225" spans="1:6" ht="14.25" thickBot="1">
      <c r="A225" s="1852" t="s">
        <v>1409</v>
      </c>
      <c r="B225" s="1856" t="s">
        <v>2157</v>
      </c>
      <c r="C225" s="1857">
        <v>0.15</v>
      </c>
      <c r="D225" s="1857">
        <v>0.15</v>
      </c>
      <c r="E225" s="1857">
        <v>0.15</v>
      </c>
      <c r="F225" s="1858">
        <v>0.15</v>
      </c>
    </row>
    <row r="226" spans="1:6" ht="14.25" thickBot="1">
      <c r="A226" s="1852" t="s">
        <v>1409</v>
      </c>
      <c r="B226" s="1856" t="s">
        <v>1277</v>
      </c>
      <c r="C226" s="1857">
        <v>0.15</v>
      </c>
      <c r="D226" s="1857">
        <v>0.15</v>
      </c>
      <c r="E226" s="1857">
        <v>0.15</v>
      </c>
      <c r="F226" s="1858">
        <v>0.14799999999999999</v>
      </c>
    </row>
    <row r="227" spans="1:6" ht="14.25" thickBot="1">
      <c r="A227" s="1852" t="s">
        <v>1409</v>
      </c>
      <c r="B227" s="1856" t="s">
        <v>2158</v>
      </c>
      <c r="C227" s="1857">
        <v>0.15</v>
      </c>
      <c r="D227" s="1857">
        <v>0.15</v>
      </c>
      <c r="E227" s="1857">
        <v>0.15</v>
      </c>
      <c r="F227" s="1858">
        <v>0.15</v>
      </c>
    </row>
    <row r="228" spans="1:6" ht="14.25" thickBot="1">
      <c r="A228" s="1852" t="s">
        <v>1409</v>
      </c>
      <c r="B228" s="1856" t="s">
        <v>1292</v>
      </c>
      <c r="C228" s="1857">
        <v>0.15</v>
      </c>
      <c r="D228" s="1857">
        <v>0.15</v>
      </c>
      <c r="E228" s="1857">
        <v>0.15</v>
      </c>
      <c r="F228" s="1858">
        <v>0.15</v>
      </c>
    </row>
    <row r="229" spans="1:6" ht="14.25" thickBot="1">
      <c r="A229" s="1852" t="s">
        <v>1409</v>
      </c>
      <c r="B229" s="1856" t="s">
        <v>1299</v>
      </c>
      <c r="C229" s="1857">
        <v>0.15</v>
      </c>
      <c r="D229" s="1857">
        <v>0.15</v>
      </c>
      <c r="E229" s="1857">
        <v>0.15</v>
      </c>
      <c r="F229" s="1865"/>
    </row>
    <row r="230" spans="1:6" ht="14.25" thickBot="1">
      <c r="A230" s="1852" t="s">
        <v>1409</v>
      </c>
      <c r="B230" s="1856" t="s">
        <v>1306</v>
      </c>
      <c r="C230" s="1857">
        <v>0.14499999999999999</v>
      </c>
      <c r="D230" s="1857">
        <v>0.14499999999999999</v>
      </c>
      <c r="E230" s="1857">
        <v>0.14399999999999999</v>
      </c>
      <c r="F230" s="1865"/>
    </row>
    <row r="231" spans="1:6" ht="14.25" thickBot="1">
      <c r="A231" s="1852" t="s">
        <v>1409</v>
      </c>
      <c r="B231" s="1856" t="s">
        <v>2159</v>
      </c>
      <c r="C231" s="1857">
        <v>0.128</v>
      </c>
      <c r="D231" s="1857">
        <v>0.125</v>
      </c>
      <c r="E231" s="1857">
        <v>0.13200000000000001</v>
      </c>
      <c r="F231" s="1865"/>
    </row>
    <row r="232" spans="1:6" ht="14.25" thickBot="1">
      <c r="A232" s="1852" t="s">
        <v>1409</v>
      </c>
      <c r="B232" s="1856" t="s">
        <v>2160</v>
      </c>
      <c r="C232" s="1857">
        <v>0.14499999999999999</v>
      </c>
      <c r="D232" s="1857">
        <v>0.14399999999999999</v>
      </c>
      <c r="E232" s="1857">
        <v>0.14599999999999999</v>
      </c>
      <c r="F232" s="1858">
        <v>0.13800000000000001</v>
      </c>
    </row>
    <row r="233" spans="1:6" ht="14.25" thickBot="1">
      <c r="A233" s="1852" t="s">
        <v>1409</v>
      </c>
      <c r="B233" s="1856" t="s">
        <v>2161</v>
      </c>
      <c r="C233" s="1857">
        <v>0.14499999999999999</v>
      </c>
      <c r="D233" s="1857">
        <v>0.14299999999999999</v>
      </c>
      <c r="E233" s="1857">
        <v>0.14199999999999999</v>
      </c>
      <c r="F233" s="1865"/>
    </row>
    <row r="234" spans="1:6" ht="14.25" thickBot="1">
      <c r="A234" s="1852" t="s">
        <v>1409</v>
      </c>
      <c r="B234" s="1856" t="s">
        <v>2162</v>
      </c>
      <c r="C234" s="1857">
        <v>0.14000000000000001</v>
      </c>
      <c r="D234" s="1857">
        <v>0.14000000000000001</v>
      </c>
      <c r="E234" s="1857">
        <v>0.14399999999999999</v>
      </c>
      <c r="F234" s="1865"/>
    </row>
    <row r="235" spans="1:6" ht="14.25" thickBot="1">
      <c r="A235" s="1852" t="s">
        <v>1409</v>
      </c>
      <c r="B235" s="1856" t="s">
        <v>2163</v>
      </c>
      <c r="C235" s="1857">
        <v>0.14099999999999999</v>
      </c>
      <c r="D235" s="1857">
        <v>0.14199999999999999</v>
      </c>
      <c r="E235" s="1857">
        <v>0.14499999999999999</v>
      </c>
      <c r="F235" s="1858">
        <v>0.15</v>
      </c>
    </row>
    <row r="236" spans="1:6" ht="14.25" thickBot="1">
      <c r="A236" s="1852" t="s">
        <v>1409</v>
      </c>
      <c r="B236" s="1856" t="s">
        <v>1341</v>
      </c>
      <c r="C236" s="1866"/>
      <c r="D236" s="1866"/>
      <c r="E236" s="1866"/>
      <c r="F236" s="1858">
        <v>0.14299999999999999</v>
      </c>
    </row>
    <row r="237" spans="1:6" ht="24.75" thickBot="1">
      <c r="A237" s="1852" t="s">
        <v>1409</v>
      </c>
      <c r="B237" s="1856" t="s">
        <v>2164</v>
      </c>
      <c r="C237" s="1866"/>
      <c r="D237" s="1866"/>
      <c r="E237" s="1866"/>
      <c r="F237" s="1858">
        <v>0.05</v>
      </c>
    </row>
    <row r="238" spans="1:6" ht="24.75" thickBot="1">
      <c r="A238" s="1852" t="s">
        <v>1409</v>
      </c>
      <c r="B238" s="1856" t="s">
        <v>2165</v>
      </c>
      <c r="C238" s="1866"/>
      <c r="D238" s="1866"/>
      <c r="E238" s="1866"/>
      <c r="F238" s="1858">
        <v>0.05</v>
      </c>
    </row>
    <row r="239" spans="1:6" ht="24.75" thickBot="1">
      <c r="A239" s="1852" t="s">
        <v>1409</v>
      </c>
      <c r="B239" s="1856" t="s">
        <v>2166</v>
      </c>
      <c r="C239" s="1866"/>
      <c r="D239" s="1866"/>
      <c r="E239" s="1866"/>
      <c r="F239" s="1858">
        <v>0.05</v>
      </c>
    </row>
    <row r="240" spans="1:6" ht="24.75" thickBot="1">
      <c r="A240" s="1852" t="s">
        <v>1409</v>
      </c>
      <c r="B240" s="1856" t="s">
        <v>2167</v>
      </c>
      <c r="C240" s="1866"/>
      <c r="D240" s="1866"/>
      <c r="E240" s="1866"/>
      <c r="F240" s="1858">
        <v>0.05</v>
      </c>
    </row>
    <row r="241" spans="1:6" ht="24.75" thickBot="1">
      <c r="A241" s="1852" t="s">
        <v>1409</v>
      </c>
      <c r="B241" s="1856" t="s">
        <v>2168</v>
      </c>
      <c r="C241" s="1866"/>
      <c r="D241" s="1866"/>
      <c r="E241" s="1866"/>
      <c r="F241" s="1858">
        <v>0.05</v>
      </c>
    </row>
    <row r="242" spans="1:6" ht="24.75" thickBot="1">
      <c r="A242" s="1852" t="s">
        <v>1409</v>
      </c>
      <c r="B242" s="1856" t="s">
        <v>2169</v>
      </c>
      <c r="C242" s="1866"/>
      <c r="D242" s="1866"/>
      <c r="E242" s="1866"/>
      <c r="F242" s="1858">
        <v>0.05</v>
      </c>
    </row>
    <row r="243" spans="1:6" ht="24.75" thickBot="1">
      <c r="A243" s="1852" t="s">
        <v>1409</v>
      </c>
      <c r="B243" s="1856" t="s">
        <v>2170</v>
      </c>
      <c r="C243" s="1866"/>
      <c r="D243" s="1866"/>
      <c r="E243" s="1866"/>
      <c r="F243" s="1858">
        <v>0.05</v>
      </c>
    </row>
    <row r="244" spans="1:6" ht="24.75" thickBot="1">
      <c r="A244" s="1860" t="s">
        <v>1409</v>
      </c>
      <c r="B244" s="1867" t="s">
        <v>2171</v>
      </c>
      <c r="C244" s="1863"/>
      <c r="D244" s="1863"/>
      <c r="E244" s="1863"/>
      <c r="F244" s="1868">
        <v>0.05</v>
      </c>
    </row>
    <row r="245" spans="1:6" ht="14.25" thickBot="1">
      <c r="A245" s="1852" t="s">
        <v>1411</v>
      </c>
      <c r="B245" s="1853" t="s">
        <v>2172</v>
      </c>
      <c r="C245" s="1854">
        <v>0.15</v>
      </c>
      <c r="D245" s="1854">
        <v>0.15</v>
      </c>
      <c r="E245" s="1854">
        <v>0.15</v>
      </c>
      <c r="F245" s="1855">
        <v>0.14299999999999999</v>
      </c>
    </row>
    <row r="246" spans="1:6" ht="14.25" thickBot="1">
      <c r="A246" s="1852" t="s">
        <v>1411</v>
      </c>
      <c r="B246" s="1856" t="s">
        <v>1074</v>
      </c>
      <c r="C246" s="1857">
        <v>0.15</v>
      </c>
      <c r="D246" s="1857">
        <v>0.15</v>
      </c>
      <c r="E246" s="1857">
        <v>0.15</v>
      </c>
      <c r="F246" s="1858">
        <v>0.114</v>
      </c>
    </row>
    <row r="247" spans="1:6" ht="14.25" thickBot="1">
      <c r="A247" s="1852" t="s">
        <v>1411</v>
      </c>
      <c r="B247" s="1856" t="s">
        <v>2173</v>
      </c>
      <c r="C247" s="1857">
        <v>0.15</v>
      </c>
      <c r="D247" s="1857">
        <v>0.15</v>
      </c>
      <c r="E247" s="1857">
        <v>0.15</v>
      </c>
      <c r="F247" s="1858">
        <v>0.15</v>
      </c>
    </row>
    <row r="248" spans="1:6" ht="14.25" thickBot="1">
      <c r="A248" s="1852" t="s">
        <v>1411</v>
      </c>
      <c r="B248" s="1856" t="s">
        <v>2174</v>
      </c>
      <c r="C248" s="1857">
        <v>0.15</v>
      </c>
      <c r="D248" s="1857">
        <v>0.15</v>
      </c>
      <c r="E248" s="1857">
        <v>0.15</v>
      </c>
      <c r="F248" s="1858">
        <v>0.14000000000000001</v>
      </c>
    </row>
    <row r="249" spans="1:6" ht="14.25" thickBot="1">
      <c r="A249" s="1852" t="s">
        <v>1411</v>
      </c>
      <c r="B249" s="1856" t="s">
        <v>2175</v>
      </c>
      <c r="C249" s="1857">
        <v>0.15</v>
      </c>
      <c r="D249" s="1857">
        <v>0.14899999999999999</v>
      </c>
      <c r="E249" s="1857">
        <v>0.15</v>
      </c>
      <c r="F249" s="1858">
        <v>0.1</v>
      </c>
    </row>
    <row r="250" spans="1:6" ht="14.25" thickBot="1">
      <c r="A250" s="1852" t="s">
        <v>1411</v>
      </c>
      <c r="B250" s="1856" t="s">
        <v>2176</v>
      </c>
      <c r="C250" s="1857">
        <v>0.15</v>
      </c>
      <c r="D250" s="1857">
        <v>0.15</v>
      </c>
      <c r="E250" s="1857">
        <v>0.15</v>
      </c>
      <c r="F250" s="1858">
        <v>0.14399999999999999</v>
      </c>
    </row>
    <row r="251" spans="1:6" ht="14.25" thickBot="1">
      <c r="A251" s="1852" t="s">
        <v>1411</v>
      </c>
      <c r="B251" s="1856" t="s">
        <v>1137</v>
      </c>
      <c r="C251" s="1857">
        <v>0.15</v>
      </c>
      <c r="D251" s="1857">
        <v>0.15</v>
      </c>
      <c r="E251" s="1857">
        <v>0.15</v>
      </c>
      <c r="F251" s="1858">
        <v>0.14299999999999999</v>
      </c>
    </row>
    <row r="252" spans="1:6" ht="14.25" thickBot="1">
      <c r="A252" s="1852" t="s">
        <v>1411</v>
      </c>
      <c r="B252" s="1856" t="s">
        <v>1148</v>
      </c>
      <c r="C252" s="1857">
        <v>0.15</v>
      </c>
      <c r="D252" s="1857">
        <v>0.15</v>
      </c>
      <c r="E252" s="1857">
        <v>0.15</v>
      </c>
      <c r="F252" s="1858">
        <v>0.1</v>
      </c>
    </row>
    <row r="253" spans="1:6" ht="14.25" thickBot="1">
      <c r="A253" s="1852" t="s">
        <v>1411</v>
      </c>
      <c r="B253" s="1856" t="s">
        <v>1160</v>
      </c>
      <c r="C253" s="1857">
        <v>0.15</v>
      </c>
      <c r="D253" s="1857">
        <v>0.15</v>
      </c>
      <c r="E253" s="1857">
        <v>0.15</v>
      </c>
      <c r="F253" s="1858">
        <v>0.1</v>
      </c>
    </row>
    <row r="254" spans="1:6" ht="14.25" thickBot="1">
      <c r="A254" s="1852" t="s">
        <v>1411</v>
      </c>
      <c r="B254" s="1856" t="s">
        <v>1170</v>
      </c>
      <c r="C254" s="1866"/>
      <c r="D254" s="1866"/>
      <c r="E254" s="1866"/>
      <c r="F254" s="1858">
        <v>0.15</v>
      </c>
    </row>
    <row r="255" spans="1:6" ht="14.25" thickBot="1">
      <c r="A255" s="1852" t="s">
        <v>1411</v>
      </c>
      <c r="B255" s="1856" t="s">
        <v>1180</v>
      </c>
      <c r="C255" s="1866"/>
      <c r="D255" s="1866"/>
      <c r="E255" s="1866"/>
      <c r="F255" s="1858">
        <v>0.14299999999999999</v>
      </c>
    </row>
    <row r="256" spans="1:6" ht="14.25" thickBot="1">
      <c r="A256" s="1852" t="s">
        <v>1411</v>
      </c>
      <c r="B256" s="1856" t="s">
        <v>2177</v>
      </c>
      <c r="C256" s="1857">
        <v>0.14599999999999999</v>
      </c>
      <c r="D256" s="1857">
        <v>0.14699999999999999</v>
      </c>
      <c r="E256" s="1857">
        <v>0.15</v>
      </c>
      <c r="F256" s="1858">
        <v>0.13200000000000001</v>
      </c>
    </row>
    <row r="257" spans="1:6" ht="14.25" thickBot="1">
      <c r="A257" s="1852" t="s">
        <v>1411</v>
      </c>
      <c r="B257" s="1856" t="s">
        <v>1200</v>
      </c>
      <c r="C257" s="1857">
        <v>0.15</v>
      </c>
      <c r="D257" s="1857">
        <v>0.15</v>
      </c>
      <c r="E257" s="1857">
        <v>0.15</v>
      </c>
      <c r="F257" s="1858">
        <v>0.13900000000000001</v>
      </c>
    </row>
    <row r="258" spans="1:6" ht="14.25" thickBot="1">
      <c r="A258" s="1852" t="s">
        <v>1411</v>
      </c>
      <c r="B258" s="1856" t="s">
        <v>1210</v>
      </c>
      <c r="C258" s="1857">
        <v>0.15</v>
      </c>
      <c r="D258" s="1857">
        <v>0.15</v>
      </c>
      <c r="E258" s="1857">
        <v>0.15</v>
      </c>
      <c r="F258" s="1858">
        <v>0.13</v>
      </c>
    </row>
    <row r="259" spans="1:6" ht="14.25" thickBot="1">
      <c r="A259" s="1852" t="s">
        <v>1411</v>
      </c>
      <c r="B259" s="1856" t="s">
        <v>2178</v>
      </c>
      <c r="C259" s="1857">
        <v>0.14799999999999999</v>
      </c>
      <c r="D259" s="1857">
        <v>0.14899999999999999</v>
      </c>
      <c r="E259" s="1857">
        <v>0.15</v>
      </c>
      <c r="F259" s="1858">
        <v>0.13700000000000001</v>
      </c>
    </row>
    <row r="260" spans="1:6" ht="14.25" thickBot="1">
      <c r="A260" s="1852" t="s">
        <v>1411</v>
      </c>
      <c r="B260" s="1856" t="s">
        <v>1230</v>
      </c>
      <c r="C260" s="1857">
        <v>0.15</v>
      </c>
      <c r="D260" s="1857">
        <v>0.15</v>
      </c>
      <c r="E260" s="1857">
        <v>0.15</v>
      </c>
      <c r="F260" s="1858">
        <v>0.14199999999999999</v>
      </c>
    </row>
    <row r="261" spans="1:6" ht="14.25" thickBot="1">
      <c r="A261" s="1852" t="s">
        <v>1411</v>
      </c>
      <c r="B261" s="1856" t="s">
        <v>1240</v>
      </c>
      <c r="C261" s="1857">
        <v>0.15</v>
      </c>
      <c r="D261" s="1857">
        <v>0.15</v>
      </c>
      <c r="E261" s="1857">
        <v>0.14899999999999999</v>
      </c>
      <c r="F261" s="1858">
        <v>0.14799999999999999</v>
      </c>
    </row>
    <row r="262" spans="1:6" ht="14.25" thickBot="1">
      <c r="A262" s="1852" t="s">
        <v>1411</v>
      </c>
      <c r="B262" s="1856" t="s">
        <v>1250</v>
      </c>
      <c r="C262" s="1857">
        <v>0.15</v>
      </c>
      <c r="D262" s="1857">
        <v>0.15</v>
      </c>
      <c r="E262" s="1857">
        <v>0.15</v>
      </c>
      <c r="F262" s="1865"/>
    </row>
    <row r="263" spans="1:6" ht="14.25" thickBot="1">
      <c r="A263" s="1852" t="s">
        <v>1411</v>
      </c>
      <c r="B263" s="1856" t="s">
        <v>2179</v>
      </c>
      <c r="C263" s="1857">
        <v>0.14899999999999999</v>
      </c>
      <c r="D263" s="1857">
        <v>0.14899999999999999</v>
      </c>
      <c r="E263" s="1857">
        <v>0.15</v>
      </c>
      <c r="F263" s="1858">
        <v>0.13</v>
      </c>
    </row>
    <row r="264" spans="1:6" ht="14.25" thickBot="1">
      <c r="A264" s="1852" t="s">
        <v>1411</v>
      </c>
      <c r="B264" s="1856" t="s">
        <v>1269</v>
      </c>
      <c r="C264" s="1857">
        <v>0.14799999999999999</v>
      </c>
      <c r="D264" s="1857">
        <v>0.14699999999999999</v>
      </c>
      <c r="E264" s="1857">
        <v>0.15</v>
      </c>
      <c r="F264" s="1858">
        <v>7.8E-2</v>
      </c>
    </row>
    <row r="265" spans="1:6" ht="14.25" thickBot="1">
      <c r="A265" s="1852" t="s">
        <v>1411</v>
      </c>
      <c r="B265" s="1856" t="s">
        <v>1278</v>
      </c>
      <c r="C265" s="1857">
        <v>0.15</v>
      </c>
      <c r="D265" s="1857">
        <v>0.15</v>
      </c>
      <c r="E265" s="1857">
        <v>0.15</v>
      </c>
      <c r="F265" s="1858">
        <v>7.3999999999999996E-2</v>
      </c>
    </row>
    <row r="266" spans="1:6" ht="14.25" thickBot="1">
      <c r="A266" s="1852" t="s">
        <v>1411</v>
      </c>
      <c r="B266" s="1856" t="s">
        <v>1286</v>
      </c>
      <c r="C266" s="1857">
        <v>0.14699999999999999</v>
      </c>
      <c r="D266" s="1857">
        <v>0.14699999999999999</v>
      </c>
      <c r="E266" s="1857">
        <v>0.15</v>
      </c>
      <c r="F266" s="1858">
        <v>0.14299999999999999</v>
      </c>
    </row>
    <row r="267" spans="1:6" ht="14.25" thickBot="1">
      <c r="A267" s="1852" t="s">
        <v>1411</v>
      </c>
      <c r="B267" s="1856" t="s">
        <v>1293</v>
      </c>
      <c r="C267" s="1857">
        <v>0.14199999999999999</v>
      </c>
      <c r="D267" s="1857">
        <v>0.14299999999999999</v>
      </c>
      <c r="E267" s="1857">
        <v>0.15</v>
      </c>
      <c r="F267" s="1865"/>
    </row>
    <row r="268" spans="1:6" ht="14.25" thickBot="1">
      <c r="A268" s="1852" t="s">
        <v>1411</v>
      </c>
      <c r="B268" s="1856" t="s">
        <v>2180</v>
      </c>
      <c r="C268" s="1857">
        <v>0.15</v>
      </c>
      <c r="D268" s="1857">
        <v>0.15</v>
      </c>
      <c r="E268" s="1857">
        <v>0.15</v>
      </c>
      <c r="F268" s="1858">
        <v>0.13</v>
      </c>
    </row>
    <row r="269" spans="1:6" ht="14.25" thickBot="1">
      <c r="A269" s="1852" t="s">
        <v>1411</v>
      </c>
      <c r="B269" s="1856" t="s">
        <v>1307</v>
      </c>
      <c r="C269" s="1857">
        <v>0.15</v>
      </c>
      <c r="D269" s="1857">
        <v>0.15</v>
      </c>
      <c r="E269" s="1857">
        <v>0.15</v>
      </c>
      <c r="F269" s="1858">
        <v>0.14299999999999999</v>
      </c>
    </row>
    <row r="270" spans="1:6" ht="14.25" thickBot="1">
      <c r="A270" s="1852" t="s">
        <v>1411</v>
      </c>
      <c r="B270" s="1856" t="s">
        <v>1314</v>
      </c>
      <c r="C270" s="1857">
        <v>0.14499999999999999</v>
      </c>
      <c r="D270" s="1857">
        <v>0.14499999999999999</v>
      </c>
      <c r="E270" s="1857">
        <v>0.15</v>
      </c>
      <c r="F270" s="1858">
        <v>0.14699999999999999</v>
      </c>
    </row>
    <row r="271" spans="1:6" ht="14.25" thickBot="1">
      <c r="A271" s="1852" t="s">
        <v>1411</v>
      </c>
      <c r="B271" s="1856" t="s">
        <v>1321</v>
      </c>
      <c r="C271" s="1857">
        <v>0.15</v>
      </c>
      <c r="D271" s="1857">
        <v>0.15</v>
      </c>
      <c r="E271" s="1857">
        <v>0.15</v>
      </c>
      <c r="F271" s="1858">
        <v>0.13800000000000001</v>
      </c>
    </row>
    <row r="272" spans="1:6" ht="14.25" thickBot="1">
      <c r="A272" s="1852" t="s">
        <v>1411</v>
      </c>
      <c r="B272" s="1856" t="s">
        <v>1328</v>
      </c>
      <c r="C272" s="1866"/>
      <c r="D272" s="1866"/>
      <c r="E272" s="1866"/>
      <c r="F272" s="1858">
        <v>0.14000000000000001</v>
      </c>
    </row>
    <row r="273" spans="1:6" ht="14.25" thickBot="1">
      <c r="A273" s="1852" t="s">
        <v>1411</v>
      </c>
      <c r="B273" s="1856" t="s">
        <v>2181</v>
      </c>
      <c r="C273" s="1857">
        <v>0.14199999999999999</v>
      </c>
      <c r="D273" s="1857">
        <v>0.14299999999999999</v>
      </c>
      <c r="E273" s="1857">
        <v>0.15</v>
      </c>
      <c r="F273" s="1858">
        <v>0.1</v>
      </c>
    </row>
    <row r="274" spans="1:6" ht="14.25" thickBot="1">
      <c r="A274" s="1852" t="s">
        <v>1411</v>
      </c>
      <c r="B274" s="1856" t="s">
        <v>2182</v>
      </c>
      <c r="C274" s="1857">
        <v>0.14799999999999999</v>
      </c>
      <c r="D274" s="1857">
        <v>0.14799999999999999</v>
      </c>
      <c r="E274" s="1857">
        <v>0.15</v>
      </c>
      <c r="F274" s="1858">
        <v>6.7000000000000004E-2</v>
      </c>
    </row>
    <row r="275" spans="1:6" ht="14.25" thickBot="1">
      <c r="A275" s="1852" t="s">
        <v>1411</v>
      </c>
      <c r="B275" s="1856" t="s">
        <v>2183</v>
      </c>
      <c r="C275" s="1857">
        <v>0.15</v>
      </c>
      <c r="D275" s="1857">
        <v>0.15</v>
      </c>
      <c r="E275" s="1857">
        <v>0.15</v>
      </c>
      <c r="F275" s="1858">
        <v>0.15</v>
      </c>
    </row>
    <row r="276" spans="1:6" ht="14.25" thickBot="1">
      <c r="A276" s="1852" t="s">
        <v>1411</v>
      </c>
      <c r="B276" s="1856" t="s">
        <v>2184</v>
      </c>
      <c r="C276" s="1857">
        <v>0.14499999999999999</v>
      </c>
      <c r="D276" s="1857">
        <v>0.14299999999999999</v>
      </c>
      <c r="E276" s="1857">
        <v>0.15</v>
      </c>
      <c r="F276" s="1858">
        <v>5.8999999999999997E-2</v>
      </c>
    </row>
    <row r="277" spans="1:6" ht="14.25" thickBot="1">
      <c r="A277" s="1852" t="s">
        <v>1411</v>
      </c>
      <c r="B277" s="1856" t="s">
        <v>2185</v>
      </c>
      <c r="C277" s="1857">
        <v>0.15</v>
      </c>
      <c r="D277" s="1857">
        <v>0.15</v>
      </c>
      <c r="E277" s="1857">
        <v>0.15</v>
      </c>
      <c r="F277" s="1858">
        <v>0.121</v>
      </c>
    </row>
    <row r="278" spans="1:6" ht="14.25" thickBot="1">
      <c r="A278" s="1852" t="s">
        <v>1411</v>
      </c>
      <c r="B278" s="1856" t="s">
        <v>2186</v>
      </c>
      <c r="C278" s="1857">
        <v>0.15</v>
      </c>
      <c r="D278" s="1857">
        <v>0.15</v>
      </c>
      <c r="E278" s="1857">
        <v>0.15</v>
      </c>
      <c r="F278" s="1858">
        <v>0.13800000000000001</v>
      </c>
    </row>
    <row r="279" spans="1:6" ht="24.75" thickBot="1">
      <c r="A279" s="1852" t="s">
        <v>1411</v>
      </c>
      <c r="B279" s="1856" t="s">
        <v>2187</v>
      </c>
      <c r="C279" s="1866"/>
      <c r="D279" s="1866"/>
      <c r="E279" s="1866"/>
      <c r="F279" s="1858">
        <v>0.05</v>
      </c>
    </row>
    <row r="280" spans="1:6" ht="24.75" thickBot="1">
      <c r="A280" s="1852" t="s">
        <v>1411</v>
      </c>
      <c r="B280" s="1856" t="s">
        <v>2188</v>
      </c>
      <c r="C280" s="1866"/>
      <c r="D280" s="1866"/>
      <c r="E280" s="1866"/>
      <c r="F280" s="1858">
        <v>0.05</v>
      </c>
    </row>
    <row r="281" spans="1:6" ht="24.75" thickBot="1">
      <c r="A281" s="1852" t="s">
        <v>1411</v>
      </c>
      <c r="B281" s="1856" t="s">
        <v>2189</v>
      </c>
      <c r="C281" s="1866"/>
      <c r="D281" s="1866"/>
      <c r="E281" s="1866"/>
      <c r="F281" s="1858">
        <v>0.05</v>
      </c>
    </row>
    <row r="282" spans="1:6" ht="24.75" thickBot="1">
      <c r="A282" s="1852" t="s">
        <v>1411</v>
      </c>
      <c r="B282" s="1856" t="s">
        <v>2190</v>
      </c>
      <c r="C282" s="1866"/>
      <c r="D282" s="1866"/>
      <c r="E282" s="1866"/>
      <c r="F282" s="1858">
        <v>0.05</v>
      </c>
    </row>
    <row r="283" spans="1:6" ht="24.75" thickBot="1">
      <c r="A283" s="1852" t="s">
        <v>1411</v>
      </c>
      <c r="B283" s="1856" t="s">
        <v>2191</v>
      </c>
      <c r="C283" s="1866"/>
      <c r="D283" s="1866"/>
      <c r="E283" s="1866"/>
      <c r="F283" s="1858">
        <v>0.05</v>
      </c>
    </row>
    <row r="284" spans="1:6" ht="24.75" thickBot="1">
      <c r="A284" s="1852" t="s">
        <v>1411</v>
      </c>
      <c r="B284" s="1856" t="s">
        <v>2192</v>
      </c>
      <c r="C284" s="1866"/>
      <c r="D284" s="1866"/>
      <c r="E284" s="1866"/>
      <c r="F284" s="1858">
        <v>0.05</v>
      </c>
    </row>
    <row r="285" spans="1:6" ht="24.75" thickBot="1">
      <c r="A285" s="1852" t="s">
        <v>1411</v>
      </c>
      <c r="B285" s="1856" t="s">
        <v>2193</v>
      </c>
      <c r="C285" s="1866"/>
      <c r="D285" s="1866"/>
      <c r="E285" s="1866"/>
      <c r="F285" s="1858">
        <v>0.05</v>
      </c>
    </row>
    <row r="286" spans="1:6" ht="24.75" thickBot="1">
      <c r="A286" s="1852" t="s">
        <v>1411</v>
      </c>
      <c r="B286" s="1856" t="s">
        <v>2194</v>
      </c>
      <c r="C286" s="1866"/>
      <c r="D286" s="1866"/>
      <c r="E286" s="1866"/>
      <c r="F286" s="1858">
        <v>0.05</v>
      </c>
    </row>
    <row r="287" spans="1:6" ht="24.75" thickBot="1">
      <c r="A287" s="1852" t="s">
        <v>1411</v>
      </c>
      <c r="B287" s="1856" t="s">
        <v>2195</v>
      </c>
      <c r="C287" s="1866"/>
      <c r="D287" s="1866"/>
      <c r="E287" s="1866"/>
      <c r="F287" s="1858">
        <v>0.05</v>
      </c>
    </row>
    <row r="288" spans="1:6" ht="24.75" thickBot="1">
      <c r="A288" s="1852" t="s">
        <v>1411</v>
      </c>
      <c r="B288" s="1856" t="s">
        <v>2196</v>
      </c>
      <c r="C288" s="1866"/>
      <c r="D288" s="1866"/>
      <c r="E288" s="1866"/>
      <c r="F288" s="1858">
        <v>0.05</v>
      </c>
    </row>
    <row r="289" spans="1:6" ht="24.75" thickBot="1">
      <c r="A289" s="1860" t="s">
        <v>1411</v>
      </c>
      <c r="B289" s="1867" t="s">
        <v>2197</v>
      </c>
      <c r="C289" s="1863"/>
      <c r="D289" s="1863"/>
      <c r="E289" s="1863"/>
      <c r="F289" s="1868">
        <v>0.05</v>
      </c>
    </row>
    <row r="290" spans="1:6" ht="14.25" thickBot="1">
      <c r="A290" s="1852" t="s">
        <v>1415</v>
      </c>
      <c r="B290" s="1853" t="s">
        <v>2198</v>
      </c>
      <c r="C290" s="1854">
        <v>0.15</v>
      </c>
      <c r="D290" s="1854">
        <v>0.15</v>
      </c>
      <c r="E290" s="1854">
        <v>0.15</v>
      </c>
      <c r="F290" s="1876"/>
    </row>
    <row r="291" spans="1:6" ht="14.25" thickBot="1">
      <c r="A291" s="1852" t="s">
        <v>1415</v>
      </c>
      <c r="B291" s="1856" t="s">
        <v>1075</v>
      </c>
      <c r="C291" s="1857">
        <v>0.15</v>
      </c>
      <c r="D291" s="1857">
        <v>0.15</v>
      </c>
      <c r="E291" s="1857">
        <v>0.15</v>
      </c>
      <c r="F291" s="1865"/>
    </row>
    <row r="292" spans="1:6" ht="14.25" thickBot="1">
      <c r="A292" s="1852" t="s">
        <v>1415</v>
      </c>
      <c r="B292" s="1856" t="s">
        <v>2199</v>
      </c>
      <c r="C292" s="1857">
        <v>0.15</v>
      </c>
      <c r="D292" s="1857">
        <v>0.15</v>
      </c>
      <c r="E292" s="1857">
        <v>0.15</v>
      </c>
      <c r="F292" s="1858">
        <v>0.14699999999999999</v>
      </c>
    </row>
    <row r="293" spans="1:6" ht="14.25" thickBot="1">
      <c r="A293" s="1852" t="s">
        <v>1415</v>
      </c>
      <c r="B293" s="1856" t="s">
        <v>2200</v>
      </c>
      <c r="C293" s="1866"/>
      <c r="D293" s="1866"/>
      <c r="E293" s="1866"/>
      <c r="F293" s="1858">
        <v>0.1</v>
      </c>
    </row>
    <row r="294" spans="1:6" ht="14.25" thickBot="1">
      <c r="A294" s="1852" t="s">
        <v>1415</v>
      </c>
      <c r="B294" s="1856" t="s">
        <v>2201</v>
      </c>
      <c r="C294" s="1857">
        <v>0.15</v>
      </c>
      <c r="D294" s="1857">
        <v>0.15</v>
      </c>
      <c r="E294" s="1857">
        <v>0.15</v>
      </c>
      <c r="F294" s="1858">
        <v>0.15</v>
      </c>
    </row>
    <row r="295" spans="1:6" ht="14.25" thickBot="1">
      <c r="A295" s="1852" t="s">
        <v>1415</v>
      </c>
      <c r="B295" s="1856" t="s">
        <v>1116</v>
      </c>
      <c r="C295" s="1857">
        <v>0.15</v>
      </c>
      <c r="D295" s="1857">
        <v>0.15</v>
      </c>
      <c r="E295" s="1857">
        <v>0.15</v>
      </c>
      <c r="F295" s="1858">
        <v>0.15</v>
      </c>
    </row>
    <row r="296" spans="1:6" ht="14.25" thickBot="1">
      <c r="A296" s="1852" t="s">
        <v>1415</v>
      </c>
      <c r="B296" s="1856" t="s">
        <v>2202</v>
      </c>
      <c r="C296" s="1857">
        <v>0.15</v>
      </c>
      <c r="D296" s="1857">
        <v>0.15</v>
      </c>
      <c r="E296" s="1857">
        <v>0.15</v>
      </c>
      <c r="F296" s="1858">
        <v>0.15</v>
      </c>
    </row>
    <row r="297" spans="1:6" ht="14.25" thickBot="1">
      <c r="A297" s="1852" t="s">
        <v>1415</v>
      </c>
      <c r="B297" s="1856" t="s">
        <v>2203</v>
      </c>
      <c r="C297" s="1857">
        <v>0.14799999999999999</v>
      </c>
      <c r="D297" s="1857">
        <v>0.14899999999999999</v>
      </c>
      <c r="E297" s="1857">
        <v>0.15</v>
      </c>
      <c r="F297" s="1858">
        <v>0.13700000000000001</v>
      </c>
    </row>
    <row r="298" spans="1:6" ht="14.25" thickBot="1">
      <c r="A298" s="1852" t="s">
        <v>1415</v>
      </c>
      <c r="B298" s="1856" t="s">
        <v>1149</v>
      </c>
      <c r="C298" s="1857">
        <v>0.13400000000000001</v>
      </c>
      <c r="D298" s="1857">
        <v>0.13400000000000001</v>
      </c>
      <c r="E298" s="1857">
        <v>0.14499999999999999</v>
      </c>
      <c r="F298" s="1858">
        <v>0.14799999999999999</v>
      </c>
    </row>
    <row r="299" spans="1:6" ht="14.25" thickBot="1">
      <c r="A299" s="1852" t="s">
        <v>1415</v>
      </c>
      <c r="B299" s="1856" t="s">
        <v>1161</v>
      </c>
      <c r="C299" s="1857">
        <v>0.15</v>
      </c>
      <c r="D299" s="1857">
        <v>0.15</v>
      </c>
      <c r="E299" s="1857">
        <v>0.15</v>
      </c>
      <c r="F299" s="1865"/>
    </row>
    <row r="300" spans="1:6" ht="14.25" thickBot="1">
      <c r="A300" s="1852" t="s">
        <v>1415</v>
      </c>
      <c r="B300" s="1856" t="s">
        <v>2204</v>
      </c>
      <c r="C300" s="1857">
        <v>0.15</v>
      </c>
      <c r="D300" s="1857">
        <v>0.15</v>
      </c>
      <c r="E300" s="1857">
        <v>0.15</v>
      </c>
      <c r="F300" s="1858">
        <v>0.15</v>
      </c>
    </row>
    <row r="301" spans="1:6" ht="14.25" thickBot="1">
      <c r="A301" s="1852" t="s">
        <v>1415</v>
      </c>
      <c r="B301" s="1856" t="s">
        <v>1181</v>
      </c>
      <c r="C301" s="1857">
        <v>0.15</v>
      </c>
      <c r="D301" s="1857">
        <v>0.15</v>
      </c>
      <c r="E301" s="1857">
        <v>0.15</v>
      </c>
      <c r="F301" s="1865"/>
    </row>
    <row r="302" spans="1:6" ht="14.25" thickBot="1">
      <c r="A302" s="1852" t="s">
        <v>1415</v>
      </c>
      <c r="B302" s="1856" t="s">
        <v>2205</v>
      </c>
      <c r="C302" s="1857">
        <v>0.15</v>
      </c>
      <c r="D302" s="1857">
        <v>0.15</v>
      </c>
      <c r="E302" s="1857">
        <v>0.15</v>
      </c>
      <c r="F302" s="1858">
        <v>0.15</v>
      </c>
    </row>
    <row r="303" spans="1:6" ht="14.25" thickBot="1">
      <c r="A303" s="1852" t="s">
        <v>1415</v>
      </c>
      <c r="B303" s="1856" t="s">
        <v>1201</v>
      </c>
      <c r="C303" s="1857">
        <v>0.15</v>
      </c>
      <c r="D303" s="1857">
        <v>0.15</v>
      </c>
      <c r="E303" s="1857">
        <v>0.15</v>
      </c>
      <c r="F303" s="1858">
        <v>0.15</v>
      </c>
    </row>
    <row r="304" spans="1:6" ht="14.25" thickBot="1">
      <c r="A304" s="1852" t="s">
        <v>1415</v>
      </c>
      <c r="B304" s="1856" t="s">
        <v>1211</v>
      </c>
      <c r="C304" s="1857">
        <v>0.15</v>
      </c>
      <c r="D304" s="1857">
        <v>0.15</v>
      </c>
      <c r="E304" s="1857">
        <v>0.15</v>
      </c>
      <c r="F304" s="1865"/>
    </row>
    <row r="305" spans="1:6" ht="14.25" thickBot="1">
      <c r="A305" s="1852" t="s">
        <v>1415</v>
      </c>
      <c r="B305" s="1856" t="s">
        <v>2206</v>
      </c>
      <c r="C305" s="1857">
        <v>0.15</v>
      </c>
      <c r="D305" s="1857">
        <v>0.15</v>
      </c>
      <c r="E305" s="1857">
        <v>0.15</v>
      </c>
      <c r="F305" s="1858">
        <v>0.14000000000000001</v>
      </c>
    </row>
    <row r="306" spans="1:6" ht="14.25" thickBot="1">
      <c r="A306" s="1852" t="s">
        <v>1415</v>
      </c>
      <c r="B306" s="1856" t="s">
        <v>1231</v>
      </c>
      <c r="C306" s="1857">
        <v>0.15</v>
      </c>
      <c r="D306" s="1857">
        <v>0.15</v>
      </c>
      <c r="E306" s="1857">
        <v>0.15</v>
      </c>
      <c r="F306" s="1865"/>
    </row>
    <row r="307" spans="1:6" ht="14.25" thickBot="1">
      <c r="A307" s="1852" t="s">
        <v>1415</v>
      </c>
      <c r="B307" s="1856" t="s">
        <v>2207</v>
      </c>
      <c r="C307" s="1857">
        <v>0.15</v>
      </c>
      <c r="D307" s="1857">
        <v>0.15</v>
      </c>
      <c r="E307" s="1857">
        <v>0.15</v>
      </c>
      <c r="F307" s="1858">
        <v>0.14299999999999999</v>
      </c>
    </row>
    <row r="308" spans="1:6" ht="14.25" thickBot="1">
      <c r="A308" s="1852" t="s">
        <v>1415</v>
      </c>
      <c r="B308" s="1856" t="s">
        <v>1251</v>
      </c>
      <c r="C308" s="1857">
        <v>0.15</v>
      </c>
      <c r="D308" s="1857">
        <v>0.15</v>
      </c>
      <c r="E308" s="1857">
        <v>0.15</v>
      </c>
      <c r="F308" s="1858">
        <v>0.15</v>
      </c>
    </row>
    <row r="309" spans="1:6" ht="14.25" thickBot="1">
      <c r="A309" s="1852" t="s">
        <v>1415</v>
      </c>
      <c r="B309" s="1856" t="s">
        <v>1261</v>
      </c>
      <c r="C309" s="1857">
        <v>0.15</v>
      </c>
      <c r="D309" s="1857">
        <v>0.15</v>
      </c>
      <c r="E309" s="1857">
        <v>0.15</v>
      </c>
      <c r="F309" s="1865"/>
    </row>
    <row r="310" spans="1:6" ht="14.25" thickBot="1">
      <c r="A310" s="1852" t="s">
        <v>1415</v>
      </c>
      <c r="B310" s="1856" t="s">
        <v>2208</v>
      </c>
      <c r="C310" s="1857">
        <v>0.15</v>
      </c>
      <c r="D310" s="1857">
        <v>0.15</v>
      </c>
      <c r="E310" s="1857">
        <v>0.15</v>
      </c>
      <c r="F310" s="1858">
        <v>0.13700000000000001</v>
      </c>
    </row>
    <row r="311" spans="1:6" ht="14.25" thickBot="1">
      <c r="A311" s="1852" t="s">
        <v>1415</v>
      </c>
      <c r="B311" s="1856" t="s">
        <v>2209</v>
      </c>
      <c r="C311" s="1857">
        <v>0.15</v>
      </c>
      <c r="D311" s="1857">
        <v>0.15</v>
      </c>
      <c r="E311" s="1857">
        <v>0.15</v>
      </c>
      <c r="F311" s="1858">
        <v>0.15</v>
      </c>
    </row>
    <row r="312" spans="1:6" ht="14.25" thickBot="1">
      <c r="A312" s="1852" t="s">
        <v>1415</v>
      </c>
      <c r="B312" s="1856" t="s">
        <v>1287</v>
      </c>
      <c r="C312" s="1857">
        <v>0.15</v>
      </c>
      <c r="D312" s="1857">
        <v>0.15</v>
      </c>
      <c r="E312" s="1857">
        <v>0.15</v>
      </c>
      <c r="F312" s="1858">
        <v>0.1</v>
      </c>
    </row>
    <row r="313" spans="1:6" ht="14.25" thickBot="1">
      <c r="A313" s="1852" t="s">
        <v>1415</v>
      </c>
      <c r="B313" s="1856" t="s">
        <v>2210</v>
      </c>
      <c r="C313" s="1857">
        <v>0.15</v>
      </c>
      <c r="D313" s="1857">
        <v>0.15</v>
      </c>
      <c r="E313" s="1857">
        <v>0.15</v>
      </c>
      <c r="F313" s="1858">
        <v>0.15</v>
      </c>
    </row>
    <row r="314" spans="1:6" ht="24.75" thickBot="1">
      <c r="A314" s="1852" t="s">
        <v>1415</v>
      </c>
      <c r="B314" s="1856" t="s">
        <v>2211</v>
      </c>
      <c r="C314" s="1866"/>
      <c r="D314" s="1866"/>
      <c r="E314" s="1866"/>
      <c r="F314" s="1858">
        <v>0.05</v>
      </c>
    </row>
    <row r="315" spans="1:6" ht="24.75" thickBot="1">
      <c r="A315" s="1852" t="s">
        <v>1415</v>
      </c>
      <c r="B315" s="1856" t="s">
        <v>2212</v>
      </c>
      <c r="C315" s="1866"/>
      <c r="D315" s="1866"/>
      <c r="E315" s="1866"/>
      <c r="F315" s="1858">
        <v>0.05</v>
      </c>
    </row>
    <row r="316" spans="1:6" ht="24.75" thickBot="1">
      <c r="A316" s="1860" t="s">
        <v>1415</v>
      </c>
      <c r="B316" s="1867" t="s">
        <v>2213</v>
      </c>
      <c r="C316" s="1863"/>
      <c r="D316" s="1863"/>
      <c r="E316" s="1863"/>
      <c r="F316" s="1868">
        <v>0.05</v>
      </c>
    </row>
    <row r="317" spans="1:6" ht="14.25" thickBot="1">
      <c r="A317" s="1852" t="s">
        <v>2214</v>
      </c>
      <c r="B317" s="1853" t="s">
        <v>2215</v>
      </c>
      <c r="C317" s="1854">
        <v>0.15</v>
      </c>
      <c r="D317" s="1854">
        <v>0.15</v>
      </c>
      <c r="E317" s="1854">
        <v>0.15</v>
      </c>
      <c r="F317" s="1855">
        <v>0.15</v>
      </c>
    </row>
    <row r="318" spans="1:6" ht="14.25" thickBot="1">
      <c r="A318" s="1852" t="s">
        <v>2214</v>
      </c>
      <c r="B318" s="1856" t="s">
        <v>2216</v>
      </c>
      <c r="C318" s="1857">
        <v>0.107</v>
      </c>
      <c r="D318" s="1857">
        <v>0.11</v>
      </c>
      <c r="E318" s="1857">
        <v>0.112</v>
      </c>
      <c r="F318" s="1865"/>
    </row>
    <row r="319" spans="1:6" ht="14.25" thickBot="1">
      <c r="A319" s="1852" t="s">
        <v>2214</v>
      </c>
      <c r="B319" s="1856" t="s">
        <v>2217</v>
      </c>
      <c r="C319" s="1857">
        <v>0.15</v>
      </c>
      <c r="D319" s="1857">
        <v>0.15</v>
      </c>
      <c r="E319" s="1857">
        <v>0.15</v>
      </c>
      <c r="F319" s="1858">
        <v>0.15</v>
      </c>
    </row>
    <row r="320" spans="1:6" ht="14.25" thickBot="1">
      <c r="A320" s="1852" t="s">
        <v>2214</v>
      </c>
      <c r="B320" s="1856" t="s">
        <v>1103</v>
      </c>
      <c r="C320" s="1857">
        <v>0.15</v>
      </c>
      <c r="D320" s="1857">
        <v>0.15</v>
      </c>
      <c r="E320" s="1857">
        <v>0.15</v>
      </c>
      <c r="F320" s="1865"/>
    </row>
    <row r="321" spans="1:6" ht="14.25" thickBot="1">
      <c r="A321" s="1852" t="s">
        <v>2214</v>
      </c>
      <c r="B321" s="1856" t="s">
        <v>2218</v>
      </c>
      <c r="C321" s="1857">
        <v>0.15</v>
      </c>
      <c r="D321" s="1857">
        <v>0.15</v>
      </c>
      <c r="E321" s="1857">
        <v>0.15</v>
      </c>
      <c r="F321" s="1865"/>
    </row>
    <row r="322" spans="1:6" ht="14.25" thickBot="1">
      <c r="A322" s="1852" t="s">
        <v>2214</v>
      </c>
      <c r="B322" s="1856" t="s">
        <v>2219</v>
      </c>
      <c r="C322" s="1857">
        <v>0.15</v>
      </c>
      <c r="D322" s="1857">
        <v>0.15</v>
      </c>
      <c r="E322" s="1857">
        <v>0.15</v>
      </c>
      <c r="F322" s="1858">
        <v>0.15</v>
      </c>
    </row>
    <row r="323" spans="1:6" ht="14.25" thickBot="1">
      <c r="A323" s="1852" t="s">
        <v>2214</v>
      </c>
      <c r="B323" s="1856" t="s">
        <v>2220</v>
      </c>
      <c r="C323" s="1857">
        <v>0.15</v>
      </c>
      <c r="D323" s="1857">
        <v>0.15</v>
      </c>
      <c r="E323" s="1857">
        <v>0.15</v>
      </c>
      <c r="F323" s="1865"/>
    </row>
    <row r="324" spans="1:6" ht="14.25" thickBot="1">
      <c r="A324" s="1852" t="s">
        <v>2214</v>
      </c>
      <c r="B324" s="1856" t="s">
        <v>2221</v>
      </c>
      <c r="C324" s="1857">
        <v>0.15</v>
      </c>
      <c r="D324" s="1857">
        <v>0.15</v>
      </c>
      <c r="E324" s="1857">
        <v>0.15</v>
      </c>
      <c r="F324" s="1865"/>
    </row>
    <row r="325" spans="1:6" ht="14.25" thickBot="1">
      <c r="A325" s="1852" t="s">
        <v>2214</v>
      </c>
      <c r="B325" s="1856" t="s">
        <v>2222</v>
      </c>
      <c r="C325" s="1857">
        <v>0.15</v>
      </c>
      <c r="D325" s="1857">
        <v>0.15</v>
      </c>
      <c r="E325" s="1857">
        <v>0.15</v>
      </c>
      <c r="F325" s="1858">
        <v>0.14699999999999999</v>
      </c>
    </row>
    <row r="326" spans="1:6" ht="14.25" thickBot="1">
      <c r="A326" s="1852" t="s">
        <v>2214</v>
      </c>
      <c r="B326" s="1856" t="s">
        <v>1172</v>
      </c>
      <c r="C326" s="1857">
        <v>0.15</v>
      </c>
      <c r="D326" s="1857">
        <v>0.15</v>
      </c>
      <c r="E326" s="1857">
        <v>0.15</v>
      </c>
      <c r="F326" s="1865"/>
    </row>
    <row r="327" spans="1:6" ht="14.25" thickBot="1">
      <c r="A327" s="1852" t="s">
        <v>2214</v>
      </c>
      <c r="B327" s="1856" t="s">
        <v>2223</v>
      </c>
      <c r="C327" s="1857">
        <v>0.15</v>
      </c>
      <c r="D327" s="1857">
        <v>0.15</v>
      </c>
      <c r="E327" s="1857">
        <v>0.15</v>
      </c>
      <c r="F327" s="1858">
        <v>0.15</v>
      </c>
    </row>
    <row r="328" spans="1:6" ht="14.25" thickBot="1">
      <c r="A328" s="1852" t="s">
        <v>2214</v>
      </c>
      <c r="B328" s="1856" t="s">
        <v>1192</v>
      </c>
      <c r="C328" s="1857">
        <v>0.15</v>
      </c>
      <c r="D328" s="1857">
        <v>0.15</v>
      </c>
      <c r="E328" s="1857">
        <v>0.15</v>
      </c>
      <c r="F328" s="1858">
        <v>0.14099999999999999</v>
      </c>
    </row>
    <row r="329" spans="1:6" ht="14.25" thickBot="1">
      <c r="A329" s="1852" t="s">
        <v>2214</v>
      </c>
      <c r="B329" s="1856" t="s">
        <v>1202</v>
      </c>
      <c r="C329" s="1857">
        <v>0.15</v>
      </c>
      <c r="D329" s="1857">
        <v>0.15</v>
      </c>
      <c r="E329" s="1857">
        <v>0.15</v>
      </c>
      <c r="F329" s="1858">
        <v>0.15</v>
      </c>
    </row>
    <row r="330" spans="1:6" ht="14.25" thickBot="1">
      <c r="A330" s="1852" t="s">
        <v>2214</v>
      </c>
      <c r="B330" s="1856" t="s">
        <v>1212</v>
      </c>
      <c r="C330" s="1857">
        <v>0.15</v>
      </c>
      <c r="D330" s="1857">
        <v>0.15</v>
      </c>
      <c r="E330" s="1857">
        <v>0.15</v>
      </c>
      <c r="F330" s="1865"/>
    </row>
    <row r="331" spans="1:6" ht="14.25" thickBot="1">
      <c r="A331" s="1852" t="s">
        <v>2214</v>
      </c>
      <c r="B331" s="1856" t="s">
        <v>2224</v>
      </c>
      <c r="C331" s="1857">
        <v>0.15</v>
      </c>
      <c r="D331" s="1857">
        <v>0.15</v>
      </c>
      <c r="E331" s="1857">
        <v>0.15</v>
      </c>
      <c r="F331" s="1858">
        <v>0.15</v>
      </c>
    </row>
    <row r="332" spans="1:6" ht="14.25" thickBot="1">
      <c r="A332" s="1852" t="s">
        <v>2214</v>
      </c>
      <c r="B332" s="1856" t="s">
        <v>1232</v>
      </c>
      <c r="C332" s="1857">
        <v>0.15</v>
      </c>
      <c r="D332" s="1857">
        <v>0.15</v>
      </c>
      <c r="E332" s="1857">
        <v>0.15</v>
      </c>
      <c r="F332" s="1858">
        <v>0.15</v>
      </c>
    </row>
    <row r="333" spans="1:6" ht="14.25" thickBot="1">
      <c r="A333" s="1852" t="s">
        <v>2214</v>
      </c>
      <c r="B333" s="1856" t="s">
        <v>2225</v>
      </c>
      <c r="C333" s="1857">
        <v>0.15</v>
      </c>
      <c r="D333" s="1857">
        <v>0.15</v>
      </c>
      <c r="E333" s="1857">
        <v>0.15</v>
      </c>
      <c r="F333" s="1858">
        <v>0.14099999999999999</v>
      </c>
    </row>
    <row r="334" spans="1:6" ht="14.25" thickBot="1">
      <c r="A334" s="1852" t="s">
        <v>2214</v>
      </c>
      <c r="B334" s="1856" t="s">
        <v>1252</v>
      </c>
      <c r="C334" s="1857">
        <v>0.15</v>
      </c>
      <c r="D334" s="1857">
        <v>0.15</v>
      </c>
      <c r="E334" s="1857">
        <v>0.15</v>
      </c>
      <c r="F334" s="1858">
        <v>0.15</v>
      </c>
    </row>
    <row r="335" spans="1:6" ht="14.25" thickBot="1">
      <c r="A335" s="1852" t="s">
        <v>2214</v>
      </c>
      <c r="B335" s="1856" t="s">
        <v>1262</v>
      </c>
      <c r="C335" s="1857">
        <v>0.15</v>
      </c>
      <c r="D335" s="1857">
        <v>0.15</v>
      </c>
      <c r="E335" s="1857">
        <v>0.15</v>
      </c>
      <c r="F335" s="1865"/>
    </row>
    <row r="336" spans="1:6" ht="14.25" thickBot="1">
      <c r="A336" s="1852" t="s">
        <v>2214</v>
      </c>
      <c r="B336" s="1856" t="s">
        <v>2226</v>
      </c>
      <c r="C336" s="1857">
        <v>0.15</v>
      </c>
      <c r="D336" s="1857">
        <v>0.15</v>
      </c>
      <c r="E336" s="1857">
        <v>0.15</v>
      </c>
      <c r="F336" s="1858">
        <v>0.11799999999999999</v>
      </c>
    </row>
    <row r="337" spans="1:6" ht="14.25" thickBot="1">
      <c r="A337" s="1860" t="s">
        <v>2214</v>
      </c>
      <c r="B337" s="1867" t="s">
        <v>1280</v>
      </c>
      <c r="C337" s="1863"/>
      <c r="D337" s="1863"/>
      <c r="E337" s="1863"/>
      <c r="F337" s="1868">
        <v>0.14299999999999999</v>
      </c>
    </row>
    <row r="338" spans="1:6" ht="14.25" thickBot="1">
      <c r="A338" s="1852" t="s">
        <v>2227</v>
      </c>
      <c r="B338" s="1853" t="s">
        <v>2228</v>
      </c>
      <c r="C338" s="1854">
        <v>0.15</v>
      </c>
      <c r="D338" s="1854">
        <v>0.15</v>
      </c>
      <c r="E338" s="1854">
        <v>0.15</v>
      </c>
      <c r="F338" s="1876"/>
    </row>
    <row r="339" spans="1:6" ht="14.25" thickBot="1">
      <c r="A339" s="1852" t="s">
        <v>2227</v>
      </c>
      <c r="B339" s="1856" t="s">
        <v>2229</v>
      </c>
      <c r="C339" s="1857">
        <v>0.15</v>
      </c>
      <c r="D339" s="1857">
        <v>0.15</v>
      </c>
      <c r="E339" s="1857">
        <v>0.15</v>
      </c>
      <c r="F339" s="1865"/>
    </row>
    <row r="340" spans="1:6" ht="14.25" thickBot="1">
      <c r="A340" s="1852" t="s">
        <v>2227</v>
      </c>
      <c r="B340" s="1856" t="s">
        <v>2230</v>
      </c>
      <c r="C340" s="1857">
        <v>0.15</v>
      </c>
      <c r="D340" s="1857">
        <v>0.15</v>
      </c>
      <c r="E340" s="1857">
        <v>0.15</v>
      </c>
      <c r="F340" s="1865"/>
    </row>
    <row r="341" spans="1:6" ht="14.25" thickBot="1">
      <c r="A341" s="1852" t="s">
        <v>2231</v>
      </c>
      <c r="B341" s="1856" t="s">
        <v>2232</v>
      </c>
      <c r="C341" s="1857">
        <v>0.15</v>
      </c>
      <c r="D341" s="1857">
        <v>0.15</v>
      </c>
      <c r="E341" s="1857">
        <v>0.15</v>
      </c>
      <c r="F341" s="1858">
        <v>0.15</v>
      </c>
    </row>
    <row r="342" spans="1:6" ht="14.25" thickBot="1">
      <c r="A342" s="1852" t="s">
        <v>2227</v>
      </c>
      <c r="B342" s="1856" t="s">
        <v>2233</v>
      </c>
      <c r="C342" s="1857">
        <v>0.15</v>
      </c>
      <c r="D342" s="1857">
        <v>0.15</v>
      </c>
      <c r="E342" s="1857">
        <v>0.15</v>
      </c>
      <c r="F342" s="1858">
        <v>0.15</v>
      </c>
    </row>
    <row r="343" spans="1:6" ht="14.25" thickBot="1">
      <c r="A343" s="1852" t="s">
        <v>2227</v>
      </c>
      <c r="B343" s="1856" t="s">
        <v>2234</v>
      </c>
      <c r="C343" s="1857">
        <v>0.15</v>
      </c>
      <c r="D343" s="1857">
        <v>0.15</v>
      </c>
      <c r="E343" s="1857">
        <v>0.15</v>
      </c>
      <c r="F343" s="1858">
        <v>0.15</v>
      </c>
    </row>
    <row r="344" spans="1:6" ht="14.25" thickBot="1">
      <c r="A344" s="1860" t="s">
        <v>2227</v>
      </c>
      <c r="B344" s="1867" t="s">
        <v>2235</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2954</v>
      </c>
      <c r="B1" s="3132"/>
      <c r="C1" s="3132"/>
      <c r="D1" s="3132"/>
      <c r="E1" s="3132"/>
      <c r="F1" s="3132"/>
    </row>
    <row r="2" spans="1:6" ht="14.25">
      <c r="A2" s="3133" t="s">
        <v>2948</v>
      </c>
      <c r="B2" s="3134" t="e">
        <f ca="1">SUMIF(B7:B14,"&lt;&gt;#ref!",B7:B14)</f>
        <v>#DIV/0!</v>
      </c>
      <c r="C2" s="3133" t="s">
        <v>2949</v>
      </c>
      <c r="D2" s="3132"/>
      <c r="E2" s="3132"/>
      <c r="F2" s="3132"/>
    </row>
    <row r="3" spans="1:6" ht="14.25">
      <c r="A3" s="3133" t="s">
        <v>2951</v>
      </c>
      <c r="B3" s="3134" t="e">
        <f ca="1">ROUND(B2*10000/E3,0)</f>
        <v>#DIV/0!</v>
      </c>
      <c r="C3" s="3133" t="s">
        <v>2076</v>
      </c>
      <c r="D3" s="3133" t="s">
        <v>2950</v>
      </c>
      <c r="E3" s="3134" t="e">
        <f ca="1">SUM(E7:E14)</f>
        <v>#REF!</v>
      </c>
      <c r="F3" s="3132"/>
    </row>
    <row r="4" spans="1:6" ht="14.25">
      <c r="A4" s="3133" t="s">
        <v>2958</v>
      </c>
      <c r="B4" s="3134" t="e">
        <f ca="1">ROUND(B2*10000/E4,0)</f>
        <v>#DIV/0!</v>
      </c>
      <c r="C4" s="3133" t="s">
        <v>2076</v>
      </c>
      <c r="D4" s="3133" t="s">
        <v>2959</v>
      </c>
      <c r="E4" s="3134" t="e">
        <f ca="1">SUM(F7:F14)</f>
        <v>#REF!</v>
      </c>
      <c r="F4" s="3132"/>
    </row>
    <row r="5" spans="1:6" ht="14.25">
      <c r="A5" s="3135"/>
      <c r="B5" s="1878"/>
      <c r="C5" s="1878"/>
      <c r="D5" s="1878"/>
      <c r="E5" s="1878"/>
      <c r="F5" s="3132"/>
    </row>
    <row r="6" spans="1:6" ht="28.5">
      <c r="A6" s="3136" t="s">
        <v>2955</v>
      </c>
      <c r="B6" s="3133" t="s">
        <v>2952</v>
      </c>
      <c r="C6" s="3134"/>
      <c r="D6" s="1878"/>
      <c r="E6" s="3133" t="s">
        <v>2953</v>
      </c>
      <c r="F6" s="3133" t="s">
        <v>2957</v>
      </c>
    </row>
    <row r="7" spans="1:6" ht="14.25">
      <c r="A7" s="258" t="s">
        <v>2956</v>
      </c>
      <c r="B7" s="3137" t="e">
        <f ca="1">SUMIF(INDIRECT("'"&amp;A7&amp;"'"&amp;"!A:A"),"总价",INDIRECT("'"&amp;A7&amp;"'"&amp;"!B:B"))</f>
        <v>#DIV/0!</v>
      </c>
      <c r="C7" s="3133" t="s">
        <v>2949</v>
      </c>
      <c r="D7" s="1878"/>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2949</v>
      </c>
      <c r="D8" s="1878"/>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2949</v>
      </c>
      <c r="D9" s="1878"/>
      <c r="E9" s="3138" t="e">
        <f t="shared" ca="1" si="1"/>
        <v>#REF!</v>
      </c>
      <c r="F9" s="3138" t="e">
        <f t="shared" ca="1" si="2"/>
        <v>#REF!</v>
      </c>
    </row>
    <row r="10" spans="1:6" ht="14.25">
      <c r="A10" s="258"/>
      <c r="B10" s="3137" t="e">
        <f t="shared" ca="1" si="0"/>
        <v>#REF!</v>
      </c>
      <c r="C10" s="3133" t="s">
        <v>2949</v>
      </c>
      <c r="D10" s="1878"/>
      <c r="E10" s="3138" t="e">
        <f t="shared" ca="1" si="1"/>
        <v>#REF!</v>
      </c>
      <c r="F10" s="3138" t="e">
        <f t="shared" ca="1" si="2"/>
        <v>#REF!</v>
      </c>
    </row>
    <row r="11" spans="1:6" ht="14.25">
      <c r="A11" s="258"/>
      <c r="B11" s="3137" t="e">
        <f t="shared" ca="1" si="0"/>
        <v>#REF!</v>
      </c>
      <c r="C11" s="3133" t="s">
        <v>2949</v>
      </c>
      <c r="D11" s="1878"/>
      <c r="E11" s="3138" t="e">
        <f t="shared" ca="1" si="1"/>
        <v>#REF!</v>
      </c>
      <c r="F11" s="3138" t="e">
        <f t="shared" ca="1" si="2"/>
        <v>#REF!</v>
      </c>
    </row>
    <row r="12" spans="1:6" ht="14.25">
      <c r="A12" s="258"/>
      <c r="B12" s="3137" t="e">
        <f t="shared" ca="1" si="0"/>
        <v>#REF!</v>
      </c>
      <c r="C12" s="3133" t="s">
        <v>2949</v>
      </c>
      <c r="D12" s="1878"/>
      <c r="E12" s="3138" t="e">
        <f t="shared" ca="1" si="1"/>
        <v>#REF!</v>
      </c>
      <c r="F12" s="3138" t="e">
        <f t="shared" ca="1" si="2"/>
        <v>#REF!</v>
      </c>
    </row>
    <row r="13" spans="1:6" ht="14.25">
      <c r="A13" s="258"/>
      <c r="B13" s="3137" t="e">
        <f t="shared" ca="1" si="0"/>
        <v>#REF!</v>
      </c>
      <c r="C13" s="3133" t="s">
        <v>2949</v>
      </c>
      <c r="D13" s="1878"/>
      <c r="E13" s="3138" t="e">
        <f t="shared" ca="1" si="1"/>
        <v>#REF!</v>
      </c>
      <c r="F13" s="3138" t="e">
        <f t="shared" ca="1" si="2"/>
        <v>#REF!</v>
      </c>
    </row>
    <row r="14" spans="1:6" ht="14.25">
      <c r="A14" s="3131"/>
      <c r="B14" s="3137" t="e">
        <f t="shared" ca="1" si="0"/>
        <v>#REF!</v>
      </c>
      <c r="C14" s="3133" t="s">
        <v>2949</v>
      </c>
      <c r="D14" s="1878"/>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626</v>
      </c>
      <c r="B1" s="735"/>
      <c r="C1" s="770"/>
      <c r="D1" s="2047"/>
      <c r="E1" s="2407" t="s">
        <v>2373</v>
      </c>
      <c r="F1" s="2408">
        <f ca="1">J54</f>
        <v>0</v>
      </c>
      <c r="G1" s="771">
        <f>MATCH(C1,'数据-取费表'!A6:A16,0)+5</f>
        <v>8</v>
      </c>
      <c r="H1" s="1347"/>
      <c r="I1" s="2048"/>
      <c r="J1" s="2048"/>
      <c r="K1" s="2049"/>
      <c r="L1" s="2048"/>
      <c r="M1" s="2048"/>
      <c r="N1" s="2050"/>
      <c r="O1" s="2050"/>
      <c r="P1" s="2050"/>
      <c r="Q1" s="2050"/>
      <c r="R1" s="2050"/>
      <c r="S1" s="2050"/>
      <c r="T1" s="2050"/>
      <c r="U1" s="2050"/>
      <c r="V1" s="2050"/>
      <c r="W1" s="2050"/>
      <c r="X1" s="2050"/>
      <c r="Y1" s="2050"/>
    </row>
    <row r="2" spans="1:25" ht="18" customHeight="1">
      <c r="A2" s="1641" t="s">
        <v>627</v>
      </c>
      <c r="B2" s="772">
        <f ca="1">IF(ISERROR(C45+J31),0,C45+J31)</f>
        <v>0</v>
      </c>
      <c r="C2" s="1348"/>
      <c r="D2" s="2052"/>
      <c r="E2" s="2053"/>
      <c r="F2" s="2053"/>
      <c r="G2" s="1587"/>
      <c r="H2" s="1360"/>
      <c r="I2" s="2054"/>
      <c r="J2" s="2054"/>
      <c r="K2" s="2055"/>
      <c r="L2" s="2054"/>
      <c r="M2" s="2054"/>
    </row>
    <row r="3" spans="1:25" ht="18" customHeight="1">
      <c r="A3" s="1642" t="s">
        <v>1682</v>
      </c>
      <c r="B3" s="1388">
        <f ca="1">ROUND(B2*10000/'数据-汇总表'!E3,0)</f>
        <v>0</v>
      </c>
      <c r="C3" s="1348"/>
      <c r="D3" s="2052"/>
      <c r="E3" s="2053"/>
      <c r="F3" s="2053"/>
      <c r="G3" s="1587"/>
      <c r="H3" s="773" t="s">
        <v>693</v>
      </c>
      <c r="I3" s="2054"/>
      <c r="J3" s="2054"/>
      <c r="K3" s="2055"/>
      <c r="L3" s="2054"/>
      <c r="M3" s="2054"/>
    </row>
    <row r="4" spans="1:25" ht="18" customHeight="1">
      <c r="A4" s="1643" t="s">
        <v>694</v>
      </c>
      <c r="B4" s="1349">
        <f ca="1">ROUND(B2*10000/'数据-汇总表'!D3,0)</f>
        <v>0</v>
      </c>
      <c r="C4" s="426"/>
      <c r="D4" s="2052"/>
      <c r="E4" s="2053"/>
      <c r="F4" s="2053"/>
      <c r="G4" s="1587"/>
      <c r="H4" s="773"/>
      <c r="I4" s="2054"/>
      <c r="J4" s="2054"/>
      <c r="K4" s="2055"/>
      <c r="L4" s="2054"/>
      <c r="M4" s="2054"/>
    </row>
    <row r="5" spans="1:25" ht="18" customHeight="1" thickBot="1">
      <c r="A5" s="1644"/>
      <c r="B5" s="428">
        <f ca="1">ROUND(B2/('数据-汇总表'!D3/666.67),0)</f>
        <v>0</v>
      </c>
      <c r="C5" s="429" t="s">
        <v>695</v>
      </c>
      <c r="D5" s="2052"/>
      <c r="E5" s="2053"/>
      <c r="F5" s="2053"/>
      <c r="G5" s="1587"/>
      <c r="H5" s="773"/>
      <c r="I5" s="2054"/>
      <c r="J5" s="2054"/>
      <c r="K5" s="2055"/>
      <c r="L5" s="2054"/>
      <c r="M5" s="2054"/>
    </row>
    <row r="6" spans="1:25" ht="18" customHeight="1">
      <c r="A6" s="1826" t="s">
        <v>696</v>
      </c>
      <c r="B6" s="1818" t="s">
        <v>697</v>
      </c>
      <c r="C6" s="1818" t="s">
        <v>630</v>
      </c>
      <c r="D6" s="1818" t="s">
        <v>631</v>
      </c>
      <c r="E6" s="776" t="s">
        <v>632</v>
      </c>
      <c r="F6" s="777"/>
      <c r="G6" s="1589"/>
      <c r="H6" s="1826" t="s">
        <v>628</v>
      </c>
      <c r="I6" s="1818" t="s">
        <v>629</v>
      </c>
      <c r="J6" s="1818" t="s">
        <v>630</v>
      </c>
      <c r="K6" s="1818" t="s">
        <v>631</v>
      </c>
      <c r="L6" s="776" t="s">
        <v>632</v>
      </c>
      <c r="M6" s="777"/>
    </row>
    <row r="7" spans="1:25" ht="18" customHeight="1">
      <c r="A7" s="778">
        <v>1</v>
      </c>
      <c r="B7" s="779" t="s">
        <v>2456</v>
      </c>
      <c r="C7" s="52">
        <f ca="1">C8+C12+C14</f>
        <v>0</v>
      </c>
      <c r="D7" s="2516" t="s">
        <v>2459</v>
      </c>
      <c r="E7" s="2510"/>
      <c r="F7" s="2511"/>
      <c r="G7" s="1589"/>
      <c r="H7" s="778">
        <v>1</v>
      </c>
      <c r="I7" s="779" t="s">
        <v>2456</v>
      </c>
      <c r="J7" s="52">
        <f ca="1">J8+J12+J14</f>
        <v>0</v>
      </c>
      <c r="K7" s="2516" t="s">
        <v>2459</v>
      </c>
      <c r="L7" s="2510"/>
      <c r="M7" s="2511"/>
    </row>
    <row r="8" spans="1:25" ht="18" customHeight="1">
      <c r="A8" s="1828" t="s">
        <v>1820</v>
      </c>
      <c r="B8" s="3494" t="s">
        <v>2461</v>
      </c>
      <c r="C8" s="1823">
        <f ca="1">ROUND(F8*F10*F9*(1-F11)/10000,0)</f>
        <v>0</v>
      </c>
      <c r="D8" s="1820" t="s">
        <v>2533</v>
      </c>
      <c r="E8" s="60" t="s">
        <v>635</v>
      </c>
      <c r="F8" s="782">
        <f ca="1">INDIRECT("'数据-取费表'!u"&amp;$G$1)</f>
        <v>0</v>
      </c>
      <c r="G8" s="1589"/>
      <c r="H8" s="2524" t="s">
        <v>1820</v>
      </c>
      <c r="I8" s="3494" t="s">
        <v>2461</v>
      </c>
      <c r="J8" s="780">
        <f ca="1">ROUND(M8*M10*M9*(1-M11)/10000,0)</f>
        <v>0</v>
      </c>
      <c r="K8" s="339" t="s">
        <v>2533</v>
      </c>
      <c r="L8" s="781" t="s">
        <v>1734</v>
      </c>
      <c r="M8" s="782">
        <f ca="1">INDIRECT("'数据-取费表'!z"&amp;$G$1)</f>
        <v>0</v>
      </c>
    </row>
    <row r="9" spans="1:25" ht="18" customHeight="1">
      <c r="A9" s="2520"/>
      <c r="B9" s="3495"/>
      <c r="C9" s="1824"/>
      <c r="D9" s="1821"/>
      <c r="E9" s="60" t="s">
        <v>636</v>
      </c>
      <c r="F9" s="782">
        <f ca="1">IF(INDIRECT("'数据-取费表'!ah"&amp;$G$1)="",INDIRECT("'数据-取费表'!k"&amp;$G$1),INDIRECT("'数据-取费表'!ah"&amp;$G$1))</f>
        <v>0</v>
      </c>
      <c r="G9" s="1589"/>
      <c r="H9" s="2509"/>
      <c r="I9" s="3495"/>
      <c r="J9" s="785"/>
      <c r="K9" s="786"/>
      <c r="L9" s="781" t="s">
        <v>1735</v>
      </c>
      <c r="M9" s="782">
        <f ca="1">F9</f>
        <v>0</v>
      </c>
    </row>
    <row r="10" spans="1:25" ht="18" customHeight="1">
      <c r="A10" s="2513"/>
      <c r="B10" s="3496"/>
      <c r="C10" s="1824"/>
      <c r="D10" s="1821"/>
      <c r="E10" s="60" t="s">
        <v>637</v>
      </c>
      <c r="F10" s="782">
        <f ca="1">INDIRECT("'数据-取费表'!ai"&amp;$G$1)</f>
        <v>0</v>
      </c>
      <c r="G10" s="1589"/>
      <c r="H10" s="2509"/>
      <c r="I10" s="3496"/>
      <c r="J10" s="785"/>
      <c r="K10" s="786"/>
      <c r="L10" s="781" t="s">
        <v>1736</v>
      </c>
      <c r="M10" s="782">
        <f ca="1">INDIRECT("'数据-取费表'!ai"&amp;$G$1)</f>
        <v>0</v>
      </c>
    </row>
    <row r="11" spans="1:25" ht="18" customHeight="1">
      <c r="A11" s="783"/>
      <c r="B11" s="3497"/>
      <c r="C11" s="1824"/>
      <c r="D11" s="1821"/>
      <c r="E11" s="60" t="s">
        <v>638</v>
      </c>
      <c r="F11" s="791">
        <f ca="1">INDIRECT("'数据-取费表'!w"&amp;$G$1)</f>
        <v>0</v>
      </c>
      <c r="G11" s="1589"/>
      <c r="H11" s="2525"/>
      <c r="I11" s="3496"/>
      <c r="J11" s="785"/>
      <c r="K11" s="786"/>
      <c r="L11" s="792" t="s">
        <v>1737</v>
      </c>
      <c r="M11" s="793">
        <f ca="1">INDIRECT("'数据-取费表'!ab"&amp;$G$1)</f>
        <v>0</v>
      </c>
    </row>
    <row r="12" spans="1:25" ht="18" customHeight="1">
      <c r="A12" s="1828" t="s">
        <v>1821</v>
      </c>
      <c r="B12" s="2514" t="s">
        <v>2457</v>
      </c>
      <c r="C12" s="796">
        <f ca="1">ROUND(IF(F12="押一",F8*F10*F9/12*F13,IF(F12="押二",F8*F10*F9/12*2*F13,IF(F12="押三",F8*F10*F9/12*3*F13,C13*F13)))/10000,0)</f>
        <v>0</v>
      </c>
      <c r="D12" s="2521" t="s">
        <v>2464</v>
      </c>
      <c r="E12" s="2518" t="s">
        <v>2462</v>
      </c>
      <c r="F12" s="2641"/>
      <c r="G12" s="1589"/>
      <c r="H12" s="2581" t="s">
        <v>1821</v>
      </c>
      <c r="I12" s="2586" t="s">
        <v>2457</v>
      </c>
      <c r="J12" s="780">
        <f ca="1">ROUND(IF(M12="押一",M8*M10*M9/12*M13,IF(M12="押二",M8*M10*M9/12*2*M13,IF(M12="押三",M8*M10*M9/12*3*M13,J13*M13)))/10000,0)</f>
        <v>0</v>
      </c>
      <c r="K12" s="2521" t="s">
        <v>2464</v>
      </c>
      <c r="L12" s="2518" t="s">
        <v>2462</v>
      </c>
      <c r="M12" s="2641"/>
    </row>
    <row r="13" spans="1:25" ht="18" customHeight="1">
      <c r="A13" s="787"/>
      <c r="B13" s="2515" t="s">
        <v>2572</v>
      </c>
      <c r="C13" s="2519"/>
      <c r="D13" s="786"/>
      <c r="E13" s="2518" t="s">
        <v>2454</v>
      </c>
      <c r="F13" s="793">
        <f ca="1">'数据-取费表'!B39</f>
        <v>1.4999999999999999E-2</v>
      </c>
      <c r="G13" s="1589"/>
      <c r="H13" s="2582"/>
      <c r="I13" s="2515" t="s">
        <v>2572</v>
      </c>
      <c r="J13" s="2519"/>
      <c r="K13" s="2583"/>
      <c r="L13" s="2518" t="s">
        <v>2454</v>
      </c>
      <c r="M13" s="2512">
        <f ca="1">'数据-取费表'!B39</f>
        <v>1.4999999999999999E-2</v>
      </c>
    </row>
    <row r="14" spans="1:25" ht="18" customHeight="1" thickBot="1">
      <c r="A14" s="2557" t="s">
        <v>2466</v>
      </c>
      <c r="B14" s="2558" t="s">
        <v>2458</v>
      </c>
      <c r="C14" s="2559"/>
      <c r="D14" s="2560"/>
      <c r="E14" s="2561"/>
      <c r="F14" s="2562"/>
      <c r="G14" s="1589"/>
      <c r="H14" s="2571" t="s">
        <v>2466</v>
      </c>
      <c r="I14" s="2584" t="s">
        <v>2458</v>
      </c>
      <c r="J14" s="2585"/>
      <c r="K14" s="2560"/>
      <c r="L14" s="2561"/>
      <c r="M14" s="2574"/>
    </row>
    <row r="15" spans="1:25" ht="18" customHeight="1" thickTop="1">
      <c r="A15" s="1827" t="s">
        <v>1870</v>
      </c>
      <c r="B15" s="1825" t="s">
        <v>639</v>
      </c>
      <c r="C15" s="789">
        <f ca="1">ROUND(C31*F15,0)</f>
        <v>0</v>
      </c>
      <c r="D15" s="1832" t="s">
        <v>640</v>
      </c>
      <c r="E15" s="792" t="s">
        <v>641</v>
      </c>
      <c r="F15" s="797">
        <f ca="1">INDIRECT("'数据-取费表'!y"&amp;$G$1)</f>
        <v>0</v>
      </c>
      <c r="G15" s="1589"/>
      <c r="H15" s="1827" t="s">
        <v>1822</v>
      </c>
      <c r="I15" s="1825" t="s">
        <v>642</v>
      </c>
      <c r="J15" s="1817">
        <f ca="1">ROUND(J16*J17,0)</f>
        <v>0</v>
      </c>
      <c r="K15" s="1819" t="s">
        <v>640</v>
      </c>
      <c r="L15" s="798"/>
      <c r="M15" s="799"/>
    </row>
    <row r="16" spans="1:25" ht="18" customHeight="1">
      <c r="A16" s="800" t="s">
        <v>1871</v>
      </c>
      <c r="B16" s="781" t="s">
        <v>643</v>
      </c>
      <c r="C16" s="801">
        <f ca="1">INDIRECT("'数据-取费表'!m"&amp;$G$1)+INDIRECT("'数据-取费表'!t"&amp;$G$1)</f>
        <v>0</v>
      </c>
      <c r="D16" s="1976" t="s">
        <v>644</v>
      </c>
      <c r="E16" s="1977"/>
      <c r="F16" s="802"/>
      <c r="G16" s="1589"/>
      <c r="H16" s="800" t="s">
        <v>2067</v>
      </c>
      <c r="I16" s="2228" t="s">
        <v>2826</v>
      </c>
      <c r="J16" s="52">
        <f ca="1">C31</f>
        <v>0</v>
      </c>
      <c r="K16" s="25"/>
      <c r="L16" s="798"/>
      <c r="M16" s="799"/>
    </row>
    <row r="17" spans="1:25" s="2061" customFormat="1" ht="18" customHeight="1">
      <c r="A17" s="800" t="s">
        <v>1845</v>
      </c>
      <c r="B17" s="781" t="s">
        <v>645</v>
      </c>
      <c r="C17" s="52">
        <f ca="1">ROUND(C16*F17,0)</f>
        <v>0</v>
      </c>
      <c r="D17" s="803" t="s">
        <v>646</v>
      </c>
      <c r="E17" s="803" t="s">
        <v>647</v>
      </c>
      <c r="F17" s="804">
        <f>'数据-取费表'!B33</f>
        <v>0.03</v>
      </c>
      <c r="G17" s="1590"/>
      <c r="H17" s="800" t="s">
        <v>2068</v>
      </c>
      <c r="I17" s="781" t="s">
        <v>641</v>
      </c>
      <c r="J17" s="805">
        <f ca="1">INDIRECT("'数据-取费表'!ad"&amp;$G$1)</f>
        <v>0</v>
      </c>
      <c r="K17" s="25"/>
      <c r="L17" s="798"/>
      <c r="M17" s="799"/>
      <c r="N17" s="2060"/>
      <c r="O17" s="2060"/>
      <c r="P17" s="2060"/>
      <c r="Q17" s="2060"/>
      <c r="R17" s="2060"/>
      <c r="S17" s="2060"/>
      <c r="T17" s="2060"/>
      <c r="U17" s="2060"/>
      <c r="V17" s="2060"/>
      <c r="W17" s="2060"/>
      <c r="X17" s="2060"/>
      <c r="Y17" s="2060"/>
    </row>
    <row r="18" spans="1:25" ht="18" customHeight="1">
      <c r="A18" s="800" t="s">
        <v>1846</v>
      </c>
      <c r="B18" s="781" t="s">
        <v>648</v>
      </c>
      <c r="C18" s="52">
        <f ca="1">ROUND(INDIRECT("'数据-取费表'!m"&amp;$G$1)*F18,0)</f>
        <v>0</v>
      </c>
      <c r="D18" s="781" t="s">
        <v>646</v>
      </c>
      <c r="E18" s="781" t="s">
        <v>647</v>
      </c>
      <c r="F18" s="806">
        <f ca="1">IF(INDIRECT("'数据-取费表'!c"&amp;$G$1)="住宅",'数据-取费表'!B34,0)</f>
        <v>0</v>
      </c>
      <c r="G18" s="1589"/>
      <c r="H18" s="794" t="s">
        <v>1823</v>
      </c>
      <c r="I18" s="795" t="s">
        <v>649</v>
      </c>
      <c r="J18" s="796">
        <f ca="1">ROUND(J19+J24+J25+J26,0)</f>
        <v>0</v>
      </c>
      <c r="K18" s="25" t="s">
        <v>650</v>
      </c>
      <c r="L18" s="1979"/>
      <c r="M18" s="55"/>
    </row>
    <row r="19" spans="1:25" s="2061" customFormat="1" ht="18" customHeight="1">
      <c r="A19" s="800" t="s">
        <v>1847</v>
      </c>
      <c r="B19" s="781" t="s">
        <v>651</v>
      </c>
      <c r="C19" s="52">
        <f ca="1">ROUND(F19*(INDIRECT("'数据-取费表'!k"&amp;$G$1)+INDIRECT("'数据-取费表'!S"&amp;$G$1))/10000,0)</f>
        <v>0</v>
      </c>
      <c r="D19" s="781" t="s">
        <v>652</v>
      </c>
      <c r="E19" s="781" t="s">
        <v>653</v>
      </c>
      <c r="F19" s="55">
        <f>'数据-取费表'!B35</f>
        <v>200</v>
      </c>
      <c r="G19" s="1590"/>
      <c r="H19" s="800" t="s">
        <v>2067</v>
      </c>
      <c r="I19" s="781" t="s">
        <v>654</v>
      </c>
      <c r="J19" s="52">
        <f ca="1">ROUND(IF(项目基本情况!B11="自然人",J7*M19,J20+J21+J22),0)</f>
        <v>0</v>
      </c>
      <c r="K19" s="1976" t="s">
        <v>655</v>
      </c>
      <c r="L19" s="1974" t="s">
        <v>656</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1848</v>
      </c>
      <c r="B20" s="781" t="s">
        <v>657</v>
      </c>
      <c r="C20" s="52">
        <f ca="1">ROUND(C16*F20,0)</f>
        <v>0</v>
      </c>
      <c r="D20" s="781" t="s">
        <v>646</v>
      </c>
      <c r="E20" s="781" t="s">
        <v>647</v>
      </c>
      <c r="F20" s="806">
        <f>'数据-取费表'!B36</f>
        <v>1.4999999999999999E-2</v>
      </c>
      <c r="G20" s="1590"/>
      <c r="H20" s="800" t="s">
        <v>1827</v>
      </c>
      <c r="I20" s="781" t="s">
        <v>658</v>
      </c>
      <c r="J20" s="52">
        <f ca="1">ROUND(J7*M20/1.05,1)</f>
        <v>0</v>
      </c>
      <c r="K20" s="1974" t="s">
        <v>659</v>
      </c>
      <c r="L20" s="781" t="s">
        <v>647</v>
      </c>
      <c r="M20" s="806">
        <f>'数据-取费表'!B41</f>
        <v>5.6000000000000001E-2</v>
      </c>
      <c r="N20" s="2060"/>
      <c r="O20" s="2060"/>
      <c r="P20" s="2060"/>
      <c r="Q20" s="2060"/>
      <c r="R20" s="2060"/>
      <c r="S20" s="2060"/>
      <c r="T20" s="2060"/>
      <c r="U20" s="2060"/>
      <c r="V20" s="2060"/>
      <c r="W20" s="2060"/>
      <c r="X20" s="2060"/>
      <c r="Y20" s="2060"/>
    </row>
    <row r="21" spans="1:25" ht="18" customHeight="1">
      <c r="A21" s="800" t="s">
        <v>1872</v>
      </c>
      <c r="B21" s="781" t="s">
        <v>660</v>
      </c>
      <c r="C21" s="52">
        <f ca="1">SUM(C16:C20)</f>
        <v>0</v>
      </c>
      <c r="D21" s="259" t="s">
        <v>661</v>
      </c>
      <c r="E21" s="1979"/>
      <c r="F21" s="55"/>
      <c r="G21" s="1589"/>
      <c r="H21" s="1828" t="s">
        <v>1845</v>
      </c>
      <c r="I21" s="781" t="s">
        <v>662</v>
      </c>
      <c r="J21" s="52">
        <f ca="1">IF(K21="按租金收入计税",ROUND(J7*M21,1),ROUND(C31*F35*0.7,1))</f>
        <v>0</v>
      </c>
      <c r="K21" s="808" t="s">
        <v>663</v>
      </c>
      <c r="L21" s="781" t="s">
        <v>647</v>
      </c>
      <c r="M21" s="806">
        <f>IF(K21="按租金收入计税",'数据-取费表'!B51,'数据-取费表'!B50)</f>
        <v>1.2E-2</v>
      </c>
    </row>
    <row r="22" spans="1:25" s="2061" customFormat="1" ht="18" customHeight="1">
      <c r="A22" s="800" t="s">
        <v>1873</v>
      </c>
      <c r="B22" s="781" t="s">
        <v>664</v>
      </c>
      <c r="C22" s="52">
        <f ca="1">ROUND(C21*F22,0)</f>
        <v>0</v>
      </c>
      <c r="D22" s="809" t="s">
        <v>665</v>
      </c>
      <c r="E22" s="781" t="s">
        <v>647</v>
      </c>
      <c r="F22" s="806">
        <f>'数据-取费表'!B37</f>
        <v>1.4999999999999999E-2</v>
      </c>
      <c r="G22" s="1590"/>
      <c r="H22" s="1830" t="s">
        <v>1846</v>
      </c>
      <c r="I22" s="1820" t="s">
        <v>666</v>
      </c>
      <c r="J22" s="53">
        <f ca="1">ROUND(M22*M23/10000,0)</f>
        <v>0</v>
      </c>
      <c r="K22" s="811" t="s">
        <v>667</v>
      </c>
      <c r="L22" s="781" t="s">
        <v>668</v>
      </c>
      <c r="M22" s="637">
        <f>'数据-取费表'!B52</f>
        <v>14</v>
      </c>
      <c r="N22" s="2060"/>
      <c r="O22" s="2060"/>
      <c r="P22" s="2060"/>
      <c r="Q22" s="2060"/>
      <c r="R22" s="2060"/>
      <c r="S22" s="2060"/>
      <c r="T22" s="2060"/>
      <c r="U22" s="2060"/>
      <c r="V22" s="2060"/>
      <c r="W22" s="2060"/>
      <c r="X22" s="2060"/>
      <c r="Y22" s="2060"/>
    </row>
    <row r="23" spans="1:25" s="2061" customFormat="1" ht="18" customHeight="1">
      <c r="A23" s="800" t="s">
        <v>1874</v>
      </c>
      <c r="B23" s="781" t="s">
        <v>669</v>
      </c>
      <c r="C23" s="52" t="s">
        <v>1</v>
      </c>
      <c r="D23" s="809" t="s">
        <v>670</v>
      </c>
      <c r="E23" s="781" t="s">
        <v>671</v>
      </c>
      <c r="F23" s="806">
        <f>'数据-取费表'!B38</f>
        <v>0.02</v>
      </c>
      <c r="G23" s="1590"/>
      <c r="H23" s="1831"/>
      <c r="I23" s="1822"/>
      <c r="J23" s="68"/>
      <c r="K23" s="813"/>
      <c r="L23" s="781" t="s">
        <v>672</v>
      </c>
      <c r="M23" s="782">
        <f ca="1">INDIRECT("'数据-取费表'!r"&amp;$G$1)</f>
        <v>0</v>
      </c>
      <c r="N23" s="2060"/>
      <c r="O23" s="2060"/>
      <c r="P23" s="2060"/>
      <c r="Q23" s="2060"/>
      <c r="R23" s="2060"/>
      <c r="S23" s="2060"/>
      <c r="T23" s="2060"/>
      <c r="U23" s="2060"/>
      <c r="V23" s="2060"/>
      <c r="W23" s="2060"/>
      <c r="X23" s="2060"/>
      <c r="Y23" s="2060"/>
    </row>
    <row r="24" spans="1:25" ht="18" customHeight="1">
      <c r="A24" s="800" t="s">
        <v>1875</v>
      </c>
      <c r="B24" s="781" t="s">
        <v>673</v>
      </c>
      <c r="C24" s="52"/>
      <c r="D24" s="2592" t="str">
        <f>IF(F25&lt;=1,"单利计息。","复利计息。")&amp;"建造成本、管理费用、销售费用产生的利息。"</f>
        <v>复利计息。建造成本、管理费用、销售费用产生的利息。</v>
      </c>
      <c r="E24" s="1979"/>
      <c r="F24" s="55"/>
      <c r="G24" s="1589"/>
      <c r="H24" s="1829" t="s">
        <v>2068</v>
      </c>
      <c r="I24" s="781" t="s">
        <v>674</v>
      </c>
      <c r="J24" s="52">
        <f ca="1">ROUND(J16*M24,0)</f>
        <v>0</v>
      </c>
      <c r="K24" s="1974" t="s">
        <v>675</v>
      </c>
      <c r="L24" s="781" t="s">
        <v>647</v>
      </c>
      <c r="M24" s="814">
        <f ca="1">INDIRECT("'数据-取费表'!Ak"&amp;$G$1)</f>
        <v>0</v>
      </c>
    </row>
    <row r="25" spans="1:25" s="2061" customFormat="1" ht="18" customHeight="1">
      <c r="A25" s="800" t="s">
        <v>1871</v>
      </c>
      <c r="B25" s="781" t="s">
        <v>2436</v>
      </c>
      <c r="C25" s="52">
        <f ca="1">ROUND(IF('数据-取费表'!B22&lt;=1,(C21+C22)*F26*F25/2,(C21+C22)*(POWER((1+F26),F25/2)-1)),0)</f>
        <v>0</v>
      </c>
      <c r="D25" s="2591" t="str">
        <f>IF(F25&lt;=1,"(建造成本+管理费用)×利率×(建设周期÷2)","(建造成本+管理费用)×((1+利率)^(建设周期÷2)-1)")</f>
        <v>(建造成本+管理费用)×((1+利率)^(建设周期÷2)-1)</v>
      </c>
      <c r="E25" s="781" t="s">
        <v>676</v>
      </c>
      <c r="F25" s="637">
        <f>'数据-取费表'!B20</f>
        <v>3</v>
      </c>
      <c r="G25" s="1590"/>
      <c r="H25" s="800" t="s">
        <v>1874</v>
      </c>
      <c r="I25" s="781" t="s">
        <v>677</v>
      </c>
      <c r="J25" s="52">
        <f ca="1">ROUND(J15*M25,0)</f>
        <v>0</v>
      </c>
      <c r="K25" s="1974" t="s">
        <v>678</v>
      </c>
      <c r="L25" s="781" t="s">
        <v>647</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1845</v>
      </c>
      <c r="B26" s="781" t="s">
        <v>679</v>
      </c>
      <c r="C26" s="52">
        <f ca="1">ROUND(IF('数据-取费表'!B22&lt;=1,F23*F26*F25/2,F23*(POWER((1+F26),F25/2)-1)),4)</f>
        <v>1.4E-3</v>
      </c>
      <c r="D26" s="2591" t="str">
        <f>IF(F25&lt;=1,"销售费用×利率×(建设周期÷2)","销售费用×((1+利率)^(建设周期÷2)-1)")</f>
        <v>销售费用×((1+利率)^(建设周期÷2)-1)</v>
      </c>
      <c r="E26" s="781" t="s">
        <v>680</v>
      </c>
      <c r="F26" s="816">
        <f ca="1">'数据-取费表'!B40</f>
        <v>4.7500000000000001E-2</v>
      </c>
      <c r="G26" s="1590"/>
      <c r="H26" s="800" t="s">
        <v>1875</v>
      </c>
      <c r="I26" s="781" t="s">
        <v>664</v>
      </c>
      <c r="J26" s="52">
        <f ca="1">ROUND(J7*M26,0)</f>
        <v>0</v>
      </c>
      <c r="K26" s="1974" t="s">
        <v>681</v>
      </c>
      <c r="L26" s="781" t="s">
        <v>647</v>
      </c>
      <c r="M26" s="791">
        <f ca="1">INDIRECT("'数据-取费表'!Am"&amp;$G$1)</f>
        <v>0</v>
      </c>
      <c r="N26" s="2060"/>
      <c r="O26" s="2060"/>
      <c r="P26" s="2060"/>
      <c r="Q26" s="2060"/>
      <c r="R26" s="2060"/>
      <c r="S26" s="2060"/>
      <c r="T26" s="2060"/>
      <c r="U26" s="2060"/>
      <c r="V26" s="2060"/>
      <c r="W26" s="2060"/>
      <c r="X26" s="2060"/>
      <c r="Y26" s="2060"/>
    </row>
    <row r="27" spans="1:25" ht="18" customHeight="1">
      <c r="A27" s="800" t="s">
        <v>1877</v>
      </c>
      <c r="B27" s="781" t="s">
        <v>682</v>
      </c>
      <c r="C27" s="52"/>
      <c r="D27" s="259" t="s">
        <v>683</v>
      </c>
      <c r="E27" s="1979"/>
      <c r="F27" s="55"/>
      <c r="G27" s="1589"/>
      <c r="H27" s="794" t="s">
        <v>1824</v>
      </c>
      <c r="I27" s="3033" t="s">
        <v>2823</v>
      </c>
      <c r="J27" s="796">
        <f ca="1">J7-J18</f>
        <v>0</v>
      </c>
      <c r="K27" s="1976" t="s">
        <v>698</v>
      </c>
      <c r="L27" s="1978"/>
      <c r="M27" s="817"/>
    </row>
    <row r="28" spans="1:25" ht="18" customHeight="1">
      <c r="A28" s="800" t="s">
        <v>1871</v>
      </c>
      <c r="B28" s="781" t="s">
        <v>2437</v>
      </c>
      <c r="C28" s="52">
        <f ca="1">ROUND((C21+C22)*F28,0)</f>
        <v>0</v>
      </c>
      <c r="D28" s="809" t="s">
        <v>699</v>
      </c>
      <c r="E28" s="792" t="s">
        <v>700</v>
      </c>
      <c r="F28" s="791">
        <f ca="1">INDIRECT("'数据-取费表'!q"&amp;$G$1)</f>
        <v>0</v>
      </c>
      <c r="G28" s="1589"/>
      <c r="H28" s="778" t="s">
        <v>1833</v>
      </c>
      <c r="I28" s="779" t="s">
        <v>701</v>
      </c>
      <c r="J28" s="780">
        <f ca="1">IF(J7&lt;&gt;0,ROUND(J27*(1-((1+M30)/(1+M28))^M29)/(M28-M30),0),0)</f>
        <v>0</v>
      </c>
      <c r="K28" s="811" t="s">
        <v>702</v>
      </c>
      <c r="L28" s="781" t="s">
        <v>703</v>
      </c>
      <c r="M28" s="791">
        <f ca="1">INDIRECT("'数据-取费表'!I"&amp;$G$1)</f>
        <v>0</v>
      </c>
    </row>
    <row r="29" spans="1:25" ht="18" customHeight="1">
      <c r="A29" s="800" t="s">
        <v>1845</v>
      </c>
      <c r="B29" s="781" t="s">
        <v>684</v>
      </c>
      <c r="C29" s="52">
        <f ca="1">ROUND(F23*F28,4)</f>
        <v>0</v>
      </c>
      <c r="D29" s="809" t="s">
        <v>704</v>
      </c>
      <c r="E29" s="803"/>
      <c r="F29" s="804"/>
      <c r="G29" s="1589"/>
      <c r="H29" s="783"/>
      <c r="I29" s="784"/>
      <c r="J29" s="785"/>
      <c r="K29" s="818" t="s">
        <v>705</v>
      </c>
      <c r="L29" s="781" t="s">
        <v>706</v>
      </c>
      <c r="M29" s="819">
        <f ca="1">INDIRECT("'数据-取费表'!ag"&amp;$G$1)</f>
        <v>0</v>
      </c>
    </row>
    <row r="30" spans="1:25" s="2061" customFormat="1" ht="18" customHeight="1">
      <c r="A30" s="800" t="s">
        <v>1878</v>
      </c>
      <c r="B30" s="781" t="s">
        <v>685</v>
      </c>
      <c r="C30" s="52">
        <f>ROUND(F30/(1+'数据-取费表'!C42),4)</f>
        <v>5.33E-2</v>
      </c>
      <c r="D30" s="809" t="s">
        <v>707</v>
      </c>
      <c r="E30" s="781" t="s">
        <v>647</v>
      </c>
      <c r="F30" s="806">
        <f>'数据-取费表'!B41</f>
        <v>5.6000000000000001E-2</v>
      </c>
      <c r="G30" s="1590"/>
      <c r="H30" s="787"/>
      <c r="I30" s="788"/>
      <c r="J30" s="789"/>
      <c r="K30" s="813"/>
      <c r="L30" s="781" t="s">
        <v>708</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0" t="s">
        <v>1879</v>
      </c>
      <c r="B31" s="2561" t="s">
        <v>2824</v>
      </c>
      <c r="C31" s="2564">
        <f ca="1">ROUND((C21+C22+C25+C28)/(1-F23-C26-C29-C30),0)</f>
        <v>0</v>
      </c>
      <c r="D31" s="2565"/>
      <c r="E31" s="2566"/>
      <c r="F31" s="2567"/>
      <c r="G31" s="1590"/>
      <c r="H31" s="820" t="s">
        <v>1868</v>
      </c>
      <c r="I31" s="3034" t="s">
        <v>2825</v>
      </c>
      <c r="J31" s="822">
        <f ca="1">ROUND(J28/(1+F45)^F46,0)</f>
        <v>0</v>
      </c>
      <c r="K31" s="823" t="s">
        <v>686</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7" t="s">
        <v>7</v>
      </c>
      <c r="B32" s="1825" t="s">
        <v>687</v>
      </c>
      <c r="C32" s="789">
        <f ca="1">ROUND(C33+C38+C39+C40,0)</f>
        <v>0</v>
      </c>
      <c r="D32" s="1819" t="s">
        <v>650</v>
      </c>
      <c r="E32" s="2507"/>
      <c r="F32" s="2511"/>
      <c r="G32" s="2059"/>
      <c r="H32" s="2062"/>
      <c r="I32" s="2063"/>
      <c r="J32" s="2064"/>
      <c r="K32" s="2065"/>
      <c r="L32" s="2066"/>
      <c r="M32" s="2067"/>
    </row>
    <row r="33" spans="1:18" ht="18" customHeight="1">
      <c r="A33" s="800" t="s">
        <v>1872</v>
      </c>
      <c r="B33" s="781" t="s">
        <v>654</v>
      </c>
      <c r="C33" s="52">
        <f ca="1">ROUND(IF(项目基本情况!B11="自然人",C7*F33,C34+C35+C36),1)</f>
        <v>0</v>
      </c>
      <c r="D33" s="1976" t="s">
        <v>655</v>
      </c>
      <c r="E33" s="1974" t="s">
        <v>688</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1871</v>
      </c>
      <c r="B34" s="781" t="s">
        <v>658</v>
      </c>
      <c r="C34" s="52">
        <f ca="1">ROUND(C7*F34/1.05,1)</f>
        <v>0</v>
      </c>
      <c r="D34" s="1974" t="s">
        <v>659</v>
      </c>
      <c r="E34" s="781" t="s">
        <v>647</v>
      </c>
      <c r="F34" s="806">
        <f>'数据-取费表'!B41</f>
        <v>5.6000000000000001E-2</v>
      </c>
      <c r="G34" s="2059"/>
      <c r="H34" s="2068"/>
      <c r="I34" s="2069"/>
      <c r="J34" s="2070"/>
      <c r="K34" s="2071"/>
      <c r="L34" s="2072"/>
      <c r="M34" s="2073"/>
    </row>
    <row r="35" spans="1:18" ht="18" customHeight="1">
      <c r="A35" s="800" t="s">
        <v>1845</v>
      </c>
      <c r="B35" s="781" t="s">
        <v>662</v>
      </c>
      <c r="C35" s="52">
        <f ca="1">IF(D35="按租金收入计税",ROUND(C7*F35,1),IF(D35="按房产原值计税",ROUND(C31*F35*0.7,1),INDIRECT("'数据-取费表'!Aj"&amp;$G$1)))</f>
        <v>0</v>
      </c>
      <c r="D35" s="808" t="s">
        <v>1676</v>
      </c>
      <c r="E35" s="781" t="s">
        <v>647</v>
      </c>
      <c r="F35" s="806">
        <f>IF(D35="按租金收入计税",'数据-取费表'!B51,'数据-取费表'!B50)</f>
        <v>1.2E-2</v>
      </c>
      <c r="G35" s="2059"/>
      <c r="H35" s="2074"/>
      <c r="I35" s="2074"/>
      <c r="J35" s="2074"/>
      <c r="K35" s="2075"/>
      <c r="L35" s="2074"/>
      <c r="M35" s="2074"/>
    </row>
    <row r="36" spans="1:18" ht="18" customHeight="1">
      <c r="A36" s="810" t="s">
        <v>1876</v>
      </c>
      <c r="B36" s="339" t="s">
        <v>666</v>
      </c>
      <c r="C36" s="53">
        <f ca="1">ROUND(F36*F37/10000,1)</f>
        <v>0</v>
      </c>
      <c r="D36" s="811" t="s">
        <v>667</v>
      </c>
      <c r="E36" s="781" t="s">
        <v>668</v>
      </c>
      <c r="F36" s="637">
        <f>'数据-取费表'!B52</f>
        <v>14</v>
      </c>
      <c r="G36" s="2059"/>
      <c r="H36" s="2062"/>
      <c r="I36" s="3493"/>
      <c r="J36" s="2076"/>
      <c r="K36" s="2077"/>
      <c r="L36" s="2076"/>
      <c r="M36" s="2076"/>
    </row>
    <row r="37" spans="1:18" ht="18" customHeight="1">
      <c r="A37" s="812"/>
      <c r="B37" s="790"/>
      <c r="C37" s="68"/>
      <c r="D37" s="813"/>
      <c r="E37" s="781" t="s">
        <v>672</v>
      </c>
      <c r="F37" s="782">
        <f ca="1">INDIRECT("'数据-取费表'!r"&amp;$G$1)</f>
        <v>0</v>
      </c>
      <c r="G37" s="2059"/>
      <c r="H37" s="2062"/>
      <c r="I37" s="3493"/>
      <c r="J37" s="2074"/>
      <c r="K37" s="2075"/>
      <c r="L37" s="2074"/>
      <c r="M37" s="2074"/>
    </row>
    <row r="38" spans="1:18" ht="18" customHeight="1">
      <c r="A38" s="800" t="s">
        <v>1873</v>
      </c>
      <c r="B38" s="781" t="s">
        <v>674</v>
      </c>
      <c r="C38" s="52">
        <f ca="1">ROUND(C31*F38,1)</f>
        <v>0</v>
      </c>
      <c r="D38" s="1974" t="s">
        <v>689</v>
      </c>
      <c r="E38" s="781" t="s">
        <v>647</v>
      </c>
      <c r="F38" s="814">
        <f ca="1">INDIRECT("'数据-取费表'!Ak"&amp;$G$1)</f>
        <v>0</v>
      </c>
      <c r="G38" s="2059"/>
      <c r="H38" s="2074"/>
      <c r="I38" s="2078"/>
      <c r="J38" s="1985"/>
      <c r="K38" s="2079"/>
      <c r="L38" s="2074"/>
      <c r="M38" s="2074"/>
    </row>
    <row r="39" spans="1:18" ht="18" customHeight="1">
      <c r="A39" s="800" t="s">
        <v>1874</v>
      </c>
      <c r="B39" s="781" t="s">
        <v>677</v>
      </c>
      <c r="C39" s="52">
        <f ca="1">ROUND(C15*F39,1)</f>
        <v>0</v>
      </c>
      <c r="D39" s="1974" t="s">
        <v>678</v>
      </c>
      <c r="E39" s="781" t="s">
        <v>647</v>
      </c>
      <c r="F39" s="815">
        <f ca="1">INDIRECT("'数据-取费表'!Al"&amp;$G$1)</f>
        <v>0</v>
      </c>
      <c r="G39" s="2059"/>
      <c r="H39" s="2074"/>
      <c r="I39" s="2078"/>
      <c r="J39" s="1985"/>
      <c r="K39" s="2079"/>
      <c r="L39" s="2074"/>
      <c r="M39" s="2074"/>
    </row>
    <row r="40" spans="1:18" ht="18" customHeight="1" thickBot="1">
      <c r="A40" s="2580" t="s">
        <v>1875</v>
      </c>
      <c r="B40" s="2566" t="s">
        <v>664</v>
      </c>
      <c r="C40" s="2564">
        <f ca="1">ROUND(C7*F40,1)</f>
        <v>0</v>
      </c>
      <c r="D40" s="2565" t="s">
        <v>681</v>
      </c>
      <c r="E40" s="2566" t="s">
        <v>647</v>
      </c>
      <c r="F40" s="2562">
        <f ca="1">INDIRECT("'数据-取费表'!Am"&amp;$G$1)</f>
        <v>0</v>
      </c>
      <c r="G40" s="2059"/>
      <c r="H40" s="2074"/>
      <c r="I40" s="2078"/>
      <c r="J40" s="1985"/>
      <c r="K40" s="2080"/>
      <c r="L40" s="2074"/>
      <c r="M40" s="2074"/>
    </row>
    <row r="41" spans="1:18" ht="18" customHeight="1" thickTop="1">
      <c r="A41" s="1827">
        <v>4</v>
      </c>
      <c r="B41" s="1825" t="s">
        <v>690</v>
      </c>
      <c r="C41" s="1350"/>
      <c r="D41" s="1351"/>
      <c r="E41" s="1351"/>
      <c r="F41" s="1352"/>
      <c r="G41" s="2059"/>
      <c r="H41" s="2059"/>
      <c r="I41" s="2059"/>
      <c r="J41" s="2059"/>
      <c r="K41" s="2080"/>
      <c r="L41" s="2059"/>
      <c r="M41" s="2059"/>
    </row>
    <row r="42" spans="1:18" ht="18" customHeight="1">
      <c r="A42" s="800" t="s">
        <v>1872</v>
      </c>
      <c r="B42" s="832" t="s">
        <v>691</v>
      </c>
      <c r="C42" s="826">
        <f ca="1">C7-C32</f>
        <v>0</v>
      </c>
      <c r="D42" s="1976" t="s">
        <v>692</v>
      </c>
      <c r="E42" s="1978"/>
      <c r="F42" s="817"/>
      <c r="G42" s="2059"/>
      <c r="H42" s="2059"/>
      <c r="I42" s="2059"/>
      <c r="J42" s="2059"/>
      <c r="K42" s="2080"/>
      <c r="L42" s="2059"/>
      <c r="M42" s="2059"/>
    </row>
    <row r="43" spans="1:18" ht="18" customHeight="1">
      <c r="A43" s="800" t="s">
        <v>1873</v>
      </c>
      <c r="B43" s="832" t="s">
        <v>709</v>
      </c>
      <c r="C43" s="833">
        <f ca="1">ROUND(C15*F43,0)</f>
        <v>0</v>
      </c>
      <c r="D43" s="1353" t="s">
        <v>710</v>
      </c>
      <c r="E43" s="3151" t="s">
        <v>2967</v>
      </c>
      <c r="F43" s="3152">
        <f ca="1">INDIRECT("'数据-取费表'!j"&amp;$G$1)</f>
        <v>0</v>
      </c>
      <c r="G43" s="2059"/>
      <c r="H43" s="2059"/>
      <c r="I43" s="2059"/>
      <c r="J43" s="2059"/>
      <c r="K43" s="2080"/>
      <c r="L43" s="2059"/>
      <c r="M43" s="2059"/>
    </row>
    <row r="44" spans="1:18" ht="18" customHeight="1">
      <c r="A44" s="800" t="s">
        <v>1874</v>
      </c>
      <c r="B44" s="832" t="s">
        <v>711</v>
      </c>
      <c r="C44" s="1354">
        <f ca="1">C42-C43</f>
        <v>0</v>
      </c>
      <c r="D44" s="461" t="s">
        <v>712</v>
      </c>
      <c r="E44" s="462"/>
      <c r="F44" s="463"/>
      <c r="G44" s="2059"/>
      <c r="H44" s="2059"/>
      <c r="I44" s="2059"/>
      <c r="J44" s="2059"/>
      <c r="K44" s="2080"/>
      <c r="L44" s="2059"/>
      <c r="M44" s="2059"/>
    </row>
    <row r="45" spans="1:18" ht="18" customHeight="1">
      <c r="A45" s="800" t="s">
        <v>1875</v>
      </c>
      <c r="B45" s="1353" t="s">
        <v>713</v>
      </c>
      <c r="C45" s="3060">
        <f ca="1">ROUND(-PV(F45,F46,C44,0),0)</f>
        <v>0</v>
      </c>
      <c r="D45" s="1355" t="s">
        <v>714</v>
      </c>
      <c r="E45" s="803" t="s">
        <v>715</v>
      </c>
      <c r="F45" s="827">
        <f ca="1">INDIRECT("'数据-取费表'!h"&amp;$G$1)</f>
        <v>0</v>
      </c>
      <c r="G45" s="2059"/>
      <c r="H45" s="2059"/>
      <c r="I45" s="2059"/>
      <c r="J45" s="2059"/>
      <c r="K45" s="2080"/>
      <c r="L45" s="2059"/>
      <c r="M45" s="2059"/>
    </row>
    <row r="46" spans="1:18" ht="18" customHeight="1" thickBot="1">
      <c r="A46" s="828"/>
      <c r="B46" s="1356"/>
      <c r="C46" s="1357"/>
      <c r="D46" s="1358"/>
      <c r="E46" s="3153" t="s">
        <v>2970</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4" t="s">
        <v>2341</v>
      </c>
      <c r="J47" s="2375"/>
      <c r="K47" s="2376"/>
      <c r="L47" s="2377" t="str">
        <f ca="1">IF(M48="住宅",0,IF(L49&gt;J52,L61,J61))</f>
        <v>0</v>
      </c>
      <c r="O47" s="2414" t="s">
        <v>2409</v>
      </c>
      <c r="P47" s="1589"/>
      <c r="Q47" s="1601"/>
      <c r="R47" s="1589"/>
    </row>
    <row r="48" spans="1:18" s="2056" customFormat="1" ht="18" customHeight="1" thickBot="1">
      <c r="A48" s="2081"/>
      <c r="C48" s="2084"/>
      <c r="D48" s="2085"/>
      <c r="E48" s="2085"/>
      <c r="F48" s="2086"/>
      <c r="G48" s="2087"/>
      <c r="I48" s="2378" t="s">
        <v>2342</v>
      </c>
      <c r="J48" s="2383"/>
      <c r="K48" s="2384" t="s">
        <v>2348</v>
      </c>
      <c r="L48" s="2385">
        <f ca="1">INDIRECT("'数据-取费表'!d"&amp;$G$1)</f>
        <v>0</v>
      </c>
      <c r="M48" s="3148" t="str">
        <f>IF(ISNUMBER(FIND("住宅",C1)),"住宅","非住宅")</f>
        <v>非住宅</v>
      </c>
      <c r="O48" s="2415" t="s">
        <v>2374</v>
      </c>
      <c r="P48" s="2416" t="s">
        <v>2375</v>
      </c>
      <c r="Q48" s="2417" t="s">
        <v>2376</v>
      </c>
      <c r="R48" s="2416" t="s">
        <v>2377</v>
      </c>
    </row>
    <row r="49" spans="1:18" s="2056" customFormat="1" ht="18" customHeight="1" thickBot="1">
      <c r="A49" s="2081"/>
      <c r="D49" s="2088"/>
      <c r="E49" s="2089"/>
      <c r="F49" s="2086"/>
      <c r="G49" s="2087"/>
      <c r="H49" s="2090"/>
      <c r="I49" s="2379" t="s">
        <v>2343</v>
      </c>
      <c r="J49" s="2386"/>
      <c r="K49" s="2387" t="s">
        <v>2350</v>
      </c>
      <c r="L49" s="2388">
        <f ca="1">INDIRECT("'数据-取费表'!f"&amp;$G$1)</f>
        <v>0</v>
      </c>
      <c r="O49" s="2418" t="s">
        <v>2378</v>
      </c>
      <c r="P49" s="2419" t="s">
        <v>2404</v>
      </c>
      <c r="Q49" s="2420">
        <f ca="1">C41+J31</f>
        <v>0</v>
      </c>
      <c r="R49" s="2419" t="s">
        <v>2379</v>
      </c>
    </row>
    <row r="50" spans="1:18" s="2056" customFormat="1" ht="18" customHeight="1" thickBot="1">
      <c r="A50" s="2081"/>
      <c r="D50" s="2091"/>
      <c r="E50" s="2091"/>
      <c r="F50" s="2085"/>
      <c r="G50" s="2092"/>
      <c r="H50" s="2090"/>
      <c r="I50" s="2379" t="s">
        <v>2344</v>
      </c>
      <c r="J50" s="2389"/>
      <c r="K50" s="2390" t="s">
        <v>2351</v>
      </c>
      <c r="L50" s="2391"/>
      <c r="O50" s="2418" t="s">
        <v>2380</v>
      </c>
      <c r="P50" s="2419" t="s">
        <v>2405</v>
      </c>
      <c r="Q50" s="2420" t="str">
        <f ca="1">J61</f>
        <v>0</v>
      </c>
      <c r="R50" s="2419" t="s">
        <v>2381</v>
      </c>
    </row>
    <row r="51" spans="1:18" s="2056" customFormat="1" ht="18" customHeight="1" thickBot="1">
      <c r="A51" s="2093"/>
      <c r="D51" s="2091"/>
      <c r="E51" s="2091"/>
      <c r="F51" s="2082"/>
      <c r="H51" s="2090"/>
      <c r="I51" s="2379" t="s">
        <v>2345</v>
      </c>
      <c r="J51" s="2392">
        <f>SUMPRODUCT((I64:I66=J48)*(J63:L63=J49)*(J64:L66))</f>
        <v>0</v>
      </c>
      <c r="K51" s="2390" t="s">
        <v>2352</v>
      </c>
      <c r="L51" s="2391"/>
      <c r="O51" s="2421" t="s">
        <v>2382</v>
      </c>
      <c r="P51" s="2419" t="s">
        <v>2406</v>
      </c>
      <c r="Q51" s="2420">
        <f ca="1">C31</f>
        <v>0</v>
      </c>
      <c r="R51" s="2419" t="s">
        <v>2379</v>
      </c>
    </row>
    <row r="52" spans="1:18" s="2056" customFormat="1" ht="18" customHeight="1" thickBot="1">
      <c r="A52" s="2093"/>
      <c r="F52" s="2082"/>
      <c r="I52" s="2380" t="s">
        <v>2346</v>
      </c>
      <c r="J52" s="2393">
        <f>IF(J50="",J51,J50+J51-YEAR('数据-取费表'!B3))</f>
        <v>0</v>
      </c>
      <c r="K52" s="2379" t="s">
        <v>2353</v>
      </c>
      <c r="L52" s="2394">
        <f ca="1">ROUND(-PV(INDIRECT("'数据-取费表'!h"&amp;$G$1),L49,(C40-C14*J36),0),0)</f>
        <v>0</v>
      </c>
      <c r="O52" s="2421" t="s">
        <v>2383</v>
      </c>
      <c r="P52" s="2419" t="s">
        <v>2384</v>
      </c>
      <c r="Q52" s="2422" t="e">
        <f ca="1">J59</f>
        <v>#VALUE!</v>
      </c>
      <c r="R52" s="2423"/>
    </row>
    <row r="53" spans="1:18" s="2056" customFormat="1" ht="18" customHeight="1" thickBot="1">
      <c r="A53" s="2093"/>
      <c r="F53" s="2082"/>
      <c r="I53" s="2381" t="s">
        <v>2420</v>
      </c>
      <c r="J53" s="2395"/>
      <c r="K53" s="2381" t="s">
        <v>2419</v>
      </c>
      <c r="L53" s="2395"/>
      <c r="O53" s="2421" t="s">
        <v>2385</v>
      </c>
      <c r="P53" s="2419" t="s">
        <v>2386</v>
      </c>
      <c r="Q53" s="2422">
        <f>J53</f>
        <v>0</v>
      </c>
      <c r="R53" s="2423"/>
    </row>
    <row r="54" spans="1:18" s="2056" customFormat="1" ht="43.5" thickBot="1">
      <c r="A54" s="2093"/>
      <c r="I54" s="2382" t="s">
        <v>2347</v>
      </c>
      <c r="J54" s="2396">
        <f ca="1">IF(M48="住宅",J52,IF(J52&gt;L49,L49-'数据-取费表'!B25,J52))</f>
        <v>0</v>
      </c>
      <c r="K54" s="3498"/>
      <c r="L54" s="3499"/>
      <c r="O54" s="2421" t="s">
        <v>2387</v>
      </c>
      <c r="P54" s="2419" t="s">
        <v>2388</v>
      </c>
      <c r="Q54" s="2420">
        <f ca="1">J54</f>
        <v>0</v>
      </c>
      <c r="R54" s="2419" t="s">
        <v>2389</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8" t="s">
        <v>2390</v>
      </c>
      <c r="P55" s="2419" t="s">
        <v>2407</v>
      </c>
      <c r="Q55" s="2420">
        <f ca="1">Q49+Q50</f>
        <v>0</v>
      </c>
      <c r="R55" s="2423" t="s">
        <v>2391</v>
      </c>
    </row>
    <row r="56" spans="1:18" s="2056" customFormat="1" ht="16.5" thickBot="1">
      <c r="A56" s="2093"/>
      <c r="B56" s="2094"/>
      <c r="C56" s="2094"/>
      <c r="I56" s="3125" t="s">
        <v>2354</v>
      </c>
      <c r="J56" s="3149" t="e">
        <f ca="1">ROUND(IF(J48="钢混",J58/J51,1-(1-2%)*(J51-J58)/J51),3)</f>
        <v>#VALUE!</v>
      </c>
      <c r="K56" s="2397" t="s">
        <v>2355</v>
      </c>
      <c r="L56" s="2398"/>
      <c r="O56" s="2424" t="s">
        <v>2410</v>
      </c>
      <c r="P56" s="1589"/>
      <c r="Q56" s="1601"/>
      <c r="R56" s="1589"/>
    </row>
    <row r="57" spans="1:18" s="2056" customFormat="1" ht="43.5" thickBot="1">
      <c r="A57" s="2093"/>
      <c r="B57" s="2094"/>
      <c r="C57" s="2094"/>
      <c r="I57" s="2399" t="s">
        <v>2356</v>
      </c>
      <c r="J57" s="3148" t="s">
        <v>1674</v>
      </c>
      <c r="K57" s="2379" t="s">
        <v>2361</v>
      </c>
      <c r="L57" s="2388">
        <f ca="1">IF(L49&lt;J52,"——",L49-J52)</f>
        <v>0</v>
      </c>
      <c r="O57" s="2415" t="s">
        <v>2374</v>
      </c>
      <c r="P57" s="2416" t="s">
        <v>2375</v>
      </c>
      <c r="Q57" s="2417" t="s">
        <v>2376</v>
      </c>
      <c r="R57" s="2416" t="s">
        <v>2377</v>
      </c>
    </row>
    <row r="58" spans="1:18" s="2056" customFormat="1" ht="29.25" thickBot="1">
      <c r="A58" s="2093"/>
      <c r="B58" s="2094"/>
      <c r="C58" s="2094"/>
      <c r="I58" s="2400" t="s">
        <v>2357</v>
      </c>
      <c r="J58" s="2402" t="str">
        <f ca="1">IF(OR(M48="住宅",J52&lt;L49,J57="是"),"——",J52-L49)</f>
        <v>——</v>
      </c>
      <c r="K58" s="2379" t="s">
        <v>2362</v>
      </c>
      <c r="L58" s="2388">
        <f ca="1">IF(L49&lt;J52,"——",IF(L56="比较法",L50,IF(L56="基准地价",L51,L52)))</f>
        <v>0</v>
      </c>
      <c r="O58" s="2418" t="s">
        <v>2378</v>
      </c>
      <c r="P58" s="2419" t="s">
        <v>2404</v>
      </c>
      <c r="Q58" s="2420">
        <f ca="1">C41+J31</f>
        <v>0</v>
      </c>
      <c r="R58" s="2419" t="s">
        <v>2379</v>
      </c>
    </row>
    <row r="59" spans="1:18" s="2056" customFormat="1" ht="29.25" thickBot="1">
      <c r="A59" s="2093"/>
      <c r="B59" s="2094"/>
      <c r="C59" s="2094"/>
      <c r="I59" s="2400" t="s">
        <v>2358</v>
      </c>
      <c r="J59" s="3150" t="e">
        <f ca="1">IF(J56&lt;0.4,0.4,J56)</f>
        <v>#VALUE!</v>
      </c>
      <c r="K59" s="2379" t="s">
        <v>2363</v>
      </c>
      <c r="L59" s="2388">
        <f ca="1">IF(ISERROR(POWER(1+L53,L48-L49)*(POWER(1+L53,L49)-1)/(POWER(1+L53,L48)-1)),0,POWER(1+L53,L48-L49)*(POWER(1+L53,L49)-1)/(POWER(1+L53,L48)-1))</f>
        <v>0</v>
      </c>
      <c r="O59" s="2418" t="s">
        <v>2380</v>
      </c>
      <c r="P59" s="2419" t="s">
        <v>2411</v>
      </c>
      <c r="Q59" s="2420" t="e">
        <f ca="1">L61</f>
        <v>#DIV/0!</v>
      </c>
      <c r="R59" s="2423" t="s">
        <v>2413</v>
      </c>
    </row>
    <row r="60" spans="1:18" s="2056" customFormat="1" ht="29.25" thickBot="1">
      <c r="A60" s="2093"/>
      <c r="B60" s="2094"/>
      <c r="C60" s="2094"/>
      <c r="I60" s="2400" t="s">
        <v>2359</v>
      </c>
      <c r="J60" s="2402" t="str">
        <f ca="1">IF(OR(M48="住宅",J52&lt;L49,J57="是"),"——",ROUND(C30*J59,0))</f>
        <v>——</v>
      </c>
      <c r="K60" s="2379" t="s">
        <v>2364</v>
      </c>
      <c r="L60" s="2388">
        <f ca="1">IF(ISERROR(POWER(1+L53,L48-J52)*(POWER(1+L53,J52)-1)/(POWER(1+L53,L48)-1)),0,POWER(1+L53,L48-J52)*(POWER(1+L53,J52)-1)/(POWER(1+L53,L48)-1))</f>
        <v>0</v>
      </c>
      <c r="O60" s="2421" t="s">
        <v>2382</v>
      </c>
      <c r="P60" s="2419" t="s">
        <v>2412</v>
      </c>
      <c r="Q60" s="2420">
        <f>IF(L56="比较法",L50,IF(L56="基准地价",L51,0))</f>
        <v>0</v>
      </c>
      <c r="R60" s="2419" t="s">
        <v>2379</v>
      </c>
    </row>
    <row r="61" spans="1:18" s="2056" customFormat="1" ht="15.75" thickBot="1">
      <c r="A61" s="2093"/>
      <c r="B61" s="2094"/>
      <c r="C61" s="2094"/>
      <c r="I61" s="2401" t="s">
        <v>2360</v>
      </c>
      <c r="J61" s="2403" t="str">
        <f ca="1">IF(OR(M48="住宅",J52&lt;L49,J57="是"),"0",ROUND(J60/(1+J53)^J54,0))</f>
        <v>0</v>
      </c>
      <c r="K61" s="2404" t="s">
        <v>2365</v>
      </c>
      <c r="L61" s="2403" t="e">
        <f ca="1">IF(OR(M48="住宅",L49&lt;J52),0,ROUND(L58*(L59/L60-1),0))</f>
        <v>#DIV/0!</v>
      </c>
      <c r="O61" s="2421" t="s">
        <v>2383</v>
      </c>
      <c r="P61" s="2419" t="s">
        <v>2392</v>
      </c>
      <c r="Q61" s="2422">
        <f>L53</f>
        <v>0</v>
      </c>
      <c r="R61" s="2423"/>
    </row>
    <row r="62" spans="1:18" s="2056" customFormat="1" ht="20.25" thickBot="1">
      <c r="A62" s="2093"/>
      <c r="B62" s="2094"/>
      <c r="C62" s="2094"/>
      <c r="K62" s="2083"/>
      <c r="O62" s="2421" t="s">
        <v>2385</v>
      </c>
      <c r="P62" s="2419" t="s">
        <v>2393</v>
      </c>
      <c r="Q62" s="2420">
        <f ca="1">L59</f>
        <v>0</v>
      </c>
      <c r="R62" s="2423" t="s">
        <v>2394</v>
      </c>
    </row>
    <row r="63" spans="1:18" s="2056" customFormat="1" ht="20.25" thickBot="1">
      <c r="A63" s="2093"/>
      <c r="B63" s="2094"/>
      <c r="C63" s="2094"/>
      <c r="I63" s="2405" t="s">
        <v>2366</v>
      </c>
      <c r="J63" s="2406" t="s">
        <v>2367</v>
      </c>
      <c r="K63" s="2406" t="s">
        <v>2368</v>
      </c>
      <c r="L63" s="2406" t="s">
        <v>2349</v>
      </c>
      <c r="M63" s="3127" t="s">
        <v>2946</v>
      </c>
      <c r="O63" s="2421" t="s">
        <v>2387</v>
      </c>
      <c r="P63" s="2419" t="s">
        <v>2395</v>
      </c>
      <c r="Q63" s="2420">
        <f ca="1">L60</f>
        <v>0</v>
      </c>
      <c r="R63" s="2423" t="s">
        <v>2396</v>
      </c>
    </row>
    <row r="64" spans="1:18" s="2056" customFormat="1" ht="15.75" thickBot="1">
      <c r="A64" s="2093"/>
      <c r="B64" s="2094"/>
      <c r="C64" s="2094"/>
      <c r="I64" s="2405" t="s">
        <v>2369</v>
      </c>
      <c r="J64" s="2406">
        <v>70</v>
      </c>
      <c r="K64" s="2406">
        <v>50</v>
      </c>
      <c r="L64" s="2406">
        <v>80</v>
      </c>
      <c r="M64" s="3128">
        <v>0.02</v>
      </c>
      <c r="O64" s="2418" t="s">
        <v>2390</v>
      </c>
      <c r="P64" s="2419" t="s">
        <v>2407</v>
      </c>
      <c r="Q64" s="2420" t="e">
        <f ca="1">Q58+Q59</f>
        <v>#DIV/0!</v>
      </c>
      <c r="R64" s="2423" t="s">
        <v>2391</v>
      </c>
    </row>
    <row r="65" spans="1:18" s="2056" customFormat="1" ht="16.5" thickBot="1">
      <c r="A65" s="2093"/>
      <c r="B65" s="2094"/>
      <c r="C65" s="2094"/>
      <c r="I65" s="2405" t="s">
        <v>2370</v>
      </c>
      <c r="J65" s="2406">
        <v>50</v>
      </c>
      <c r="K65" s="2406">
        <v>35</v>
      </c>
      <c r="L65" s="2406">
        <v>60</v>
      </c>
      <c r="M65" s="3129">
        <v>0</v>
      </c>
      <c r="O65" s="2424" t="s">
        <v>2414</v>
      </c>
      <c r="P65" s="1589"/>
      <c r="Q65" s="1601"/>
      <c r="R65" s="1589"/>
    </row>
    <row r="66" spans="1:18" s="2056" customFormat="1" ht="15.75" thickBot="1">
      <c r="A66" s="2093"/>
      <c r="B66" s="2094"/>
      <c r="C66" s="2094"/>
      <c r="I66" s="2405" t="s">
        <v>2371</v>
      </c>
      <c r="J66" s="2406">
        <v>40</v>
      </c>
      <c r="K66" s="2406">
        <v>30</v>
      </c>
      <c r="L66" s="2406">
        <v>50</v>
      </c>
      <c r="M66" s="3128">
        <v>0.02</v>
      </c>
      <c r="O66" s="2415" t="s">
        <v>2374</v>
      </c>
      <c r="P66" s="2416" t="s">
        <v>2375</v>
      </c>
      <c r="Q66" s="2417" t="s">
        <v>2376</v>
      </c>
      <c r="R66" s="2416" t="s">
        <v>2377</v>
      </c>
    </row>
    <row r="67" spans="1:18" s="2056" customFormat="1" ht="15.75" thickBot="1">
      <c r="A67" s="2093"/>
      <c r="B67" s="2094"/>
      <c r="C67" s="2094"/>
      <c r="K67" s="2083"/>
      <c r="O67" s="2418" t="s">
        <v>2378</v>
      </c>
      <c r="P67" s="2419" t="s">
        <v>2404</v>
      </c>
      <c r="Q67" s="2420">
        <f ca="1">C41+J31</f>
        <v>0</v>
      </c>
      <c r="R67" s="2419" t="s">
        <v>2379</v>
      </c>
    </row>
    <row r="68" spans="1:18" s="2056" customFormat="1" ht="20.25" thickBot="1">
      <c r="A68" s="2093"/>
      <c r="B68" s="2094"/>
      <c r="C68" s="2094"/>
      <c r="K68" s="2083"/>
      <c r="O68" s="2418" t="s">
        <v>2380</v>
      </c>
      <c r="P68" s="2419" t="s">
        <v>2411</v>
      </c>
      <c r="Q68" s="2420" t="e">
        <f ca="1">L61</f>
        <v>#DIV/0!</v>
      </c>
      <c r="R68" s="2423" t="s">
        <v>2413</v>
      </c>
    </row>
    <row r="69" spans="1:18" s="2056" customFormat="1" ht="21.75" thickBot="1">
      <c r="A69" s="2093"/>
      <c r="B69" s="2094"/>
      <c r="C69" s="2094"/>
      <c r="K69" s="2083"/>
      <c r="O69" s="2421" t="s">
        <v>2382</v>
      </c>
      <c r="P69" s="2419" t="s">
        <v>2412</v>
      </c>
      <c r="Q69" s="2425">
        <f ca="1">L52</f>
        <v>0</v>
      </c>
      <c r="R69" s="2426" t="s">
        <v>2415</v>
      </c>
    </row>
    <row r="70" spans="1:18" s="2056" customFormat="1" ht="20.25" thickBot="1">
      <c r="A70" s="2093"/>
      <c r="B70" s="2094"/>
      <c r="C70" s="2094"/>
      <c r="K70" s="2083"/>
      <c r="O70" s="2421" t="s">
        <v>2383</v>
      </c>
      <c r="P70" s="2427" t="s">
        <v>2397</v>
      </c>
      <c r="Q70" s="2420">
        <f ca="1">ROUND(Q71-Q72*Q73,0)</f>
        <v>0</v>
      </c>
      <c r="R70" s="2423"/>
    </row>
    <row r="71" spans="1:18" s="2056" customFormat="1" ht="15.75" thickBot="1">
      <c r="A71" s="2093"/>
      <c r="B71" s="2094"/>
      <c r="C71" s="2094"/>
      <c r="K71" s="2083"/>
      <c r="O71" s="2421" t="s">
        <v>2398</v>
      </c>
      <c r="P71" s="2427" t="s">
        <v>2399</v>
      </c>
      <c r="Q71" s="2420">
        <f ca="1">C42</f>
        <v>0</v>
      </c>
      <c r="R71" s="2419" t="s">
        <v>2379</v>
      </c>
    </row>
    <row r="72" spans="1:18" s="2056" customFormat="1" ht="15.75" thickBot="1">
      <c r="A72" s="2093"/>
      <c r="B72" s="2094"/>
      <c r="C72" s="2094"/>
      <c r="K72" s="2083"/>
      <c r="O72" s="2421" t="s">
        <v>2400</v>
      </c>
      <c r="P72" s="2427" t="s">
        <v>2401</v>
      </c>
      <c r="Q72" s="2420">
        <f ca="1">C15</f>
        <v>0</v>
      </c>
      <c r="R72" s="2419" t="s">
        <v>2379</v>
      </c>
    </row>
    <row r="73" spans="1:18" s="2056" customFormat="1" ht="15.75" thickBot="1">
      <c r="A73" s="2093"/>
      <c r="B73" s="2094"/>
      <c r="C73" s="2094"/>
      <c r="K73" s="2083"/>
      <c r="O73" s="2421" t="s">
        <v>2402</v>
      </c>
      <c r="P73" s="2427" t="s">
        <v>2403</v>
      </c>
      <c r="Q73" s="2422">
        <f ca="1">F43</f>
        <v>0</v>
      </c>
      <c r="R73" s="2423"/>
    </row>
    <row r="74" spans="1:18" s="2056" customFormat="1" ht="15.75" thickBot="1">
      <c r="A74" s="2093"/>
      <c r="B74" s="2094"/>
      <c r="C74" s="2094"/>
      <c r="K74" s="2083"/>
      <c r="O74" s="2421" t="s">
        <v>2385</v>
      </c>
      <c r="P74" s="2419" t="s">
        <v>2392</v>
      </c>
      <c r="Q74" s="2422">
        <f>L53</f>
        <v>0</v>
      </c>
      <c r="R74" s="2423"/>
    </row>
    <row r="75" spans="1:18" s="2056" customFormat="1" ht="20.25" thickBot="1">
      <c r="A75" s="2093"/>
      <c r="B75" s="2094"/>
      <c r="C75" s="2094"/>
      <c r="K75" s="2083"/>
      <c r="O75" s="2421" t="s">
        <v>2387</v>
      </c>
      <c r="P75" s="2419" t="s">
        <v>2393</v>
      </c>
      <c r="Q75" s="2420">
        <f ca="1">L59</f>
        <v>0</v>
      </c>
      <c r="R75" s="2423" t="s">
        <v>2394</v>
      </c>
    </row>
    <row r="76" spans="1:18" s="2056" customFormat="1" ht="20.25" thickBot="1">
      <c r="A76" s="2093"/>
      <c r="B76" s="2094"/>
      <c r="C76" s="2094"/>
      <c r="K76" s="2083"/>
      <c r="O76" s="2421" t="s">
        <v>2416</v>
      </c>
      <c r="P76" s="2419" t="s">
        <v>2395</v>
      </c>
      <c r="Q76" s="2420">
        <f ca="1">L60</f>
        <v>0</v>
      </c>
      <c r="R76" s="2423" t="s">
        <v>2396</v>
      </c>
    </row>
    <row r="77" spans="1:18" s="2056" customFormat="1" ht="15.75" thickBot="1">
      <c r="A77" s="2093"/>
      <c r="B77" s="2094"/>
      <c r="C77" s="2094"/>
      <c r="K77" s="2083"/>
      <c r="O77" s="2418" t="s">
        <v>2390</v>
      </c>
      <c r="P77" s="2419" t="s">
        <v>2407</v>
      </c>
      <c r="Q77" s="2420" t="e">
        <f ca="1">Q67+Q68</f>
        <v>#DIV/0!</v>
      </c>
      <c r="R77" s="2423"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6" t="s">
        <v>2575</v>
      </c>
      <c r="C1" s="3506"/>
      <c r="D1" s="3506"/>
      <c r="E1" s="3506"/>
      <c r="F1" s="3506"/>
      <c r="G1" s="3505" t="s">
        <v>2576</v>
      </c>
      <c r="H1" s="3505"/>
      <c r="I1" s="3505"/>
      <c r="J1" s="3505"/>
      <c r="K1" s="3505"/>
      <c r="L1" s="3505"/>
      <c r="N1" s="3505" t="s">
        <v>2577</v>
      </c>
      <c r="O1" s="3505"/>
      <c r="P1" s="3505"/>
      <c r="Q1" s="3505"/>
      <c r="R1" s="2675"/>
      <c r="S1" s="3505" t="s">
        <v>2578</v>
      </c>
      <c r="T1" s="3505"/>
      <c r="U1" s="3505"/>
      <c r="V1" s="3505"/>
      <c r="X1" s="3504" t="s">
        <v>2639</v>
      </c>
      <c r="Y1" s="3505"/>
      <c r="Z1" s="3505"/>
      <c r="AA1" s="3505"/>
      <c r="AB1" s="3505"/>
      <c r="AD1" s="3504" t="s">
        <v>2644</v>
      </c>
      <c r="AE1" s="3505"/>
      <c r="AF1" s="3505"/>
      <c r="AG1" s="3505"/>
      <c r="AH1" s="3505"/>
    </row>
    <row r="2" spans="1:34" s="2777" customFormat="1" ht="14.25" thickBot="1">
      <c r="B2" s="2786" t="s">
        <v>2579</v>
      </c>
      <c r="C2" s="2786" t="s">
        <v>2642</v>
      </c>
      <c r="D2" s="2778" t="s">
        <v>1640</v>
      </c>
      <c r="E2" s="2778" t="s">
        <v>1947</v>
      </c>
      <c r="F2" s="2786" t="s">
        <v>2643</v>
      </c>
      <c r="G2" s="2781"/>
      <c r="H2" s="2780"/>
      <c r="I2" s="2786" t="s">
        <v>2961</v>
      </c>
      <c r="J2" s="2778" t="s">
        <v>2963</v>
      </c>
      <c r="K2" s="2778" t="s">
        <v>2964</v>
      </c>
      <c r="L2" s="2786" t="s">
        <v>2965</v>
      </c>
      <c r="N2" s="2786" t="s">
        <v>2579</v>
      </c>
      <c r="O2" s="2778" t="s">
        <v>2962</v>
      </c>
      <c r="P2" s="2778" t="s">
        <v>1947</v>
      </c>
      <c r="Q2" s="2786" t="s">
        <v>2643</v>
      </c>
      <c r="R2" s="2779"/>
      <c r="S2" s="2786" t="s">
        <v>2579</v>
      </c>
      <c r="T2" s="2778" t="s">
        <v>2962</v>
      </c>
      <c r="U2" s="2778" t="s">
        <v>1947</v>
      </c>
      <c r="V2" s="2786" t="s">
        <v>2643</v>
      </c>
      <c r="X2" s="2786" t="s">
        <v>2579</v>
      </c>
      <c r="Y2" s="2786" t="s">
        <v>2642</v>
      </c>
      <c r="Z2" s="2778" t="s">
        <v>1640</v>
      </c>
      <c r="AA2" s="2778" t="s">
        <v>1947</v>
      </c>
      <c r="AB2" s="2786" t="s">
        <v>2643</v>
      </c>
      <c r="AD2" s="2786" t="s">
        <v>2579</v>
      </c>
      <c r="AE2" s="2786" t="s">
        <v>2642</v>
      </c>
      <c r="AF2" s="2778" t="s">
        <v>1640</v>
      </c>
      <c r="AG2" s="2778" t="s">
        <v>1947</v>
      </c>
      <c r="AH2" s="2786" t="s">
        <v>2643</v>
      </c>
    </row>
    <row r="3" spans="1:34" s="2770" customFormat="1" ht="14.25">
      <c r="B3" s="2771"/>
      <c r="C3" s="2771"/>
      <c r="D3" s="2772"/>
      <c r="E3" s="2772"/>
      <c r="F3" s="2771"/>
      <c r="G3" s="2776"/>
      <c r="H3" s="2773"/>
      <c r="I3" s="3159"/>
      <c r="J3" s="3159"/>
      <c r="K3" s="3159"/>
      <c r="L3" s="3159"/>
      <c r="N3" s="2776"/>
      <c r="O3" s="2774"/>
      <c r="P3" s="2774"/>
      <c r="Q3" s="2774"/>
      <c r="R3" s="2774"/>
      <c r="S3" s="2776"/>
      <c r="T3" s="2774"/>
      <c r="U3" s="2774"/>
      <c r="V3" s="2774"/>
      <c r="X3" s="2775">
        <f>ROUND(SUMPRODUCT(PRODUCT(1+N3:N$19)),4)</f>
        <v>1.4742</v>
      </c>
      <c r="Y3" s="2775">
        <f>ROUND(SUMPRODUCT(PRODUCT(1+O3:O$19)),4)</f>
        <v>1.2875000000000001</v>
      </c>
      <c r="Z3" s="2775">
        <f t="shared" ref="Z3:Z17" si="0">Y3</f>
        <v>1.2875000000000001</v>
      </c>
      <c r="AA3" s="2775">
        <f>ROUND(SUMPRODUCT(PRODUCT(1+P3:P$19)),4)</f>
        <v>1.5399</v>
      </c>
      <c r="AB3" s="2775">
        <f>ROUND(SUMPRODUCT(PRODUCT(1+Q3:Q$19)),4)</f>
        <v>1.2475000000000001</v>
      </c>
      <c r="AD3" s="2695">
        <f>ROUND(AVERAGE(I3:I$20)/100,4)</f>
        <v>2.4899999999999999E-2</v>
      </c>
      <c r="AE3" s="2695">
        <f>ROUND(AVERAGE(J3:J$20)/100,4)</f>
        <v>1.6400000000000001E-2</v>
      </c>
      <c r="AF3" s="2695">
        <f t="shared" ref="AF3:AF18" si="1">AE3</f>
        <v>1.6400000000000001E-2</v>
      </c>
      <c r="AG3" s="2695">
        <f>ROUND(AVERAGE(K3:K$20)/100,4)</f>
        <v>2.7799999999999998E-2</v>
      </c>
      <c r="AH3" s="2695">
        <f>ROUND(AVERAGE(L3:L$20)/100,4)</f>
        <v>1.3899999999999999E-2</v>
      </c>
    </row>
    <row r="4" spans="1:34" s="2770" customFormat="1" ht="13.5" thickBot="1">
      <c r="A4" s="2676" t="s">
        <v>2973</v>
      </c>
      <c r="B4" s="2690">
        <f>B5*(1+N4)</f>
        <v>453.57903691012211</v>
      </c>
      <c r="C4" s="2690">
        <f t="shared" ref="C4" si="2">C5*(1+O4)</f>
        <v>331.18001284964259</v>
      </c>
      <c r="D4" s="2690">
        <f t="shared" ref="D4:D9" si="3">C4</f>
        <v>331.18001284964259</v>
      </c>
      <c r="E4" s="2690">
        <f t="shared" ref="E4" si="4">E5*(1+P4)</f>
        <v>650.68458238034486</v>
      </c>
      <c r="F4" s="2690">
        <f t="shared" ref="F4" si="5">F5*(1+Q4)</f>
        <v>287.29097305893981</v>
      </c>
      <c r="G4" s="2776">
        <v>2018</v>
      </c>
      <c r="H4" s="2773">
        <v>1</v>
      </c>
      <c r="I4" s="3159">
        <f>ROUND(AVERAGE(I5:I20),2)</f>
        <v>2.4900000000000002</v>
      </c>
      <c r="J4" s="3159">
        <f t="shared" ref="J4:L4" si="6">ROUND(AVERAGE(J5:J20),2)</f>
        <v>1.64</v>
      </c>
      <c r="K4" s="3159">
        <f t="shared" si="6"/>
        <v>2.78</v>
      </c>
      <c r="L4" s="3159">
        <f t="shared" si="6"/>
        <v>1.39</v>
      </c>
      <c r="N4" s="3157">
        <f t="shared" ref="N4:N9" si="7">I4/100</f>
        <v>2.4900000000000002E-2</v>
      </c>
      <c r="O4" s="3158">
        <f t="shared" ref="O4" si="8">J4/100</f>
        <v>1.6399999999999998E-2</v>
      </c>
      <c r="P4" s="3158">
        <f t="shared" ref="P4" si="9">K4/100</f>
        <v>2.7799999999999998E-2</v>
      </c>
      <c r="Q4" s="3158">
        <f t="shared" ref="Q4" si="10">L4/100</f>
        <v>1.3899999999999999E-2</v>
      </c>
      <c r="R4" s="2774"/>
      <c r="S4" s="2776"/>
      <c r="T4" s="2774"/>
      <c r="U4" s="2774"/>
      <c r="V4" s="2774"/>
      <c r="X4" s="2775"/>
      <c r="Y4" s="2775"/>
      <c r="Z4" s="2775"/>
      <c r="AA4" s="2775"/>
      <c r="AB4" s="2775"/>
      <c r="AD4" s="2695"/>
      <c r="AE4" s="2695"/>
      <c r="AF4" s="2695"/>
      <c r="AG4" s="2695"/>
      <c r="AH4" s="2695"/>
    </row>
    <row r="5" spans="1:34" s="3142" customFormat="1">
      <c r="A5" s="3140" t="s">
        <v>2972</v>
      </c>
      <c r="B5" s="2817">
        <f t="shared" ref="B5" si="11">B6*(1+N5)</f>
        <v>442.55931008890832</v>
      </c>
      <c r="C5" s="2817">
        <f t="shared" ref="C5" si="12">C6*(1+O5)</f>
        <v>325.83629756950273</v>
      </c>
      <c r="D5" s="2817">
        <f t="shared" si="3"/>
        <v>325.83629756950273</v>
      </c>
      <c r="E5" s="2817">
        <f t="shared" ref="E5" si="13">E6*(1+P5)</f>
        <v>633.08482426575677</v>
      </c>
      <c r="F5" s="2817">
        <f t="shared" ref="F5" si="14">F6*(1+Q5)</f>
        <v>283.35237504580311</v>
      </c>
      <c r="G5" s="3503">
        <v>2017</v>
      </c>
      <c r="H5" s="3141">
        <v>4</v>
      </c>
      <c r="I5" s="3160">
        <f>ROUND(AVERAGE(I6:I20),2)</f>
        <v>2.4900000000000002</v>
      </c>
      <c r="J5" s="3160">
        <f>ROUND(AVERAGE(J6:J20),2)</f>
        <v>1.64</v>
      </c>
      <c r="K5" s="3160">
        <f>ROUND(AVERAGE(K6:K20),2)</f>
        <v>2.78</v>
      </c>
      <c r="L5" s="3160">
        <f>ROUND(AVERAGE(L6:L20),2)</f>
        <v>1.39</v>
      </c>
      <c r="N5" s="2783">
        <f t="shared" si="7"/>
        <v>2.4900000000000002E-2</v>
      </c>
      <c r="O5" s="2783">
        <f t="shared" ref="O5" si="15">J5/100</f>
        <v>1.6399999999999998E-2</v>
      </c>
      <c r="P5" s="2783">
        <f t="shared" ref="P5" si="16">K5/100</f>
        <v>2.7799999999999998E-2</v>
      </c>
      <c r="Q5" s="2783">
        <f t="shared" ref="Q5" si="17">L5/100</f>
        <v>1.3899999999999999E-2</v>
      </c>
      <c r="R5" s="3143"/>
      <c r="S5" s="3144"/>
      <c r="T5" s="3143"/>
      <c r="U5" s="3143"/>
      <c r="V5" s="3143"/>
      <c r="W5" s="2784" t="s">
        <v>2640</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76" t="s">
        <v>2580</v>
      </c>
      <c r="B6" s="2690">
        <f t="shared" ref="B6:C8" si="18">B7*(1+N6)</f>
        <v>431.80730811680002</v>
      </c>
      <c r="C6" s="2690">
        <f t="shared" si="18"/>
        <v>320.57880516480003</v>
      </c>
      <c r="D6" s="2690">
        <f t="shared" si="3"/>
        <v>320.57880516480003</v>
      </c>
      <c r="E6" s="2690">
        <f t="shared" ref="E6:F8" si="19">E7*(1+P6)</f>
        <v>615.96110553196797</v>
      </c>
      <c r="F6" s="2690">
        <f t="shared" si="19"/>
        <v>279.46777300108801</v>
      </c>
      <c r="G6" s="3501"/>
      <c r="H6" s="2680">
        <v>3</v>
      </c>
      <c r="I6" s="2680">
        <v>2.98</v>
      </c>
      <c r="J6" s="2680">
        <v>2.11</v>
      </c>
      <c r="K6" s="2680">
        <v>3.24</v>
      </c>
      <c r="L6" s="2691">
        <v>1.72</v>
      </c>
      <c r="N6" s="2685">
        <f t="shared" si="7"/>
        <v>2.98E-2</v>
      </c>
      <c r="O6" s="2686">
        <f t="shared" ref="O6:O7" si="20">J6/100</f>
        <v>2.1099999999999997E-2</v>
      </c>
      <c r="P6" s="2686">
        <f t="shared" ref="P6:P7" si="21">K6/100</f>
        <v>3.2400000000000005E-2</v>
      </c>
      <c r="Q6" s="2686">
        <f t="shared" ref="Q6:Q7" si="22">L6/100</f>
        <v>1.72E-2</v>
      </c>
      <c r="R6" s="3143"/>
      <c r="S6" s="2679"/>
      <c r="T6" s="3156"/>
      <c r="U6" s="3156"/>
      <c r="V6" s="3156"/>
      <c r="W6" s="2674"/>
      <c r="X6" s="2775">
        <f>ROUND(SUMPRODUCT(PRODUCT(1+N6:N$19)),4)</f>
        <v>1.4034</v>
      </c>
      <c r="Y6" s="2775">
        <f>ROUND(SUMPRODUCT(PRODUCT(1+O6:O$19)),4)</f>
        <v>1.2463</v>
      </c>
      <c r="Z6" s="2775">
        <f t="shared" si="0"/>
        <v>1.2463</v>
      </c>
      <c r="AA6" s="2775">
        <f>ROUND(SUMPRODUCT(PRODUCT(1+P6:P$19)),4)</f>
        <v>1.4577</v>
      </c>
      <c r="AB6" s="2775">
        <f>ROUND(SUMPRODUCT(PRODUCT(1+Q6:Q$19)),4)</f>
        <v>1.2136</v>
      </c>
      <c r="AC6" s="2674"/>
      <c r="AD6" s="2695">
        <f>ROUND(AVERAGE(I6:I$20)/100,4)</f>
        <v>2.4899999999999999E-2</v>
      </c>
      <c r="AE6" s="2695">
        <f>ROUND(AVERAGE(J6:J$20)/100,4)</f>
        <v>1.6400000000000001E-2</v>
      </c>
      <c r="AF6" s="2695">
        <f t="shared" si="1"/>
        <v>1.6400000000000001E-2</v>
      </c>
      <c r="AG6" s="2695">
        <f>ROUND(AVERAGE(K6:K$20)/100,4)</f>
        <v>2.7799999999999998E-2</v>
      </c>
      <c r="AH6" s="2695">
        <f>ROUND(AVERAGE(L6:L$20)/100,4)</f>
        <v>1.3899999999999999E-2</v>
      </c>
    </row>
    <row r="7" spans="1:34" s="2674" customFormat="1">
      <c r="A7" s="2676" t="s">
        <v>2581</v>
      </c>
      <c r="B7" s="2690">
        <f t="shared" si="18"/>
        <v>419.31181600000002</v>
      </c>
      <c r="C7" s="2690">
        <f t="shared" si="18"/>
        <v>313.95436800000004</v>
      </c>
      <c r="D7" s="2690">
        <f t="shared" si="3"/>
        <v>313.95436800000004</v>
      </c>
      <c r="E7" s="2690">
        <f t="shared" si="19"/>
        <v>596.63028431999999</v>
      </c>
      <c r="F7" s="2690">
        <f t="shared" si="19"/>
        <v>274.74220703999998</v>
      </c>
      <c r="G7" s="3501"/>
      <c r="H7" s="2681">
        <v>2</v>
      </c>
      <c r="I7" s="2681">
        <v>3.4</v>
      </c>
      <c r="J7" s="2681">
        <v>2</v>
      </c>
      <c r="K7" s="2681">
        <v>3.82</v>
      </c>
      <c r="L7" s="2692">
        <v>1.68</v>
      </c>
      <c r="N7" s="2685">
        <f t="shared" si="7"/>
        <v>3.4000000000000002E-2</v>
      </c>
      <c r="O7" s="2686">
        <f t="shared" si="20"/>
        <v>0.02</v>
      </c>
      <c r="P7" s="2686">
        <f t="shared" si="21"/>
        <v>3.8199999999999998E-2</v>
      </c>
      <c r="Q7" s="2686">
        <f t="shared" si="22"/>
        <v>1.6799999999999999E-2</v>
      </c>
      <c r="R7" s="2675"/>
      <c r="S7" s="2679"/>
      <c r="T7" s="2675"/>
      <c r="U7" s="2675"/>
      <c r="V7" s="2675"/>
      <c r="X7" s="2775">
        <f>ROUND(SUMPRODUCT(PRODUCT(1+N7:N$19)),4)</f>
        <v>1.3628</v>
      </c>
      <c r="Y7" s="2775">
        <f>ROUND(SUMPRODUCT(PRODUCT(1+O7:O$19)),4)</f>
        <v>1.2205999999999999</v>
      </c>
      <c r="Z7" s="2775">
        <f t="shared" si="0"/>
        <v>1.2205999999999999</v>
      </c>
      <c r="AA7" s="2775">
        <f>ROUND(SUMPRODUCT(PRODUCT(1+P7:P$19)),4)</f>
        <v>1.4118999999999999</v>
      </c>
      <c r="AB7" s="2775">
        <f>ROUND(SUMPRODUCT(PRODUCT(1+Q7:Q$19)),4)</f>
        <v>1.1930000000000001</v>
      </c>
      <c r="AD7" s="2695">
        <f>ROUND(AVERAGE(I7:I$20)/100,4)</f>
        <v>2.46E-2</v>
      </c>
      <c r="AE7" s="2695">
        <f>ROUND(AVERAGE(J7:J$20)/100,4)</f>
        <v>1.6E-2</v>
      </c>
      <c r="AF7" s="2695">
        <f t="shared" si="1"/>
        <v>1.6E-2</v>
      </c>
      <c r="AG7" s="2695">
        <f>ROUND(AVERAGE(K7:K$20)/100,4)</f>
        <v>2.75E-2</v>
      </c>
      <c r="AH7" s="2695">
        <f>ROUND(AVERAGE(L7:L$20)/100,4)</f>
        <v>1.37E-2</v>
      </c>
    </row>
    <row r="8" spans="1:34" s="2782" customFormat="1" ht="13.5" thickBot="1">
      <c r="A8" s="2676" t="s">
        <v>2582</v>
      </c>
      <c r="B8" s="2690">
        <f t="shared" si="18"/>
        <v>405.524</v>
      </c>
      <c r="C8" s="2690">
        <f t="shared" si="18"/>
        <v>307.79840000000002</v>
      </c>
      <c r="D8" s="2690">
        <f t="shared" si="3"/>
        <v>307.79840000000002</v>
      </c>
      <c r="E8" s="2690">
        <f t="shared" si="19"/>
        <v>574.67759999999998</v>
      </c>
      <c r="F8" s="2690">
        <f t="shared" si="19"/>
        <v>270.20280000000002</v>
      </c>
      <c r="G8" s="3502"/>
      <c r="H8" s="2680">
        <v>1</v>
      </c>
      <c r="I8" s="2680">
        <v>3.45</v>
      </c>
      <c r="J8" s="2680">
        <v>1.92</v>
      </c>
      <c r="K8" s="2680">
        <v>3.92</v>
      </c>
      <c r="L8" s="2691">
        <v>1.58</v>
      </c>
      <c r="M8" s="2684"/>
      <c r="N8" s="2685">
        <f t="shared" si="7"/>
        <v>3.4500000000000003E-2</v>
      </c>
      <c r="O8" s="2686">
        <f t="shared" ref="O8" si="23">J8/100</f>
        <v>1.9199999999999998E-2</v>
      </c>
      <c r="P8" s="2686">
        <f t="shared" ref="P8" si="24">K8/100</f>
        <v>3.9199999999999999E-2</v>
      </c>
      <c r="Q8" s="2686">
        <f t="shared" ref="Q8" si="25">L8/100</f>
        <v>1.5800000000000002E-2</v>
      </c>
      <c r="R8" s="2687"/>
      <c r="S8" s="2693">
        <f>B8/B9-1</f>
        <v>3.4499999999999975E-2</v>
      </c>
      <c r="T8" s="2694">
        <f>C8/C9-1</f>
        <v>1.9200000000000106E-2</v>
      </c>
      <c r="U8" s="2694">
        <f>E8/E9-1</f>
        <v>3.9199999999999902E-2</v>
      </c>
      <c r="V8" s="2694">
        <f>F8/F9-1</f>
        <v>1.5800000000000036E-2</v>
      </c>
      <c r="W8" s="2684"/>
      <c r="X8" s="2775">
        <f>ROUND(SUMPRODUCT(PRODUCT(1+N8:N$19)),4)</f>
        <v>1.3180000000000001</v>
      </c>
      <c r="Y8" s="2775">
        <f>ROUND(SUMPRODUCT(PRODUCT(1+O8:O$19)),4)</f>
        <v>1.1966000000000001</v>
      </c>
      <c r="Z8" s="2775">
        <f t="shared" si="0"/>
        <v>1.1966000000000001</v>
      </c>
      <c r="AA8" s="2775">
        <f>ROUND(SUMPRODUCT(PRODUCT(1+P8:P$19)),4)</f>
        <v>1.36</v>
      </c>
      <c r="AB8" s="2775">
        <f>ROUND(SUMPRODUCT(PRODUCT(1+Q8:Q$19)),4)</f>
        <v>1.1733</v>
      </c>
      <c r="AC8" s="2684"/>
      <c r="AD8" s="2695">
        <f>ROUND(AVERAGE(I8:I$20)/100,4)</f>
        <v>2.3900000000000001E-2</v>
      </c>
      <c r="AE8" s="2695">
        <f>ROUND(AVERAGE(J8:J$20)/100,4)</f>
        <v>1.5699999999999999E-2</v>
      </c>
      <c r="AF8" s="2695">
        <f t="shared" si="1"/>
        <v>1.5699999999999999E-2</v>
      </c>
      <c r="AG8" s="2695">
        <f>ROUND(AVERAGE(K8:K$20)/100,4)</f>
        <v>2.6599999999999999E-2</v>
      </c>
      <c r="AH8" s="2695">
        <f>ROUND(AVERAGE(L8:L$20)/100,4)</f>
        <v>1.34E-2</v>
      </c>
    </row>
    <row r="9" spans="1:34">
      <c r="A9" s="2676" t="s">
        <v>966</v>
      </c>
      <c r="B9" s="2682">
        <v>392</v>
      </c>
      <c r="C9" s="2682">
        <v>302</v>
      </c>
      <c r="D9" s="2682">
        <f t="shared" si="3"/>
        <v>302</v>
      </c>
      <c r="E9" s="2682">
        <v>553</v>
      </c>
      <c r="F9" s="2683">
        <v>266</v>
      </c>
      <c r="G9" s="3503">
        <v>2016</v>
      </c>
      <c r="H9" s="2677">
        <v>4</v>
      </c>
      <c r="I9" s="2677">
        <v>4.5599999999999996</v>
      </c>
      <c r="J9" s="2677">
        <v>2.15</v>
      </c>
      <c r="K9" s="2677">
        <v>5.32</v>
      </c>
      <c r="L9" s="2678">
        <v>1.57</v>
      </c>
      <c r="N9" s="2685">
        <f t="shared" si="7"/>
        <v>4.5599999999999995E-2</v>
      </c>
      <c r="O9" s="2686">
        <f t="shared" ref="O9:Q24" si="26">J9/100</f>
        <v>2.1499999999999998E-2</v>
      </c>
      <c r="P9" s="2686">
        <f t="shared" si="26"/>
        <v>5.3200000000000004E-2</v>
      </c>
      <c r="Q9" s="2686">
        <f t="shared" si="26"/>
        <v>1.5700000000000002E-2</v>
      </c>
      <c r="R9" s="2687"/>
      <c r="S9" s="2688"/>
      <c r="T9" s="2689"/>
      <c r="U9" s="2689"/>
      <c r="V9" s="2689"/>
      <c r="X9" s="2775">
        <f>ROUND(SUMPRODUCT(PRODUCT(1+N9:N$19)),4)</f>
        <v>1.274</v>
      </c>
      <c r="Y9" s="2775">
        <f>ROUND(SUMPRODUCT(PRODUCT(1+O9:O$19)),4)</f>
        <v>1.1740999999999999</v>
      </c>
      <c r="Z9" s="2775">
        <f t="shared" si="0"/>
        <v>1.1740999999999999</v>
      </c>
      <c r="AA9" s="2775">
        <f>ROUND(SUMPRODUCT(PRODUCT(1+P9:P$19)),4)</f>
        <v>1.3087</v>
      </c>
      <c r="AB9" s="2775">
        <f>ROUND(SUMPRODUCT(PRODUCT(1+Q9:Q$19)),4)</f>
        <v>1.1551</v>
      </c>
      <c r="AD9" s="2695">
        <f>ROUND(AVERAGE(I9:I$20)/100,4)</f>
        <v>2.3E-2</v>
      </c>
      <c r="AE9" s="2695">
        <f>ROUND(AVERAGE(J9:J$20)/100,4)</f>
        <v>1.55E-2</v>
      </c>
      <c r="AF9" s="2695">
        <f t="shared" si="1"/>
        <v>1.55E-2</v>
      </c>
      <c r="AG9" s="2695">
        <f>ROUND(AVERAGE(K9:K$20)/100,4)</f>
        <v>2.5600000000000001E-2</v>
      </c>
      <c r="AH9" s="2695">
        <f>ROUND(AVERAGE(L9:L$20)/100,4)</f>
        <v>1.32E-2</v>
      </c>
    </row>
    <row r="10" spans="1:34">
      <c r="A10" s="2676" t="s">
        <v>965</v>
      </c>
      <c r="B10" s="2690">
        <f t="shared" ref="B10:C12" si="27">B9/(1+N9)</f>
        <v>374.90436113236416</v>
      </c>
      <c r="C10" s="2690">
        <f t="shared" si="27"/>
        <v>295.64366128242779</v>
      </c>
      <c r="D10" s="2690">
        <f t="shared" ref="D10:D69" si="28">C10</f>
        <v>295.64366128242779</v>
      </c>
      <c r="E10" s="2690">
        <f t="shared" ref="E10:F12" si="29">E9/(1+P9)</f>
        <v>525.06646410938095</v>
      </c>
      <c r="F10" s="2690">
        <f t="shared" si="29"/>
        <v>261.88835286009646</v>
      </c>
      <c r="G10" s="3501"/>
      <c r="H10" s="2680">
        <v>3</v>
      </c>
      <c r="I10" s="2680">
        <v>4.12</v>
      </c>
      <c r="J10" s="2680">
        <v>2</v>
      </c>
      <c r="K10" s="2680">
        <v>4.79</v>
      </c>
      <c r="L10" s="2691">
        <v>1.97</v>
      </c>
      <c r="N10" s="2685">
        <f t="shared" ref="N10:Q44" si="30">I10/100</f>
        <v>4.1200000000000001E-2</v>
      </c>
      <c r="O10" s="2686">
        <f t="shared" si="26"/>
        <v>0.02</v>
      </c>
      <c r="P10" s="2686">
        <f t="shared" si="26"/>
        <v>4.7899999999999998E-2</v>
      </c>
      <c r="Q10" s="2686">
        <f t="shared" si="26"/>
        <v>1.9699999999999999E-2</v>
      </c>
      <c r="R10" s="2687"/>
      <c r="S10" s="2685"/>
      <c r="T10" s="2686"/>
      <c r="U10" s="2686"/>
      <c r="V10" s="2686"/>
      <c r="X10" s="2775">
        <f>ROUND(SUMPRODUCT(PRODUCT(1+N10:N$19)),4)</f>
        <v>1.2184999999999999</v>
      </c>
      <c r="Y10" s="2775">
        <f>ROUND(SUMPRODUCT(PRODUCT(1+O10:O$19)),4)</f>
        <v>1.1494</v>
      </c>
      <c r="Z10" s="2775">
        <f t="shared" si="0"/>
        <v>1.1494</v>
      </c>
      <c r="AA10" s="2775">
        <f>ROUND(SUMPRODUCT(PRODUCT(1+P10:P$19)),4)</f>
        <v>1.2425999999999999</v>
      </c>
      <c r="AB10" s="2775">
        <f>ROUND(SUMPRODUCT(PRODUCT(1+Q10:Q$19)),4)</f>
        <v>1.1372</v>
      </c>
      <c r="AD10" s="2695">
        <f>ROUND(AVERAGE(I10:I$20)/100,4)</f>
        <v>2.0899999999999998E-2</v>
      </c>
      <c r="AE10" s="2695">
        <f>ROUND(AVERAGE(J10:J$20)/100,4)</f>
        <v>1.49E-2</v>
      </c>
      <c r="AF10" s="2695">
        <f t="shared" si="1"/>
        <v>1.49E-2</v>
      </c>
      <c r="AG10" s="2695">
        <f>ROUND(AVERAGE(K10:K$20)/100,4)</f>
        <v>2.3099999999999999E-2</v>
      </c>
      <c r="AH10" s="2695">
        <f>ROUND(AVERAGE(L10:L$20)/100,4)</f>
        <v>1.2999999999999999E-2</v>
      </c>
    </row>
    <row r="11" spans="1:34">
      <c r="A11" s="2676" t="s">
        <v>955</v>
      </c>
      <c r="B11" s="2690">
        <f t="shared" si="27"/>
        <v>360.06949782209392</v>
      </c>
      <c r="C11" s="2690">
        <f t="shared" si="27"/>
        <v>289.84672674747821</v>
      </c>
      <c r="D11" s="2690">
        <f t="shared" si="28"/>
        <v>289.84672674747821</v>
      </c>
      <c r="E11" s="2690">
        <f t="shared" si="29"/>
        <v>501.06543001181495</v>
      </c>
      <c r="F11" s="2690">
        <f t="shared" si="29"/>
        <v>256.82882500744967</v>
      </c>
      <c r="G11" s="3501"/>
      <c r="H11" s="2681">
        <v>2</v>
      </c>
      <c r="I11" s="2681">
        <v>3.85</v>
      </c>
      <c r="J11" s="2681">
        <v>1.95</v>
      </c>
      <c r="K11" s="2681">
        <v>4.4800000000000004</v>
      </c>
      <c r="L11" s="2692">
        <v>1.41</v>
      </c>
      <c r="N11" s="2685">
        <f t="shared" si="30"/>
        <v>3.85E-2</v>
      </c>
      <c r="O11" s="2686">
        <f t="shared" si="26"/>
        <v>1.95E-2</v>
      </c>
      <c r="P11" s="2686">
        <f t="shared" si="26"/>
        <v>4.4800000000000006E-2</v>
      </c>
      <c r="Q11" s="2686">
        <f t="shared" si="26"/>
        <v>1.41E-2</v>
      </c>
      <c r="R11" s="2687"/>
      <c r="S11" s="2685"/>
      <c r="T11" s="2686"/>
      <c r="U11" s="2686"/>
      <c r="V11" s="2686"/>
      <c r="X11" s="2775">
        <f>ROUND(SUMPRODUCT(PRODUCT(1+N11:N$19)),4)</f>
        <v>1.1702999999999999</v>
      </c>
      <c r="Y11" s="2775">
        <f>ROUND(SUMPRODUCT(PRODUCT(1+O11:O$19)),4)</f>
        <v>1.1269</v>
      </c>
      <c r="Z11" s="2775">
        <f t="shared" si="0"/>
        <v>1.1269</v>
      </c>
      <c r="AA11" s="2775">
        <f>ROUND(SUMPRODUCT(PRODUCT(1+P11:P$19)),4)</f>
        <v>1.1858</v>
      </c>
      <c r="AB11" s="2775">
        <f>ROUND(SUMPRODUCT(PRODUCT(1+Q11:Q$19)),4)</f>
        <v>1.1152</v>
      </c>
      <c r="AD11" s="2695">
        <f>ROUND(AVERAGE(I11:I$20)/100,4)</f>
        <v>1.89E-2</v>
      </c>
      <c r="AE11" s="2695">
        <f>ROUND(AVERAGE(J11:J$20)/100,4)</f>
        <v>1.44E-2</v>
      </c>
      <c r="AF11" s="2695">
        <f t="shared" si="1"/>
        <v>1.44E-2</v>
      </c>
      <c r="AG11" s="2695">
        <f>ROUND(AVERAGE(K11:K$20)/100,4)</f>
        <v>2.06E-2</v>
      </c>
      <c r="AH11" s="2695">
        <f>ROUND(AVERAGE(L11:L$20)/100,4)</f>
        <v>1.23E-2</v>
      </c>
    </row>
    <row r="12" spans="1:34" ht="13.5" thickBot="1">
      <c r="A12" s="2676" t="s">
        <v>964</v>
      </c>
      <c r="B12" s="2690">
        <f t="shared" si="27"/>
        <v>346.720748986128</v>
      </c>
      <c r="C12" s="2690">
        <f t="shared" si="27"/>
        <v>284.30282172386285</v>
      </c>
      <c r="D12" s="2690">
        <f t="shared" si="28"/>
        <v>284.30282172386285</v>
      </c>
      <c r="E12" s="2690">
        <f t="shared" si="29"/>
        <v>479.58023546306947</v>
      </c>
      <c r="F12" s="2690">
        <f t="shared" si="29"/>
        <v>253.25788877571213</v>
      </c>
      <c r="G12" s="3502"/>
      <c r="H12" s="2680">
        <v>1</v>
      </c>
      <c r="I12" s="2680">
        <v>4.09</v>
      </c>
      <c r="J12" s="2680">
        <v>2.93</v>
      </c>
      <c r="K12" s="2680">
        <v>4.54</v>
      </c>
      <c r="L12" s="2691">
        <v>1.48</v>
      </c>
      <c r="N12" s="2685">
        <f t="shared" si="30"/>
        <v>4.0899999999999999E-2</v>
      </c>
      <c r="O12" s="2686">
        <f t="shared" si="26"/>
        <v>2.9300000000000003E-2</v>
      </c>
      <c r="P12" s="2686">
        <f t="shared" si="26"/>
        <v>4.5400000000000003E-2</v>
      </c>
      <c r="Q12" s="2686">
        <f t="shared" si="26"/>
        <v>1.4800000000000001E-2</v>
      </c>
      <c r="R12" s="2687"/>
      <c r="S12" s="2693">
        <f>B12/B13-1</f>
        <v>4.1203450408792808E-2</v>
      </c>
      <c r="T12" s="2694">
        <f>C12/C13-1</f>
        <v>2.6363977342465095E-2</v>
      </c>
      <c r="U12" s="2694">
        <f>E12/E13-1</f>
        <v>4.4837114298626357E-2</v>
      </c>
      <c r="V12" s="2694">
        <f>F12/F13-1</f>
        <v>1.7099954922538574E-2</v>
      </c>
      <c r="X12" s="2775">
        <f>ROUND(SUMPRODUCT(PRODUCT(1+N12:N$19)),4)</f>
        <v>1.1269</v>
      </c>
      <c r="Y12" s="2775">
        <f>ROUND(SUMPRODUCT(PRODUCT(1+O12:O$19)),4)</f>
        <v>1.1052999999999999</v>
      </c>
      <c r="Z12" s="2775">
        <f t="shared" si="0"/>
        <v>1.1052999999999999</v>
      </c>
      <c r="AA12" s="2775">
        <f>ROUND(SUMPRODUCT(PRODUCT(1+P12:P$19)),4)</f>
        <v>1.1349</v>
      </c>
      <c r="AB12" s="2775">
        <f>ROUND(SUMPRODUCT(PRODUCT(1+Q12:Q$19)),4)</f>
        <v>1.0996999999999999</v>
      </c>
      <c r="AD12" s="2695">
        <f>ROUND(AVERAGE(I12:I$20)/100,4)</f>
        <v>1.67E-2</v>
      </c>
      <c r="AE12" s="2695">
        <f>ROUND(AVERAGE(J12:J$20)/100,4)</f>
        <v>1.38E-2</v>
      </c>
      <c r="AF12" s="2695">
        <f t="shared" si="1"/>
        <v>1.38E-2</v>
      </c>
      <c r="AG12" s="2695">
        <f>ROUND(AVERAGE(K12:K$20)/100,4)</f>
        <v>1.7899999999999999E-2</v>
      </c>
      <c r="AH12" s="2695">
        <f>ROUND(AVERAGE(L12:L$20)/100,4)</f>
        <v>1.21E-2</v>
      </c>
    </row>
    <row r="13" spans="1:34" ht="13.5" thickBot="1">
      <c r="A13" s="2676" t="s">
        <v>963</v>
      </c>
      <c r="B13" s="2682">
        <v>333</v>
      </c>
      <c r="C13" s="2682">
        <v>277</v>
      </c>
      <c r="D13" s="2682">
        <f t="shared" si="28"/>
        <v>277</v>
      </c>
      <c r="E13" s="2682">
        <v>459</v>
      </c>
      <c r="F13" s="2683">
        <v>249</v>
      </c>
      <c r="G13" s="3500">
        <v>2015</v>
      </c>
      <c r="H13" s="2696">
        <v>4</v>
      </c>
      <c r="I13" s="2696">
        <v>1.63</v>
      </c>
      <c r="J13" s="2696">
        <v>1.1100000000000001</v>
      </c>
      <c r="K13" s="2696">
        <v>1.77</v>
      </c>
      <c r="L13" s="2697">
        <v>1.89</v>
      </c>
      <c r="N13" s="2698">
        <f t="shared" si="30"/>
        <v>1.6299999999999999E-2</v>
      </c>
      <c r="O13" s="2699">
        <f t="shared" si="26"/>
        <v>1.11E-2</v>
      </c>
      <c r="P13" s="2699">
        <f t="shared" si="26"/>
        <v>1.77E-2</v>
      </c>
      <c r="Q13" s="2699">
        <f t="shared" si="26"/>
        <v>1.89E-2</v>
      </c>
      <c r="R13" s="2687"/>
      <c r="X13" s="2775">
        <f>ROUND(SUMPRODUCT(PRODUCT(1+N13:N$19)),4)</f>
        <v>1.0826</v>
      </c>
      <c r="Y13" s="2775">
        <f>ROUND(SUMPRODUCT(PRODUCT(1+O13:O$19)),4)</f>
        <v>1.0738000000000001</v>
      </c>
      <c r="Z13" s="2775">
        <f t="shared" si="0"/>
        <v>1.0738000000000001</v>
      </c>
      <c r="AA13" s="2775">
        <f>ROUND(SUMPRODUCT(PRODUCT(1+P13:P$19)),4)</f>
        <v>1.0855999999999999</v>
      </c>
      <c r="AB13" s="2775">
        <f>ROUND(SUMPRODUCT(PRODUCT(1+Q13:Q$19)),4)</f>
        <v>1.0837000000000001</v>
      </c>
      <c r="AD13" s="2695">
        <f>ROUND(AVERAGE(I13:I$20)/100,4)</f>
        <v>1.37E-2</v>
      </c>
      <c r="AE13" s="2695">
        <f>ROUND(AVERAGE(J13:J$20)/100,4)</f>
        <v>1.1900000000000001E-2</v>
      </c>
      <c r="AF13" s="2695">
        <f t="shared" si="1"/>
        <v>1.1900000000000001E-2</v>
      </c>
      <c r="AG13" s="2695">
        <f>ROUND(AVERAGE(K13:K$20)/100,4)</f>
        <v>1.4500000000000001E-2</v>
      </c>
      <c r="AH13" s="2695">
        <f>ROUND(AVERAGE(L13:L$20)/100,4)</f>
        <v>1.18E-2</v>
      </c>
    </row>
    <row r="14" spans="1:34">
      <c r="A14" s="2676" t="s">
        <v>962</v>
      </c>
      <c r="B14" s="2690">
        <f t="shared" ref="B14:C16" si="31">B13/(1+N13)</f>
        <v>327.65915576109415</v>
      </c>
      <c r="C14" s="2690">
        <f t="shared" si="31"/>
        <v>273.95905449510434</v>
      </c>
      <c r="D14" s="2690">
        <f t="shared" si="28"/>
        <v>273.95905449510434</v>
      </c>
      <c r="E14" s="2690">
        <f t="shared" ref="E14:F16" si="32">E13/(1+P13)</f>
        <v>451.01699911565294</v>
      </c>
      <c r="F14" s="2690">
        <f t="shared" si="32"/>
        <v>244.38119540681129</v>
      </c>
      <c r="G14" s="3501"/>
      <c r="H14" s="2701">
        <v>3</v>
      </c>
      <c r="I14" s="2701">
        <v>1.65</v>
      </c>
      <c r="J14" s="2701">
        <v>0.92</v>
      </c>
      <c r="K14" s="2701">
        <v>1.88</v>
      </c>
      <c r="L14" s="2702">
        <v>1.26</v>
      </c>
      <c r="N14" s="2685">
        <f t="shared" si="30"/>
        <v>1.6500000000000001E-2</v>
      </c>
      <c r="O14" s="2703">
        <f t="shared" si="26"/>
        <v>9.1999999999999998E-3</v>
      </c>
      <c r="P14" s="2703">
        <f t="shared" si="26"/>
        <v>1.8799999999999997E-2</v>
      </c>
      <c r="Q14" s="2703">
        <f t="shared" si="26"/>
        <v>1.26E-2</v>
      </c>
      <c r="R14" s="2687"/>
      <c r="S14" s="2685"/>
      <c r="T14" s="2686"/>
      <c r="U14" s="2686"/>
      <c r="V14" s="2686"/>
      <c r="X14" s="2775">
        <f>ROUND(SUMPRODUCT(PRODUCT(1+N14:N$19)),4)</f>
        <v>1.0651999999999999</v>
      </c>
      <c r="Y14" s="2775">
        <f>ROUND(SUMPRODUCT(PRODUCT(1+O14:O$19)),4)</f>
        <v>1.0621</v>
      </c>
      <c r="Z14" s="2775">
        <f t="shared" si="0"/>
        <v>1.0621</v>
      </c>
      <c r="AA14" s="2775">
        <f>ROUND(SUMPRODUCT(PRODUCT(1+P14:P$19)),4)</f>
        <v>1.0668</v>
      </c>
      <c r="AB14" s="2775">
        <f>ROUND(SUMPRODUCT(PRODUCT(1+Q14:Q$19)),4)</f>
        <v>1.0636000000000001</v>
      </c>
      <c r="AD14" s="2695">
        <f>ROUND(AVERAGE(I14:I$20)/100,4)</f>
        <v>1.3299999999999999E-2</v>
      </c>
      <c r="AE14" s="2695">
        <f>ROUND(AVERAGE(J14:J$20)/100,4)</f>
        <v>1.2E-2</v>
      </c>
      <c r="AF14" s="2695">
        <f t="shared" si="1"/>
        <v>1.2E-2</v>
      </c>
      <c r="AG14" s="2695">
        <f>ROUND(AVERAGE(K14:K$20)/100,4)</f>
        <v>1.4E-2</v>
      </c>
      <c r="AH14" s="2695">
        <f>ROUND(AVERAGE(L14:L$20)/100,4)</f>
        <v>1.0800000000000001E-2</v>
      </c>
    </row>
    <row r="15" spans="1:34">
      <c r="A15" s="2676" t="s">
        <v>961</v>
      </c>
      <c r="B15" s="2690">
        <f t="shared" si="31"/>
        <v>322.34053690220776</v>
      </c>
      <c r="C15" s="2690">
        <f t="shared" si="31"/>
        <v>271.46160770422546</v>
      </c>
      <c r="D15" s="2690">
        <f t="shared" si="28"/>
        <v>271.46160770422546</v>
      </c>
      <c r="E15" s="2690">
        <f t="shared" si="32"/>
        <v>442.69434542172456</v>
      </c>
      <c r="F15" s="2690">
        <f t="shared" si="32"/>
        <v>241.34030753190925</v>
      </c>
      <c r="G15" s="3501"/>
      <c r="H15" s="2681">
        <v>2</v>
      </c>
      <c r="I15" s="2681">
        <v>0.77</v>
      </c>
      <c r="J15" s="2681">
        <v>0.69</v>
      </c>
      <c r="K15" s="2681">
        <v>0.8</v>
      </c>
      <c r="L15" s="2692">
        <v>0.88</v>
      </c>
      <c r="N15" s="2685">
        <f t="shared" si="30"/>
        <v>7.7000000000000002E-3</v>
      </c>
      <c r="O15" s="2703">
        <f t="shared" si="26"/>
        <v>6.8999999999999999E-3</v>
      </c>
      <c r="P15" s="2703">
        <f t="shared" si="26"/>
        <v>8.0000000000000002E-3</v>
      </c>
      <c r="Q15" s="2703">
        <f t="shared" si="26"/>
        <v>8.8000000000000005E-3</v>
      </c>
      <c r="R15" s="2687"/>
      <c r="S15" s="2685"/>
      <c r="T15" s="2686"/>
      <c r="U15" s="2686"/>
      <c r="V15" s="2686"/>
      <c r="X15" s="2775">
        <f>ROUND(SUMPRODUCT(PRODUCT(1+N15:N$19)),4)</f>
        <v>1.048</v>
      </c>
      <c r="Y15" s="2775">
        <f>ROUND(SUMPRODUCT(PRODUCT(1+O15:O$19)),4)</f>
        <v>1.0524</v>
      </c>
      <c r="Z15" s="2775">
        <f t="shared" si="0"/>
        <v>1.0524</v>
      </c>
      <c r="AA15" s="2775">
        <f>ROUND(SUMPRODUCT(PRODUCT(1+P15:P$19)),4)</f>
        <v>1.0470999999999999</v>
      </c>
      <c r="AB15" s="2775">
        <f>ROUND(SUMPRODUCT(PRODUCT(1+Q15:Q$19)),4)</f>
        <v>1.0504</v>
      </c>
      <c r="AD15" s="2695">
        <f>ROUND(AVERAGE(I15:I$20)/100,4)</f>
        <v>1.2800000000000001E-2</v>
      </c>
      <c r="AE15" s="2695">
        <f>ROUND(AVERAGE(J15:J$20)/100,4)</f>
        <v>1.2500000000000001E-2</v>
      </c>
      <c r="AF15" s="2695">
        <f t="shared" si="1"/>
        <v>1.2500000000000001E-2</v>
      </c>
      <c r="AG15" s="2695">
        <f>ROUND(AVERAGE(K15:K$20)/100,4)</f>
        <v>1.32E-2</v>
      </c>
      <c r="AH15" s="2695">
        <f>ROUND(AVERAGE(L15:L$20)/100,4)</f>
        <v>1.0500000000000001E-2</v>
      </c>
    </row>
    <row r="16" spans="1:34">
      <c r="A16" s="2676" t="s">
        <v>960</v>
      </c>
      <c r="B16" s="2690">
        <f t="shared" si="31"/>
        <v>319.87748030386797</v>
      </c>
      <c r="C16" s="2690">
        <f t="shared" si="31"/>
        <v>269.60135833173649</v>
      </c>
      <c r="D16" s="2690">
        <f t="shared" si="28"/>
        <v>269.60135833173649</v>
      </c>
      <c r="E16" s="2690">
        <f t="shared" si="32"/>
        <v>439.18089823583784</v>
      </c>
      <c r="F16" s="2690">
        <f t="shared" si="32"/>
        <v>239.23503918706311</v>
      </c>
      <c r="G16" s="3502"/>
      <c r="H16" s="2680">
        <v>1</v>
      </c>
      <c r="I16" s="2680">
        <v>0.51</v>
      </c>
      <c r="J16" s="2680">
        <v>0.54</v>
      </c>
      <c r="K16" s="2680">
        <v>0.48</v>
      </c>
      <c r="L16" s="2691">
        <v>0.93</v>
      </c>
      <c r="N16" s="2693">
        <f t="shared" si="30"/>
        <v>5.1000000000000004E-3</v>
      </c>
      <c r="O16" s="2694">
        <f t="shared" si="26"/>
        <v>5.4000000000000003E-3</v>
      </c>
      <c r="P16" s="2694">
        <f t="shared" si="26"/>
        <v>4.7999999999999996E-3</v>
      </c>
      <c r="Q16" s="2694">
        <f t="shared" si="26"/>
        <v>9.300000000000001E-3</v>
      </c>
      <c r="R16" s="2687"/>
      <c r="S16" s="2693">
        <f>B16/B17-1</f>
        <v>5.9040261127922822E-3</v>
      </c>
      <c r="T16" s="2694">
        <f>C16/C17-1</f>
        <v>5.9752176557332781E-3</v>
      </c>
      <c r="U16" s="2694">
        <f>E16/E17-1</f>
        <v>4.9906138119859556E-3</v>
      </c>
      <c r="V16" s="2694">
        <f>F16/F17-1</f>
        <v>9.4305450930933787E-3</v>
      </c>
      <c r="X16" s="2775">
        <f>ROUND(SUMPRODUCT(PRODUCT(1+N16:N$19)),4)</f>
        <v>1.0399</v>
      </c>
      <c r="Y16" s="2775">
        <f>ROUND(SUMPRODUCT(PRODUCT(1+O16:O$19)),4)</f>
        <v>1.0451999999999999</v>
      </c>
      <c r="Z16" s="2775">
        <f t="shared" si="0"/>
        <v>1.0451999999999999</v>
      </c>
      <c r="AA16" s="2775">
        <f>ROUND(SUMPRODUCT(PRODUCT(1+P16:P$19)),4)</f>
        <v>1.0387999999999999</v>
      </c>
      <c r="AB16" s="2775">
        <f>ROUND(SUMPRODUCT(PRODUCT(1+Q16:Q$19)),4)</f>
        <v>1.0411999999999999</v>
      </c>
      <c r="AD16" s="2695">
        <f>ROUND(AVERAGE(I16:I$20)/100,4)</f>
        <v>1.38E-2</v>
      </c>
      <c r="AE16" s="2695">
        <f>ROUND(AVERAGE(J16:J$20)/100,4)</f>
        <v>1.3599999999999999E-2</v>
      </c>
      <c r="AF16" s="2695">
        <f t="shared" si="1"/>
        <v>1.3599999999999999E-2</v>
      </c>
      <c r="AG16" s="2695">
        <f>ROUND(AVERAGE(K16:K$20)/100,4)</f>
        <v>1.4200000000000001E-2</v>
      </c>
      <c r="AH16" s="2695">
        <f>ROUND(AVERAGE(L16:L$20)/100,4)</f>
        <v>1.0800000000000001E-2</v>
      </c>
    </row>
    <row r="17" spans="1:34" ht="13.5" thickBot="1">
      <c r="A17" s="2676" t="s">
        <v>959</v>
      </c>
      <c r="B17" s="2704">
        <v>318</v>
      </c>
      <c r="C17" s="2704">
        <v>268</v>
      </c>
      <c r="D17" s="2704">
        <f t="shared" si="28"/>
        <v>268</v>
      </c>
      <c r="E17" s="2704">
        <v>437</v>
      </c>
      <c r="F17" s="2705">
        <v>237</v>
      </c>
      <c r="G17" s="3500">
        <v>2014</v>
      </c>
      <c r="H17" s="2696">
        <v>4</v>
      </c>
      <c r="I17" s="2696">
        <v>0.21</v>
      </c>
      <c r="J17" s="2696">
        <v>0.41</v>
      </c>
      <c r="K17" s="2696">
        <v>0.12</v>
      </c>
      <c r="L17" s="2697">
        <v>0.89</v>
      </c>
      <c r="N17" s="2685">
        <f t="shared" si="30"/>
        <v>2.0999999999999999E-3</v>
      </c>
      <c r="O17" s="2686">
        <f t="shared" si="26"/>
        <v>4.0999999999999995E-3</v>
      </c>
      <c r="P17" s="2686">
        <f t="shared" si="26"/>
        <v>1.1999999999999999E-3</v>
      </c>
      <c r="Q17" s="2686">
        <f t="shared" si="26"/>
        <v>8.8999999999999999E-3</v>
      </c>
      <c r="R17" s="2687"/>
      <c r="S17" s="2688"/>
      <c r="T17" s="2689"/>
      <c r="U17" s="2689"/>
      <c r="V17" s="2689"/>
      <c r="X17" s="2775">
        <f>ROUND(SUMPRODUCT(PRODUCT(1+N17:N$19)),4)</f>
        <v>1.0347</v>
      </c>
      <c r="Y17" s="2775">
        <f>ROUND(SUMPRODUCT(PRODUCT(1+O17:O$19)),4)</f>
        <v>1.0395000000000001</v>
      </c>
      <c r="Z17" s="2775">
        <f t="shared" si="0"/>
        <v>1.0395000000000001</v>
      </c>
      <c r="AA17" s="2775">
        <f>ROUND(SUMPRODUCT(PRODUCT(1+P17:P$19)),4)</f>
        <v>1.0338000000000001</v>
      </c>
      <c r="AB17" s="2775">
        <f>ROUND(SUMPRODUCT(PRODUCT(1+Q17:Q$19)),4)</f>
        <v>1.0316000000000001</v>
      </c>
      <c r="AD17" s="2695">
        <f>ROUND(AVERAGE(I17:I$20)/100,4)</f>
        <v>1.6E-2</v>
      </c>
      <c r="AE17" s="2695">
        <f>ROUND(AVERAGE(J17:J$20)/100,4)</f>
        <v>1.5599999999999999E-2</v>
      </c>
      <c r="AF17" s="2695">
        <f t="shared" si="1"/>
        <v>1.5599999999999999E-2</v>
      </c>
      <c r="AG17" s="2695">
        <f>ROUND(AVERAGE(K17:K$20)/100,4)</f>
        <v>1.66E-2</v>
      </c>
      <c r="AH17" s="2695">
        <f>ROUND(AVERAGE(L17:L$20)/100,4)</f>
        <v>1.12E-2</v>
      </c>
    </row>
    <row r="18" spans="1:34">
      <c r="A18" s="2676" t="s">
        <v>958</v>
      </c>
      <c r="B18" s="2690">
        <f t="shared" ref="B18:C20" si="33">B17/(1+N17)</f>
        <v>317.33359944117353</v>
      </c>
      <c r="C18" s="2690">
        <f t="shared" si="33"/>
        <v>266.90568668459315</v>
      </c>
      <c r="D18" s="2690">
        <f t="shared" si="28"/>
        <v>266.90568668459315</v>
      </c>
      <c r="E18" s="2690">
        <f t="shared" ref="E18:F20" si="34">E17/(1+P17)</f>
        <v>436.47622852576905</v>
      </c>
      <c r="F18" s="2690">
        <f t="shared" si="34"/>
        <v>234.90930716622066</v>
      </c>
      <c r="G18" s="3501"/>
      <c r="H18" s="2706">
        <v>3</v>
      </c>
      <c r="I18" s="2706">
        <v>0.83</v>
      </c>
      <c r="J18" s="2706">
        <v>1.47</v>
      </c>
      <c r="K18" s="2706">
        <v>0.65</v>
      </c>
      <c r="L18" s="2707">
        <v>0.72</v>
      </c>
      <c r="N18" s="2685">
        <f t="shared" si="30"/>
        <v>8.3000000000000001E-3</v>
      </c>
      <c r="O18" s="2686">
        <f t="shared" si="26"/>
        <v>1.47E-2</v>
      </c>
      <c r="P18" s="2686">
        <f t="shared" si="26"/>
        <v>6.5000000000000006E-3</v>
      </c>
      <c r="Q18" s="2686">
        <f t="shared" si="26"/>
        <v>7.1999999999999998E-3</v>
      </c>
      <c r="R18" s="2687"/>
      <c r="S18" s="2685"/>
      <c r="T18" s="2686"/>
      <c r="U18" s="2686"/>
      <c r="V18" s="2686"/>
      <c r="X18" s="2775">
        <f>ROUND(SUMPRODUCT(PRODUCT(1+N18:N$19)),4)</f>
        <v>1.0325</v>
      </c>
      <c r="Y18" s="2775">
        <f>ROUND(SUMPRODUCT(PRODUCT(1+O18:O$19)),4)</f>
        <v>1.0353000000000001</v>
      </c>
      <c r="Z18" s="2775">
        <f t="shared" ref="Z18:Z19" si="35">Y18</f>
        <v>1.0353000000000001</v>
      </c>
      <c r="AA18" s="2775">
        <f>ROUND(SUMPRODUCT(PRODUCT(1+P18:P$19)),4)</f>
        <v>1.0326</v>
      </c>
      <c r="AB18" s="2775">
        <f>ROUND(SUMPRODUCT(PRODUCT(1+Q18:Q$19)),4)</f>
        <v>1.0225</v>
      </c>
      <c r="AD18" s="2695">
        <f>ROUND(AVERAGE(I18:I$20)/100,4)</f>
        <v>2.07E-2</v>
      </c>
      <c r="AE18" s="2695">
        <f>ROUND(AVERAGE(J18:J$20)/100,4)</f>
        <v>1.95E-2</v>
      </c>
      <c r="AF18" s="2695">
        <f t="shared" si="1"/>
        <v>1.95E-2</v>
      </c>
      <c r="AG18" s="2695">
        <f>ROUND(AVERAGE(K18:K$20)/100,4)</f>
        <v>2.1700000000000001E-2</v>
      </c>
      <c r="AH18" s="2695">
        <f>ROUND(AVERAGE(L18:L$20)/100,4)</f>
        <v>1.2E-2</v>
      </c>
    </row>
    <row r="19" spans="1:34" ht="13.5" thickBot="1">
      <c r="A19" s="2676" t="s">
        <v>957</v>
      </c>
      <c r="B19" s="2690">
        <f t="shared" si="33"/>
        <v>314.72141172386546</v>
      </c>
      <c r="C19" s="2690">
        <f t="shared" si="33"/>
        <v>263.03901319069001</v>
      </c>
      <c r="D19" s="2690">
        <f t="shared" si="28"/>
        <v>263.03901319069001</v>
      </c>
      <c r="E19" s="2690">
        <f t="shared" si="34"/>
        <v>433.65745506782821</v>
      </c>
      <c r="F19" s="2690">
        <f t="shared" si="34"/>
        <v>233.23005080045735</v>
      </c>
      <c r="G19" s="3501"/>
      <c r="H19" s="2696">
        <v>2</v>
      </c>
      <c r="I19" s="2696">
        <v>2.4</v>
      </c>
      <c r="J19" s="2696">
        <v>2.0299999999999998</v>
      </c>
      <c r="K19" s="2696">
        <v>2.59</v>
      </c>
      <c r="L19" s="2697">
        <v>1.52</v>
      </c>
      <c r="N19" s="2685">
        <f t="shared" si="30"/>
        <v>2.4E-2</v>
      </c>
      <c r="O19" s="2686">
        <f t="shared" si="26"/>
        <v>2.0299999999999999E-2</v>
      </c>
      <c r="P19" s="2686">
        <f t="shared" si="26"/>
        <v>2.5899999999999999E-2</v>
      </c>
      <c r="Q19" s="2686">
        <f t="shared" si="26"/>
        <v>1.52E-2</v>
      </c>
      <c r="R19" s="2687"/>
      <c r="S19" s="2685"/>
      <c r="T19" s="2686"/>
      <c r="U19" s="2686"/>
      <c r="V19" s="2686"/>
      <c r="X19" s="2775">
        <f>1+N19</f>
        <v>1.024</v>
      </c>
      <c r="Y19" s="2775">
        <f>1+O19</f>
        <v>1.0203</v>
      </c>
      <c r="Z19" s="2775">
        <f t="shared" si="35"/>
        <v>1.0203</v>
      </c>
      <c r="AA19" s="2775">
        <f>1+P19</f>
        <v>1.0259</v>
      </c>
      <c r="AB19" s="2775">
        <f>1+Q19</f>
        <v>1.0152000000000001</v>
      </c>
      <c r="AD19" s="2695">
        <f>ROUND(AVERAGE(I19:I$20)/100,4)</f>
        <v>2.69E-2</v>
      </c>
      <c r="AE19" s="2695">
        <f>ROUND(AVERAGE(J19:J$20)/100,4)</f>
        <v>2.1899999999999999E-2</v>
      </c>
      <c r="AF19" s="2695">
        <f t="shared" ref="AF19" si="36">AE19</f>
        <v>2.1899999999999999E-2</v>
      </c>
      <c r="AG19" s="2695">
        <f>ROUND(AVERAGE(K19:K$20)/100,4)</f>
        <v>2.9399999999999999E-2</v>
      </c>
      <c r="AH19" s="2695">
        <f>ROUND(AVERAGE(L19:L$20)/100,4)</f>
        <v>1.44E-2</v>
      </c>
    </row>
    <row r="20" spans="1:34" s="2712" customFormat="1" ht="13.5" thickBot="1">
      <c r="A20" s="2708" t="s">
        <v>956</v>
      </c>
      <c r="B20" s="2709">
        <f t="shared" si="33"/>
        <v>307.34512863658733</v>
      </c>
      <c r="C20" s="2709">
        <f t="shared" si="33"/>
        <v>257.80556031626975</v>
      </c>
      <c r="D20" s="2709">
        <f t="shared" si="28"/>
        <v>257.80556031626975</v>
      </c>
      <c r="E20" s="2709">
        <f t="shared" si="34"/>
        <v>422.70928459677179</v>
      </c>
      <c r="F20" s="2709">
        <f t="shared" si="34"/>
        <v>229.73803270336617</v>
      </c>
      <c r="G20" s="3502"/>
      <c r="H20" s="2710">
        <v>1</v>
      </c>
      <c r="I20" s="2710">
        <v>2.97</v>
      </c>
      <c r="J20" s="2710">
        <v>2.34</v>
      </c>
      <c r="K20" s="2710">
        <v>3.28</v>
      </c>
      <c r="L20" s="2711">
        <v>1.36</v>
      </c>
      <c r="N20" s="2713">
        <f t="shared" si="30"/>
        <v>2.9700000000000001E-2</v>
      </c>
      <c r="O20" s="2714">
        <f t="shared" si="26"/>
        <v>2.3399999999999997E-2</v>
      </c>
      <c r="P20" s="2714">
        <f t="shared" si="26"/>
        <v>3.2799999999999996E-2</v>
      </c>
      <c r="Q20" s="2714">
        <f t="shared" si="26"/>
        <v>1.3600000000000001E-2</v>
      </c>
      <c r="R20" s="2715"/>
      <c r="S20" s="2716">
        <f>B20/B21-1</f>
        <v>2.7910129219355539E-2</v>
      </c>
      <c r="T20" s="2717">
        <f>C20/C21-1</f>
        <v>2.3037937762975247E-2</v>
      </c>
      <c r="U20" s="2717">
        <f>E20/E21-1</f>
        <v>3.3519033243940788E-2</v>
      </c>
      <c r="V20" s="2717">
        <f>F20/F21-1</f>
        <v>1.2061818076502862E-2</v>
      </c>
      <c r="W20" s="2785" t="s">
        <v>2641</v>
      </c>
      <c r="X20" s="2787">
        <v>1</v>
      </c>
      <c r="Y20" s="2787">
        <v>1</v>
      </c>
      <c r="Z20" s="2787">
        <v>1</v>
      </c>
      <c r="AA20" s="2787">
        <v>1</v>
      </c>
      <c r="AB20" s="2787">
        <v>1</v>
      </c>
      <c r="AD20" s="3031">
        <f>I20/100</f>
        <v>2.9700000000000001E-2</v>
      </c>
      <c r="AE20" s="3031">
        <f>J20/100</f>
        <v>2.3399999999999997E-2</v>
      </c>
      <c r="AF20" s="3031">
        <f>AE20</f>
        <v>2.3399999999999997E-2</v>
      </c>
      <c r="AG20" s="3031">
        <f>K20/100</f>
        <v>3.2799999999999996E-2</v>
      </c>
      <c r="AH20" s="3031">
        <f>L20/100</f>
        <v>1.3600000000000001E-2</v>
      </c>
    </row>
    <row r="21" spans="1:34" ht="13.5" thickBot="1">
      <c r="A21" s="2676" t="s">
        <v>2583</v>
      </c>
      <c r="B21" s="2682">
        <v>299</v>
      </c>
      <c r="C21" s="2682">
        <v>252</v>
      </c>
      <c r="D21" s="2682">
        <f t="shared" si="28"/>
        <v>252</v>
      </c>
      <c r="E21" s="2682">
        <v>409</v>
      </c>
      <c r="F21" s="2683">
        <v>227</v>
      </c>
      <c r="G21" s="3507">
        <v>2013</v>
      </c>
      <c r="H21" s="2718">
        <v>4</v>
      </c>
      <c r="I21" s="2718">
        <v>1.83</v>
      </c>
      <c r="J21" s="2718">
        <v>1.68</v>
      </c>
      <c r="K21" s="2718">
        <v>1.97</v>
      </c>
      <c r="L21" s="2719">
        <v>0.87</v>
      </c>
      <c r="N21" s="2698">
        <f t="shared" si="30"/>
        <v>1.83E-2</v>
      </c>
      <c r="O21" s="2699">
        <f t="shared" si="26"/>
        <v>1.6799999999999999E-2</v>
      </c>
      <c r="P21" s="2699">
        <f t="shared" si="26"/>
        <v>1.9699999999999999E-2</v>
      </c>
      <c r="Q21" s="2699">
        <f t="shared" si="26"/>
        <v>8.6999999999999994E-3</v>
      </c>
      <c r="R21" s="2687"/>
      <c r="S21" s="2688"/>
      <c r="T21" s="2689"/>
      <c r="U21" s="2689"/>
      <c r="V21" s="2689"/>
      <c r="X21" s="2689"/>
      <c r="Y21" s="2689"/>
      <c r="Z21" s="2689"/>
    </row>
    <row r="22" spans="1:34">
      <c r="A22" s="2676" t="s">
        <v>2584</v>
      </c>
      <c r="B22" s="2690">
        <f t="shared" ref="B22:C24" si="37">B21/(1+N21)</f>
        <v>293.62663262299913</v>
      </c>
      <c r="C22" s="2690">
        <f t="shared" si="37"/>
        <v>247.83634933123525</v>
      </c>
      <c r="D22" s="2690">
        <f t="shared" si="28"/>
        <v>247.83634933123525</v>
      </c>
      <c r="E22" s="2690">
        <f t="shared" ref="E22:F24" si="38">E21/(1+P21)</f>
        <v>401.09836226341076</v>
      </c>
      <c r="F22" s="2690">
        <f t="shared" si="38"/>
        <v>225.04213343908003</v>
      </c>
      <c r="G22" s="3508"/>
      <c r="H22" s="2701">
        <v>3</v>
      </c>
      <c r="I22" s="2701">
        <v>1.86</v>
      </c>
      <c r="J22" s="2701">
        <v>1.72</v>
      </c>
      <c r="K22" s="2701">
        <v>1.98</v>
      </c>
      <c r="L22" s="2702">
        <v>0.88</v>
      </c>
      <c r="N22" s="2685">
        <f t="shared" si="30"/>
        <v>1.8600000000000002E-2</v>
      </c>
      <c r="O22" s="2703">
        <f t="shared" si="26"/>
        <v>1.72E-2</v>
      </c>
      <c r="P22" s="2703">
        <f t="shared" si="26"/>
        <v>1.9799999999999998E-2</v>
      </c>
      <c r="Q22" s="2703">
        <f t="shared" si="26"/>
        <v>8.8000000000000005E-3</v>
      </c>
      <c r="R22" s="2687"/>
      <c r="S22" s="2685"/>
      <c r="T22" s="2686"/>
      <c r="U22" s="2686"/>
      <c r="V22" s="2686"/>
    </row>
    <row r="23" spans="1:34">
      <c r="A23" s="2676" t="s">
        <v>2585</v>
      </c>
      <c r="B23" s="2690">
        <f t="shared" si="37"/>
        <v>288.2649053828776</v>
      </c>
      <c r="C23" s="2690">
        <f t="shared" si="37"/>
        <v>243.64564425013293</v>
      </c>
      <c r="D23" s="2690">
        <f t="shared" si="28"/>
        <v>243.64564425013293</v>
      </c>
      <c r="E23" s="2690">
        <f t="shared" si="38"/>
        <v>393.31080825986544</v>
      </c>
      <c r="F23" s="2690">
        <f t="shared" si="38"/>
        <v>223.07903790551154</v>
      </c>
      <c r="G23" s="3508"/>
      <c r="H23" s="2681">
        <v>2</v>
      </c>
      <c r="I23" s="2681">
        <v>2.04</v>
      </c>
      <c r="J23" s="2681">
        <v>2.33</v>
      </c>
      <c r="K23" s="2681">
        <v>2.0699999999999998</v>
      </c>
      <c r="L23" s="2692">
        <v>0.69</v>
      </c>
      <c r="N23" s="2685">
        <f t="shared" si="30"/>
        <v>2.0400000000000001E-2</v>
      </c>
      <c r="O23" s="2703">
        <f t="shared" si="26"/>
        <v>2.3300000000000001E-2</v>
      </c>
      <c r="P23" s="2703">
        <f t="shared" si="26"/>
        <v>2.07E-2</v>
      </c>
      <c r="Q23" s="2703">
        <f t="shared" si="26"/>
        <v>6.8999999999999999E-3</v>
      </c>
      <c r="R23" s="2687"/>
      <c r="S23" s="2685"/>
      <c r="T23" s="2686"/>
      <c r="U23" s="2686"/>
      <c r="V23" s="2686"/>
      <c r="X23" s="2788"/>
      <c r="Y23" s="2790"/>
    </row>
    <row r="24" spans="1:34">
      <c r="A24" s="2676" t="s">
        <v>2586</v>
      </c>
      <c r="B24" s="2690">
        <f t="shared" si="37"/>
        <v>282.50186729015837</v>
      </c>
      <c r="C24" s="2690">
        <f t="shared" si="37"/>
        <v>238.09796174155468</v>
      </c>
      <c r="D24" s="2690">
        <f t="shared" si="28"/>
        <v>238.09796174155468</v>
      </c>
      <c r="E24" s="2690">
        <f t="shared" si="38"/>
        <v>385.33438646014054</v>
      </c>
      <c r="F24" s="2690">
        <f t="shared" si="38"/>
        <v>221.55034055567739</v>
      </c>
      <c r="G24" s="3509"/>
      <c r="H24" s="2680">
        <v>1</v>
      </c>
      <c r="I24" s="2680">
        <v>1.67</v>
      </c>
      <c r="J24" s="2680">
        <v>1.31</v>
      </c>
      <c r="K24" s="2680">
        <v>1.85</v>
      </c>
      <c r="L24" s="2691">
        <v>0.96</v>
      </c>
      <c r="N24" s="2693">
        <f t="shared" si="30"/>
        <v>1.67E-2</v>
      </c>
      <c r="O24" s="2694">
        <f t="shared" si="26"/>
        <v>1.3100000000000001E-2</v>
      </c>
      <c r="P24" s="2694">
        <f t="shared" si="26"/>
        <v>1.8500000000000003E-2</v>
      </c>
      <c r="Q24" s="2694">
        <f t="shared" si="26"/>
        <v>9.5999999999999992E-3</v>
      </c>
      <c r="R24" s="2687"/>
      <c r="S24" s="2693">
        <f>B24/B25-1</f>
        <v>1.6193767230785472E-2</v>
      </c>
      <c r="T24" s="2694">
        <f>C24/C25-1</f>
        <v>1.7512657015190891E-2</v>
      </c>
      <c r="U24" s="2694">
        <f>E24/E25-1</f>
        <v>1.6713420739157048E-2</v>
      </c>
      <c r="V24" s="2694">
        <f>F24/F25-1</f>
        <v>7.0470025258062563E-3</v>
      </c>
      <c r="X24" s="2789"/>
      <c r="Y24" s="2695"/>
      <c r="Z24" s="2695"/>
    </row>
    <row r="25" spans="1:34" ht="13.5" thickBot="1">
      <c r="A25" s="2676" t="s">
        <v>2587</v>
      </c>
      <c r="B25" s="2720">
        <v>278</v>
      </c>
      <c r="C25" s="2720">
        <v>234</v>
      </c>
      <c r="D25" s="2720">
        <f t="shared" si="28"/>
        <v>234</v>
      </c>
      <c r="E25" s="2720">
        <v>379</v>
      </c>
      <c r="F25" s="2721">
        <v>220</v>
      </c>
      <c r="G25" s="3500">
        <v>2012</v>
      </c>
      <c r="H25" s="2696">
        <v>4</v>
      </c>
      <c r="I25" s="2696">
        <v>0.91</v>
      </c>
      <c r="J25" s="2696">
        <v>0.68</v>
      </c>
      <c r="K25" s="2696">
        <v>0.98</v>
      </c>
      <c r="L25" s="2697">
        <v>0.9</v>
      </c>
      <c r="N25" s="2685">
        <f t="shared" si="30"/>
        <v>9.1000000000000004E-3</v>
      </c>
      <c r="O25" s="2686">
        <f t="shared" si="30"/>
        <v>6.8000000000000005E-3</v>
      </c>
      <c r="P25" s="2686">
        <f t="shared" si="30"/>
        <v>9.7999999999999997E-3</v>
      </c>
      <c r="Q25" s="2686">
        <f t="shared" si="30"/>
        <v>9.0000000000000011E-3</v>
      </c>
      <c r="R25" s="2687"/>
      <c r="S25" s="2688"/>
      <c r="T25" s="2689"/>
      <c r="U25" s="2689"/>
      <c r="V25" s="2689"/>
      <c r="X25" s="2689"/>
      <c r="Y25" s="2689"/>
      <c r="Z25" s="2689"/>
    </row>
    <row r="26" spans="1:34">
      <c r="A26" s="2676" t="s">
        <v>2588</v>
      </c>
      <c r="B26" s="2690">
        <f>B25/(1+N25)</f>
        <v>275.49301357645425</v>
      </c>
      <c r="C26" s="2690">
        <f>C25/(1+O25)</f>
        <v>232.41954707985698</v>
      </c>
      <c r="D26" s="2690">
        <f t="shared" si="28"/>
        <v>232.41954707985698</v>
      </c>
      <c r="E26" s="2690">
        <f t="shared" ref="E26:F28" si="39">E25/(1+P25)</f>
        <v>375.32184591008121</v>
      </c>
      <c r="F26" s="2690">
        <f t="shared" si="39"/>
        <v>218.03766105054513</v>
      </c>
      <c r="G26" s="3501"/>
      <c r="H26" s="2701">
        <v>3</v>
      </c>
      <c r="I26" s="2701">
        <v>0.09</v>
      </c>
      <c r="J26" s="2701">
        <v>0.28999999999999998</v>
      </c>
      <c r="K26" s="2701">
        <v>-0.01</v>
      </c>
      <c r="L26" s="2702">
        <v>0.57999999999999996</v>
      </c>
      <c r="N26" s="2685">
        <f t="shared" si="30"/>
        <v>8.9999999999999998E-4</v>
      </c>
      <c r="O26" s="2686">
        <f t="shared" si="30"/>
        <v>2.8999999999999998E-3</v>
      </c>
      <c r="P26" s="2686">
        <f t="shared" si="30"/>
        <v>-1E-4</v>
      </c>
      <c r="Q26" s="2686">
        <f t="shared" si="30"/>
        <v>5.7999999999999996E-3</v>
      </c>
      <c r="R26" s="2687"/>
      <c r="S26" s="2685"/>
      <c r="T26" s="2686"/>
      <c r="U26" s="2686"/>
      <c r="V26" s="2686"/>
    </row>
    <row r="27" spans="1:34">
      <c r="A27" s="2676" t="s">
        <v>2589</v>
      </c>
      <c r="B27" s="2690">
        <f>B26/(1+N26)</f>
        <v>275.24529281292263</v>
      </c>
      <c r="C27" s="2690">
        <f>C26/(1+O26)</f>
        <v>231.74747938962707</v>
      </c>
      <c r="D27" s="2690">
        <f t="shared" si="28"/>
        <v>231.74747938962707</v>
      </c>
      <c r="E27" s="2690">
        <f t="shared" si="39"/>
        <v>375.35938184826603</v>
      </c>
      <c r="F27" s="2690">
        <f t="shared" si="39"/>
        <v>216.78033510692495</v>
      </c>
      <c r="G27" s="3501"/>
      <c r="H27" s="2681">
        <v>2</v>
      </c>
      <c r="I27" s="2681">
        <v>0.02</v>
      </c>
      <c r="J27" s="2681">
        <v>0.12</v>
      </c>
      <c r="K27" s="2681">
        <v>-0.08</v>
      </c>
      <c r="L27" s="2692">
        <v>1.24</v>
      </c>
      <c r="N27" s="2685">
        <f t="shared" si="30"/>
        <v>2.0000000000000001E-4</v>
      </c>
      <c r="O27" s="2686">
        <f t="shared" si="30"/>
        <v>1.1999999999999999E-3</v>
      </c>
      <c r="P27" s="2686">
        <f t="shared" si="30"/>
        <v>-8.0000000000000004E-4</v>
      </c>
      <c r="Q27" s="2686">
        <f t="shared" si="30"/>
        <v>1.24E-2</v>
      </c>
      <c r="R27" s="2687"/>
      <c r="S27" s="2685"/>
      <c r="T27" s="2686"/>
      <c r="U27" s="2686"/>
      <c r="V27" s="2686"/>
    </row>
    <row r="28" spans="1:34" ht="13.5" thickBot="1">
      <c r="A28" s="2676" t="s">
        <v>2590</v>
      </c>
      <c r="B28" s="2690">
        <f>B27/(1+N27)</f>
        <v>275.19025476197027</v>
      </c>
      <c r="C28" s="2722">
        <v>232</v>
      </c>
      <c r="D28" s="2722">
        <f t="shared" si="28"/>
        <v>232</v>
      </c>
      <c r="E28" s="2690">
        <f t="shared" si="39"/>
        <v>375.65990977608692</v>
      </c>
      <c r="F28" s="2690">
        <f t="shared" si="39"/>
        <v>214.12518283971252</v>
      </c>
      <c r="G28" s="3502"/>
      <c r="H28" s="2680">
        <v>1</v>
      </c>
      <c r="I28" s="2680">
        <v>0.02</v>
      </c>
      <c r="J28" s="2680">
        <v>0.13</v>
      </c>
      <c r="K28" s="2680">
        <v>-0.04</v>
      </c>
      <c r="L28" s="2691">
        <v>0.46</v>
      </c>
      <c r="N28" s="2685">
        <f t="shared" si="30"/>
        <v>2.0000000000000001E-4</v>
      </c>
      <c r="O28" s="2686">
        <f t="shared" si="30"/>
        <v>1.2999999999999999E-3</v>
      </c>
      <c r="P28" s="2686">
        <f t="shared" si="30"/>
        <v>-4.0000000000000002E-4</v>
      </c>
      <c r="Q28" s="2686">
        <f t="shared" si="30"/>
        <v>4.5999999999999999E-3</v>
      </c>
      <c r="R28" s="2687"/>
      <c r="S28" s="2693">
        <f>B28/B29-1</f>
        <v>6.9183549807361189E-4</v>
      </c>
      <c r="T28" s="2694">
        <f>C28/C29-1</f>
        <v>0</v>
      </c>
      <c r="U28" s="2694">
        <f>E28/E29-1</f>
        <v>-9.0449527636460303E-4</v>
      </c>
      <c r="V28" s="2694">
        <f>F28/F29-1</f>
        <v>5.2825485432512753E-3</v>
      </c>
      <c r="X28" s="2695"/>
      <c r="Y28" s="2695"/>
      <c r="Z28" s="2695"/>
    </row>
    <row r="29" spans="1:34" ht="13.5" thickBot="1">
      <c r="A29" s="2676" t="s">
        <v>2591</v>
      </c>
      <c r="B29" s="2682">
        <v>275</v>
      </c>
      <c r="C29" s="2682">
        <v>232</v>
      </c>
      <c r="D29" s="2682">
        <f t="shared" si="28"/>
        <v>232</v>
      </c>
      <c r="E29" s="2682">
        <v>376</v>
      </c>
      <c r="F29" s="2683">
        <v>213</v>
      </c>
      <c r="G29" s="3500">
        <v>2011</v>
      </c>
      <c r="H29" s="2696">
        <v>4</v>
      </c>
      <c r="I29" s="2696">
        <v>-0.2</v>
      </c>
      <c r="J29" s="2696">
        <v>0.04</v>
      </c>
      <c r="K29" s="2696">
        <v>-0.34</v>
      </c>
      <c r="L29" s="2697">
        <v>0.46</v>
      </c>
      <c r="N29" s="2698">
        <f t="shared" si="30"/>
        <v>-2E-3</v>
      </c>
      <c r="O29" s="2699">
        <f t="shared" si="30"/>
        <v>4.0000000000000002E-4</v>
      </c>
      <c r="P29" s="2699">
        <f t="shared" si="30"/>
        <v>-3.4000000000000002E-3</v>
      </c>
      <c r="Q29" s="2699">
        <f t="shared" si="30"/>
        <v>4.5999999999999999E-3</v>
      </c>
      <c r="R29" s="2687"/>
      <c r="S29" s="2688"/>
      <c r="T29" s="2689"/>
      <c r="U29" s="2689"/>
      <c r="V29" s="2689"/>
      <c r="X29" s="2689"/>
      <c r="Y29" s="2689"/>
      <c r="Z29" s="2689"/>
    </row>
    <row r="30" spans="1:34">
      <c r="A30" s="2676" t="s">
        <v>2592</v>
      </c>
      <c r="B30" s="2690">
        <f t="shared" ref="B30:C32" si="40">B29/(1+N29)</f>
        <v>275.55110220440883</v>
      </c>
      <c r="C30" s="2690">
        <f t="shared" si="40"/>
        <v>231.90723710515795</v>
      </c>
      <c r="D30" s="2690">
        <f t="shared" si="28"/>
        <v>231.90723710515795</v>
      </c>
      <c r="E30" s="2690">
        <f t="shared" ref="E30:F32" si="41">E29/(1+P29)</f>
        <v>377.28276138872161</v>
      </c>
      <c r="F30" s="2690">
        <f t="shared" si="41"/>
        <v>212.02468644236512</v>
      </c>
      <c r="G30" s="3501">
        <v>2011</v>
      </c>
      <c r="H30" s="2701">
        <v>3</v>
      </c>
      <c r="I30" s="2701">
        <v>0.13</v>
      </c>
      <c r="J30" s="2701">
        <v>0.75</v>
      </c>
      <c r="K30" s="2701">
        <v>-0.08</v>
      </c>
      <c r="L30" s="2702">
        <v>0.53</v>
      </c>
      <c r="N30" s="2685">
        <f t="shared" si="30"/>
        <v>1.2999999999999999E-3</v>
      </c>
      <c r="O30" s="2703">
        <f t="shared" si="30"/>
        <v>7.4999999999999997E-3</v>
      </c>
      <c r="P30" s="2703">
        <f t="shared" si="30"/>
        <v>-8.0000000000000004E-4</v>
      </c>
      <c r="Q30" s="2703">
        <f t="shared" si="30"/>
        <v>5.3E-3</v>
      </c>
      <c r="R30" s="2687"/>
      <c r="S30" s="2685"/>
      <c r="T30" s="2686"/>
      <c r="U30" s="2686"/>
      <c r="V30" s="2686"/>
    </row>
    <row r="31" spans="1:34">
      <c r="A31" s="2676" t="s">
        <v>2593</v>
      </c>
      <c r="B31" s="2690">
        <f t="shared" si="40"/>
        <v>275.19335084830601</v>
      </c>
      <c r="C31" s="2690">
        <f t="shared" si="40"/>
        <v>230.18088050139744</v>
      </c>
      <c r="D31" s="2690">
        <f t="shared" si="28"/>
        <v>230.18088050139744</v>
      </c>
      <c r="E31" s="2690">
        <f t="shared" si="41"/>
        <v>377.58482925212331</v>
      </c>
      <c r="F31" s="2690">
        <f t="shared" si="41"/>
        <v>210.90687997847917</v>
      </c>
      <c r="G31" s="3501">
        <v>2011</v>
      </c>
      <c r="H31" s="2681">
        <v>2</v>
      </c>
      <c r="I31" s="2681">
        <v>-0.4</v>
      </c>
      <c r="J31" s="2681">
        <v>0.17</v>
      </c>
      <c r="K31" s="2681">
        <v>-0.57999999999999996</v>
      </c>
      <c r="L31" s="2692">
        <v>-0.2</v>
      </c>
      <c r="N31" s="2685">
        <f t="shared" si="30"/>
        <v>-4.0000000000000001E-3</v>
      </c>
      <c r="O31" s="2703">
        <f t="shared" si="30"/>
        <v>1.7000000000000001E-3</v>
      </c>
      <c r="P31" s="2703">
        <f t="shared" si="30"/>
        <v>-5.7999999999999996E-3</v>
      </c>
      <c r="Q31" s="2703">
        <f t="shared" si="30"/>
        <v>-2E-3</v>
      </c>
      <c r="R31" s="2687"/>
      <c r="S31" s="2685"/>
      <c r="T31" s="2686"/>
      <c r="U31" s="2686"/>
      <c r="V31" s="2686"/>
    </row>
    <row r="32" spans="1:34" ht="13.5" thickBot="1">
      <c r="A32" s="2676" t="s">
        <v>2594</v>
      </c>
      <c r="B32" s="2690">
        <f t="shared" si="40"/>
        <v>276.29854502841971</v>
      </c>
      <c r="C32" s="2690">
        <f t="shared" si="40"/>
        <v>229.79023709833027</v>
      </c>
      <c r="D32" s="2690">
        <f t="shared" si="28"/>
        <v>229.79023709833027</v>
      </c>
      <c r="E32" s="2690">
        <f t="shared" si="41"/>
        <v>379.78759731655936</v>
      </c>
      <c r="F32" s="2690">
        <f t="shared" si="41"/>
        <v>211.32953905659235</v>
      </c>
      <c r="G32" s="3502">
        <v>2011</v>
      </c>
      <c r="H32" s="2680">
        <v>1</v>
      </c>
      <c r="I32" s="2680">
        <v>2.65</v>
      </c>
      <c r="J32" s="2680">
        <v>3.76</v>
      </c>
      <c r="K32" s="2680">
        <v>1.89</v>
      </c>
      <c r="L32" s="2691">
        <v>7.95</v>
      </c>
      <c r="N32" s="2693">
        <f t="shared" si="30"/>
        <v>2.6499999999999999E-2</v>
      </c>
      <c r="O32" s="2694">
        <f t="shared" si="30"/>
        <v>3.7599999999999995E-2</v>
      </c>
      <c r="P32" s="2694">
        <f t="shared" si="30"/>
        <v>1.89E-2</v>
      </c>
      <c r="Q32" s="2694">
        <f t="shared" si="30"/>
        <v>7.9500000000000001E-2</v>
      </c>
      <c r="R32" s="2687"/>
      <c r="S32" s="2693">
        <f>B32/B33-1</f>
        <v>2.713213765211786E-2</v>
      </c>
      <c r="T32" s="2694">
        <f>C32/C33-1</f>
        <v>3.9774828499231862E-2</v>
      </c>
      <c r="U32" s="2694">
        <f>E32/E33-1</f>
        <v>1.8197311840641772E-2</v>
      </c>
      <c r="V32" s="2694">
        <f>F32/F33-1</f>
        <v>7.8211933962205826E-2</v>
      </c>
      <c r="X32" s="2695"/>
      <c r="Y32" s="2695"/>
      <c r="Z32" s="2695"/>
    </row>
    <row r="33" spans="1:26" ht="13.5" thickBot="1">
      <c r="A33" s="2676" t="s">
        <v>2595</v>
      </c>
      <c r="B33" s="2682">
        <v>269</v>
      </c>
      <c r="C33" s="2682">
        <v>221</v>
      </c>
      <c r="D33" s="2682">
        <f t="shared" si="28"/>
        <v>221</v>
      </c>
      <c r="E33" s="2682">
        <v>373</v>
      </c>
      <c r="F33" s="2683">
        <v>196</v>
      </c>
      <c r="G33" s="3500">
        <v>2010</v>
      </c>
      <c r="H33" s="2696">
        <v>4</v>
      </c>
      <c r="I33" s="2696">
        <v>5.72</v>
      </c>
      <c r="J33" s="2696">
        <v>6.57</v>
      </c>
      <c r="K33" s="2696">
        <v>5.72</v>
      </c>
      <c r="L33" s="2697">
        <v>2.72</v>
      </c>
      <c r="N33" s="2685">
        <f t="shared" si="30"/>
        <v>5.7200000000000001E-2</v>
      </c>
      <c r="O33" s="2686">
        <f t="shared" si="30"/>
        <v>6.5700000000000008E-2</v>
      </c>
      <c r="P33" s="2686">
        <f t="shared" si="30"/>
        <v>5.7200000000000001E-2</v>
      </c>
      <c r="Q33" s="2686">
        <f t="shared" si="30"/>
        <v>2.7200000000000002E-2</v>
      </c>
      <c r="R33" s="2687"/>
      <c r="S33" s="2688"/>
      <c r="T33" s="2689"/>
      <c r="U33" s="2689"/>
      <c r="V33" s="2689"/>
      <c r="X33" s="2689"/>
      <c r="Y33" s="2689"/>
      <c r="Z33" s="2689"/>
    </row>
    <row r="34" spans="1:26">
      <c r="A34" s="2676" t="s">
        <v>2596</v>
      </c>
      <c r="B34" s="2690">
        <f t="shared" ref="B34:C36" si="42">B33/(1+N33)</f>
        <v>254.44570563753314</v>
      </c>
      <c r="C34" s="2690">
        <f t="shared" si="42"/>
        <v>207.37543398705074</v>
      </c>
      <c r="D34" s="2690">
        <f t="shared" si="28"/>
        <v>207.37543398705074</v>
      </c>
      <c r="E34" s="2690">
        <f t="shared" ref="E34:F36" si="43">E33/(1+P33)</f>
        <v>352.81876655315932</v>
      </c>
      <c r="F34" s="2690">
        <f t="shared" si="43"/>
        <v>190.809968847352</v>
      </c>
      <c r="G34" s="3501">
        <v>2010</v>
      </c>
      <c r="H34" s="2701">
        <v>3</v>
      </c>
      <c r="I34" s="2701">
        <v>4.7300000000000004</v>
      </c>
      <c r="J34" s="2701">
        <v>3.9</v>
      </c>
      <c r="K34" s="2701">
        <v>5.03</v>
      </c>
      <c r="L34" s="2702">
        <v>4.21</v>
      </c>
      <c r="N34" s="2685">
        <f t="shared" si="30"/>
        <v>4.7300000000000002E-2</v>
      </c>
      <c r="O34" s="2686">
        <f t="shared" si="30"/>
        <v>3.9E-2</v>
      </c>
      <c r="P34" s="2686">
        <f t="shared" si="30"/>
        <v>5.0300000000000004E-2</v>
      </c>
      <c r="Q34" s="2686">
        <f t="shared" si="30"/>
        <v>4.2099999999999999E-2</v>
      </c>
      <c r="R34" s="2687"/>
      <c r="S34" s="2685"/>
      <c r="T34" s="2686"/>
      <c r="U34" s="2686"/>
      <c r="V34" s="2686"/>
    </row>
    <row r="35" spans="1:26">
      <c r="A35" s="2676" t="s">
        <v>2597</v>
      </c>
      <c r="B35" s="2690">
        <f t="shared" si="42"/>
        <v>242.95398227588385</v>
      </c>
      <c r="C35" s="2690">
        <f t="shared" si="42"/>
        <v>199.59137053614126</v>
      </c>
      <c r="D35" s="2690">
        <f t="shared" si="28"/>
        <v>199.59137053614126</v>
      </c>
      <c r="E35" s="2690">
        <f t="shared" si="43"/>
        <v>335.92189522342125</v>
      </c>
      <c r="F35" s="2690">
        <f t="shared" si="43"/>
        <v>183.10139991109489</v>
      </c>
      <c r="G35" s="3501">
        <v>2010</v>
      </c>
      <c r="H35" s="2681">
        <v>2</v>
      </c>
      <c r="I35" s="2681">
        <v>4.6900000000000004</v>
      </c>
      <c r="J35" s="2681">
        <v>3.55</v>
      </c>
      <c r="K35" s="2681">
        <v>5.07</v>
      </c>
      <c r="L35" s="2692">
        <v>4.2300000000000004</v>
      </c>
      <c r="N35" s="2685">
        <f t="shared" si="30"/>
        <v>4.6900000000000004E-2</v>
      </c>
      <c r="O35" s="2686">
        <f t="shared" si="30"/>
        <v>3.5499999999999997E-2</v>
      </c>
      <c r="P35" s="2686">
        <f t="shared" si="30"/>
        <v>5.0700000000000002E-2</v>
      </c>
      <c r="Q35" s="2686">
        <f t="shared" si="30"/>
        <v>4.2300000000000004E-2</v>
      </c>
      <c r="R35" s="2687"/>
      <c r="S35" s="2685"/>
      <c r="T35" s="2686"/>
      <c r="U35" s="2686"/>
      <c r="V35" s="2686"/>
    </row>
    <row r="36" spans="1:26" ht="13.5" thickBot="1">
      <c r="A36" s="2676" t="s">
        <v>2598</v>
      </c>
      <c r="B36" s="2690">
        <f t="shared" si="42"/>
        <v>232.06990378821649</v>
      </c>
      <c r="C36" s="2690">
        <f t="shared" si="42"/>
        <v>192.74878854286936</v>
      </c>
      <c r="D36" s="2690">
        <f t="shared" si="28"/>
        <v>192.74878854286936</v>
      </c>
      <c r="E36" s="2690">
        <f t="shared" si="43"/>
        <v>319.71247284992984</v>
      </c>
      <c r="F36" s="2690">
        <f t="shared" si="43"/>
        <v>175.67053622862409</v>
      </c>
      <c r="G36" s="3502">
        <v>2010</v>
      </c>
      <c r="H36" s="2680">
        <v>1</v>
      </c>
      <c r="I36" s="2680">
        <v>5.4</v>
      </c>
      <c r="J36" s="2680">
        <v>3.2</v>
      </c>
      <c r="K36" s="2680">
        <v>6.16</v>
      </c>
      <c r="L36" s="2691">
        <v>4.51</v>
      </c>
      <c r="N36" s="2685">
        <f t="shared" si="30"/>
        <v>5.4000000000000006E-2</v>
      </c>
      <c r="O36" s="2686">
        <f t="shared" si="30"/>
        <v>3.2000000000000001E-2</v>
      </c>
      <c r="P36" s="2686">
        <f t="shared" si="30"/>
        <v>6.1600000000000002E-2</v>
      </c>
      <c r="Q36" s="2686">
        <f t="shared" si="30"/>
        <v>4.5100000000000001E-2</v>
      </c>
      <c r="R36" s="2687"/>
      <c r="S36" s="2693">
        <f>B36/B37-1</f>
        <v>5.4863199037347599E-2</v>
      </c>
      <c r="T36" s="2694">
        <f>C36/C37-1</f>
        <v>3.0742184721226584E-2</v>
      </c>
      <c r="U36" s="2694">
        <f>E36/E37-1</f>
        <v>6.2167683886810154E-2</v>
      </c>
      <c r="V36" s="2694">
        <f>F36/F37-1</f>
        <v>4.5657953741810031E-2</v>
      </c>
      <c r="X36" s="2695"/>
      <c r="Y36" s="2695"/>
      <c r="Z36" s="2695"/>
    </row>
    <row r="37" spans="1:26" ht="13.5" thickBot="1">
      <c r="A37" s="2676" t="s">
        <v>2599</v>
      </c>
      <c r="B37" s="2682">
        <v>220</v>
      </c>
      <c r="C37" s="2682">
        <v>187</v>
      </c>
      <c r="D37" s="2682">
        <f t="shared" si="28"/>
        <v>187</v>
      </c>
      <c r="E37" s="2682">
        <v>301</v>
      </c>
      <c r="F37" s="2683">
        <v>168</v>
      </c>
      <c r="G37" s="3500">
        <v>2009</v>
      </c>
      <c r="H37" s="2696">
        <v>4</v>
      </c>
      <c r="I37" s="2696">
        <v>2.2999999999999998</v>
      </c>
      <c r="J37" s="2696">
        <v>1.04</v>
      </c>
      <c r="K37" s="2696">
        <v>2.84</v>
      </c>
      <c r="L37" s="2697">
        <v>0.67</v>
      </c>
      <c r="N37" s="2698">
        <f t="shared" si="30"/>
        <v>2.3E-2</v>
      </c>
      <c r="O37" s="2699">
        <f t="shared" si="30"/>
        <v>1.04E-2</v>
      </c>
      <c r="P37" s="2699">
        <f t="shared" si="30"/>
        <v>2.8399999999999998E-2</v>
      </c>
      <c r="Q37" s="2699">
        <f t="shared" si="30"/>
        <v>6.7000000000000002E-3</v>
      </c>
      <c r="R37" s="2687"/>
      <c r="S37" s="2688"/>
      <c r="T37" s="2689"/>
      <c r="U37" s="2689"/>
      <c r="V37" s="2689"/>
      <c r="X37" s="2689"/>
      <c r="Y37" s="2689"/>
      <c r="Z37" s="2689"/>
    </row>
    <row r="38" spans="1:26">
      <c r="A38" s="2676" t="s">
        <v>2600</v>
      </c>
      <c r="B38" s="2690">
        <f t="shared" ref="B38:C40" si="44">B37/(1+N37)</f>
        <v>215.05376344086022</v>
      </c>
      <c r="C38" s="2690">
        <f t="shared" si="44"/>
        <v>185.0752177355503</v>
      </c>
      <c r="D38" s="2690">
        <f t="shared" si="28"/>
        <v>185.0752177355503</v>
      </c>
      <c r="E38" s="2690">
        <f t="shared" ref="E38:F40" si="45">E37/(1+P37)</f>
        <v>292.68767016725008</v>
      </c>
      <c r="F38" s="2690">
        <f t="shared" si="45"/>
        <v>166.88189132810174</v>
      </c>
      <c r="G38" s="3501">
        <v>2009</v>
      </c>
      <c r="H38" s="2701">
        <v>3</v>
      </c>
      <c r="I38" s="2701">
        <v>2.1</v>
      </c>
      <c r="J38" s="2701">
        <v>1.86</v>
      </c>
      <c r="K38" s="2701">
        <v>2.29</v>
      </c>
      <c r="L38" s="2702">
        <v>0.85</v>
      </c>
      <c r="N38" s="2685">
        <f t="shared" si="30"/>
        <v>2.1000000000000001E-2</v>
      </c>
      <c r="O38" s="2703">
        <f t="shared" si="30"/>
        <v>1.8600000000000002E-2</v>
      </c>
      <c r="P38" s="2703">
        <f t="shared" si="30"/>
        <v>2.29E-2</v>
      </c>
      <c r="Q38" s="2703">
        <f t="shared" si="30"/>
        <v>8.5000000000000006E-3</v>
      </c>
      <c r="R38" s="2687"/>
      <c r="S38" s="2685"/>
      <c r="T38" s="2686"/>
      <c r="U38" s="2686"/>
      <c r="V38" s="2686"/>
    </row>
    <row r="39" spans="1:26">
      <c r="A39" s="2676" t="s">
        <v>2601</v>
      </c>
      <c r="B39" s="2690">
        <f t="shared" si="44"/>
        <v>210.630522469011</v>
      </c>
      <c r="C39" s="2690">
        <f t="shared" si="44"/>
        <v>181.69567812247232</v>
      </c>
      <c r="D39" s="2690">
        <f t="shared" si="28"/>
        <v>181.69567812247232</v>
      </c>
      <c r="E39" s="2690">
        <f t="shared" si="45"/>
        <v>286.13517466736738</v>
      </c>
      <c r="F39" s="2690">
        <f t="shared" si="45"/>
        <v>165.47535084591149</v>
      </c>
      <c r="G39" s="3501">
        <v>2009</v>
      </c>
      <c r="H39" s="2681">
        <v>2</v>
      </c>
      <c r="I39" s="2681">
        <v>0.86</v>
      </c>
      <c r="J39" s="2681">
        <v>-1.1299999999999999</v>
      </c>
      <c r="K39" s="2681">
        <v>1.79</v>
      </c>
      <c r="L39" s="2692">
        <v>-2.0699999999999998</v>
      </c>
      <c r="N39" s="2685">
        <f t="shared" si="30"/>
        <v>8.6E-3</v>
      </c>
      <c r="O39" s="2703">
        <f t="shared" si="30"/>
        <v>-1.1299999999999999E-2</v>
      </c>
      <c r="P39" s="2703">
        <f t="shared" si="30"/>
        <v>1.7899999999999999E-2</v>
      </c>
      <c r="Q39" s="2703">
        <f t="shared" si="30"/>
        <v>-2.07E-2</v>
      </c>
      <c r="R39" s="2687"/>
      <c r="S39" s="2685"/>
      <c r="T39" s="2686"/>
      <c r="U39" s="2686"/>
      <c r="V39" s="2686"/>
    </row>
    <row r="40" spans="1:26">
      <c r="A40" s="2676" t="s">
        <v>2602</v>
      </c>
      <c r="B40" s="2690">
        <f t="shared" si="44"/>
        <v>208.83454537875372</v>
      </c>
      <c r="C40" s="2690">
        <f t="shared" si="44"/>
        <v>183.77230517090351</v>
      </c>
      <c r="D40" s="2690">
        <f t="shared" si="28"/>
        <v>183.77230517090351</v>
      </c>
      <c r="E40" s="2690">
        <f t="shared" si="45"/>
        <v>281.10342338870947</v>
      </c>
      <c r="F40" s="2690">
        <f t="shared" si="45"/>
        <v>168.97309388942256</v>
      </c>
      <c r="G40" s="3502">
        <v>2009</v>
      </c>
      <c r="H40" s="2680">
        <v>1</v>
      </c>
      <c r="I40" s="2680">
        <v>-2.64</v>
      </c>
      <c r="J40" s="2680">
        <v>-2.5299999999999998</v>
      </c>
      <c r="K40" s="2680">
        <v>-3.02</v>
      </c>
      <c r="L40" s="2691">
        <v>1.52</v>
      </c>
      <c r="N40" s="2693">
        <f t="shared" si="30"/>
        <v>-2.64E-2</v>
      </c>
      <c r="O40" s="2694">
        <f t="shared" si="30"/>
        <v>-2.53E-2</v>
      </c>
      <c r="P40" s="2694">
        <f t="shared" si="30"/>
        <v>-3.0200000000000001E-2</v>
      </c>
      <c r="Q40" s="2694">
        <f t="shared" si="30"/>
        <v>1.52E-2</v>
      </c>
      <c r="R40" s="2687"/>
      <c r="S40" s="2693">
        <f>B40/B41-1</f>
        <v>-2.4137638417038754E-2</v>
      </c>
      <c r="T40" s="2694">
        <f>C40/C41-1</f>
        <v>-2.248773845264096E-2</v>
      </c>
      <c r="U40" s="2694">
        <f>E40/E41-1</f>
        <v>-2.7323794502735366E-2</v>
      </c>
      <c r="V40" s="2694">
        <f>F40/F41-1</f>
        <v>1.7910204153148035E-2</v>
      </c>
      <c r="X40" s="2695"/>
      <c r="Y40" s="2695"/>
      <c r="Z40" s="2695"/>
    </row>
    <row r="41" spans="1:26" ht="13.5" thickBot="1">
      <c r="A41" s="2676" t="s">
        <v>2603</v>
      </c>
      <c r="B41" s="2720">
        <v>214</v>
      </c>
      <c r="C41" s="2720">
        <v>188</v>
      </c>
      <c r="D41" s="2720">
        <f t="shared" si="28"/>
        <v>188</v>
      </c>
      <c r="E41" s="2720">
        <v>289</v>
      </c>
      <c r="F41" s="2721">
        <v>166</v>
      </c>
      <c r="G41" s="3500">
        <v>2008</v>
      </c>
      <c r="H41" s="2696">
        <v>4</v>
      </c>
      <c r="I41" s="2696">
        <v>1.73</v>
      </c>
      <c r="J41" s="2696">
        <v>0.03</v>
      </c>
      <c r="K41" s="2696">
        <v>2.59</v>
      </c>
      <c r="L41" s="2697">
        <v>-1.66</v>
      </c>
      <c r="N41" s="2685">
        <f t="shared" si="30"/>
        <v>1.7299999999999999E-2</v>
      </c>
      <c r="O41" s="2686">
        <f t="shared" si="30"/>
        <v>2.9999999999999997E-4</v>
      </c>
      <c r="P41" s="2686">
        <f t="shared" si="30"/>
        <v>2.5899999999999999E-2</v>
      </c>
      <c r="Q41" s="2686">
        <f t="shared" si="30"/>
        <v>-1.66E-2</v>
      </c>
      <c r="R41" s="2687"/>
      <c r="S41" s="2688"/>
      <c r="T41" s="2689"/>
      <c r="U41" s="2689"/>
      <c r="V41" s="2689"/>
      <c r="X41" s="2689"/>
      <c r="Y41" s="2689"/>
      <c r="Z41" s="2689"/>
    </row>
    <row r="42" spans="1:26">
      <c r="A42" s="2676" t="s">
        <v>2604</v>
      </c>
      <c r="B42" s="2690">
        <f t="shared" ref="B42:C44" si="46">B41/(1+N41)</f>
        <v>210.36075887152265</v>
      </c>
      <c r="C42" s="2690">
        <f t="shared" si="46"/>
        <v>187.94361691492554</v>
      </c>
      <c r="D42" s="2690">
        <f t="shared" si="28"/>
        <v>187.94361691492554</v>
      </c>
      <c r="E42" s="2690">
        <f t="shared" ref="E42:F44" si="47">E41/(1+P41)</f>
        <v>281.70386977288234</v>
      </c>
      <c r="F42" s="2690">
        <f t="shared" si="47"/>
        <v>168.80211511083994</v>
      </c>
      <c r="G42" s="3501">
        <v>2008</v>
      </c>
      <c r="H42" s="2701">
        <v>3</v>
      </c>
      <c r="I42" s="2701">
        <v>1.96</v>
      </c>
      <c r="J42" s="2701">
        <v>2.36</v>
      </c>
      <c r="K42" s="2701">
        <v>1.82</v>
      </c>
      <c r="L42" s="2702">
        <v>2.2200000000000002</v>
      </c>
      <c r="N42" s="2685">
        <f t="shared" si="30"/>
        <v>1.9599999999999999E-2</v>
      </c>
      <c r="O42" s="2686">
        <f t="shared" si="30"/>
        <v>2.3599999999999999E-2</v>
      </c>
      <c r="P42" s="2686">
        <f t="shared" si="30"/>
        <v>1.8200000000000001E-2</v>
      </c>
      <c r="Q42" s="2686">
        <f t="shared" si="30"/>
        <v>2.2200000000000001E-2</v>
      </c>
      <c r="R42" s="2687"/>
      <c r="S42" s="2685"/>
      <c r="T42" s="2686"/>
      <c r="U42" s="2686"/>
      <c r="V42" s="2686"/>
    </row>
    <row r="43" spans="1:26">
      <c r="A43" s="2676" t="s">
        <v>2605</v>
      </c>
      <c r="B43" s="2690">
        <f t="shared" si="46"/>
        <v>206.31694671589116</v>
      </c>
      <c r="C43" s="2690">
        <f t="shared" si="46"/>
        <v>183.61041121036101</v>
      </c>
      <c r="D43" s="2690">
        <f t="shared" si="28"/>
        <v>183.61041121036101</v>
      </c>
      <c r="E43" s="2690">
        <f t="shared" si="47"/>
        <v>276.66850301795557</v>
      </c>
      <c r="F43" s="2690">
        <f t="shared" si="47"/>
        <v>165.1360938278614</v>
      </c>
      <c r="G43" s="3501">
        <v>2008</v>
      </c>
      <c r="H43" s="2681">
        <v>2</v>
      </c>
      <c r="I43" s="2681">
        <v>4.93</v>
      </c>
      <c r="J43" s="2681">
        <v>7.38</v>
      </c>
      <c r="K43" s="2681">
        <v>3.98</v>
      </c>
      <c r="L43" s="2692">
        <v>6.86</v>
      </c>
      <c r="N43" s="2685">
        <f t="shared" si="30"/>
        <v>4.9299999999999997E-2</v>
      </c>
      <c r="O43" s="2686">
        <f t="shared" si="30"/>
        <v>7.3800000000000004E-2</v>
      </c>
      <c r="P43" s="2686">
        <f t="shared" si="30"/>
        <v>3.9800000000000002E-2</v>
      </c>
      <c r="Q43" s="2686">
        <f t="shared" si="30"/>
        <v>6.8600000000000008E-2</v>
      </c>
      <c r="R43" s="2687"/>
      <c r="S43" s="2685"/>
      <c r="T43" s="2686"/>
      <c r="U43" s="2686"/>
      <c r="V43" s="2686"/>
    </row>
    <row r="44" spans="1:26" s="2726" customFormat="1" ht="13.5" thickBot="1">
      <c r="A44" s="2676" t="s">
        <v>2606</v>
      </c>
      <c r="B44" s="2723">
        <f t="shared" si="46"/>
        <v>196.62341248059772</v>
      </c>
      <c r="C44" s="2723">
        <f t="shared" si="46"/>
        <v>170.99125648199012</v>
      </c>
      <c r="D44" s="2723">
        <f t="shared" si="28"/>
        <v>170.99125648199012</v>
      </c>
      <c r="E44" s="2723">
        <f t="shared" si="47"/>
        <v>266.07857570490052</v>
      </c>
      <c r="F44" s="2723">
        <f t="shared" si="47"/>
        <v>154.53499328828505</v>
      </c>
      <c r="G44" s="3502">
        <v>2008</v>
      </c>
      <c r="H44" s="2724">
        <v>1</v>
      </c>
      <c r="I44" s="2724">
        <v>4.1399999999999997</v>
      </c>
      <c r="J44" s="2724">
        <v>3.45</v>
      </c>
      <c r="K44" s="2724">
        <v>4.95</v>
      </c>
      <c r="L44" s="2725">
        <v>4.82</v>
      </c>
      <c r="N44" s="2727">
        <f t="shared" si="30"/>
        <v>4.1399999999999999E-2</v>
      </c>
      <c r="O44" s="2728">
        <f t="shared" si="30"/>
        <v>3.4500000000000003E-2</v>
      </c>
      <c r="P44" s="2728">
        <f t="shared" si="30"/>
        <v>4.9500000000000002E-2</v>
      </c>
      <c r="Q44" s="2728">
        <f t="shared" si="30"/>
        <v>4.82E-2</v>
      </c>
      <c r="R44" s="2729"/>
      <c r="S44" s="2727">
        <f>B44/B45-1</f>
        <v>4.5869215322328349E-2</v>
      </c>
      <c r="T44" s="2728">
        <f>C44/C45-1</f>
        <v>3.6310645345394743E-2</v>
      </c>
      <c r="U44" s="2728">
        <f>E44/E45-1</f>
        <v>4.7553447657088688E-2</v>
      </c>
      <c r="V44" s="2728">
        <f>F44/F45-1</f>
        <v>4.4155360055980086E-2</v>
      </c>
      <c r="X44" s="2730"/>
      <c r="Y44" s="2730"/>
      <c r="Z44" s="2730"/>
    </row>
    <row r="45" spans="1:26" ht="13.5" thickBot="1">
      <c r="A45" s="2676" t="s">
        <v>2607</v>
      </c>
      <c r="B45" s="2682">
        <v>188</v>
      </c>
      <c r="C45" s="2682">
        <v>165</v>
      </c>
      <c r="D45" s="2682">
        <f t="shared" si="28"/>
        <v>165</v>
      </c>
      <c r="E45" s="2682">
        <v>254</v>
      </c>
      <c r="F45" s="2683">
        <v>148</v>
      </c>
      <c r="G45" s="3500">
        <v>2007</v>
      </c>
      <c r="H45" s="2731">
        <v>4</v>
      </c>
      <c r="I45" s="2731">
        <v>5.51</v>
      </c>
      <c r="J45" s="2731">
        <v>4.8899999999999997</v>
      </c>
      <c r="K45" s="2731">
        <v>6.43</v>
      </c>
      <c r="L45" s="2732">
        <v>5.36</v>
      </c>
      <c r="N45" s="2733">
        <f t="shared" ref="N45:O48" si="48">B45/B46-1</f>
        <v>4.1339718365245526E-2</v>
      </c>
      <c r="O45" s="2734">
        <f t="shared" si="48"/>
        <v>4.0324492593776018E-2</v>
      </c>
      <c r="P45" s="2734">
        <f t="shared" ref="P45:Q48" si="49">E45/E46-1</f>
        <v>6.1625555347990968E-2</v>
      </c>
      <c r="Q45" s="2734">
        <f t="shared" si="49"/>
        <v>4.6757569250590603E-2</v>
      </c>
      <c r="R45" s="2687"/>
      <c r="S45" s="2688"/>
      <c r="T45" s="2689"/>
      <c r="U45" s="2689"/>
      <c r="V45" s="2689"/>
      <c r="X45" s="2689"/>
      <c r="Y45" s="2689"/>
      <c r="Z45" s="2689"/>
    </row>
    <row r="46" spans="1:26">
      <c r="A46" s="2676" t="s">
        <v>2608</v>
      </c>
      <c r="B46" s="2690">
        <f t="shared" ref="B46:C48" si="50">B47+(B$45-B$49)*I46/SUM(I$45:I$48)</f>
        <v>180.5366651097618</v>
      </c>
      <c r="C46" s="2690">
        <f t="shared" si="50"/>
        <v>158.60435967302453</v>
      </c>
      <c r="D46" s="2690">
        <f t="shared" si="28"/>
        <v>158.60435967302453</v>
      </c>
      <c r="E46" s="2690">
        <f t="shared" ref="E46:F48" si="51">E47+(E$45-E$49)*K46/SUM(K$45:K$48)</f>
        <v>239.25573260785075</v>
      </c>
      <c r="F46" s="2690">
        <f t="shared" si="51"/>
        <v>141.38899430740037</v>
      </c>
      <c r="G46" s="3501">
        <v>2007</v>
      </c>
      <c r="H46" s="2701">
        <v>3</v>
      </c>
      <c r="I46" s="2701">
        <v>8.65</v>
      </c>
      <c r="J46" s="2701">
        <v>8.06</v>
      </c>
      <c r="K46" s="2701">
        <v>9.94</v>
      </c>
      <c r="L46" s="2702">
        <v>5.8</v>
      </c>
      <c r="N46" s="2733">
        <f t="shared" si="48"/>
        <v>6.940217571740015E-2</v>
      </c>
      <c r="O46" s="2734">
        <f t="shared" si="48"/>
        <v>7.1197482471153428E-2</v>
      </c>
      <c r="P46" s="2734">
        <f t="shared" si="49"/>
        <v>0.10529679922579582</v>
      </c>
      <c r="Q46" s="2734">
        <f t="shared" si="49"/>
        <v>5.3292245059512133E-2</v>
      </c>
      <c r="R46" s="2687"/>
      <c r="S46" s="2685"/>
      <c r="T46" s="2686"/>
      <c r="U46" s="2686"/>
      <c r="V46" s="2686"/>
      <c r="X46" s="2735"/>
      <c r="Y46" s="2735"/>
      <c r="Z46" s="2735"/>
    </row>
    <row r="47" spans="1:26">
      <c r="A47" s="2676" t="s">
        <v>2609</v>
      </c>
      <c r="B47" s="2690">
        <f t="shared" si="50"/>
        <v>168.82017748715555</v>
      </c>
      <c r="C47" s="2690">
        <f t="shared" si="50"/>
        <v>148.06267029972753</v>
      </c>
      <c r="D47" s="2690">
        <f t="shared" si="28"/>
        <v>148.06267029972753</v>
      </c>
      <c r="E47" s="2690">
        <f t="shared" si="51"/>
        <v>216.46288379323747</v>
      </c>
      <c r="F47" s="2690">
        <f t="shared" si="51"/>
        <v>134.23529411764704</v>
      </c>
      <c r="G47" s="3501">
        <v>2007</v>
      </c>
      <c r="H47" s="2681">
        <v>2</v>
      </c>
      <c r="I47" s="2681">
        <v>3.67</v>
      </c>
      <c r="J47" s="2681">
        <v>2.3199999999999998</v>
      </c>
      <c r="K47" s="2681">
        <v>5.0199999999999996</v>
      </c>
      <c r="L47" s="2692">
        <v>6.71</v>
      </c>
      <c r="N47" s="2733">
        <f t="shared" si="48"/>
        <v>3.0339138143848032E-2</v>
      </c>
      <c r="O47" s="2734">
        <f t="shared" si="48"/>
        <v>2.0922341588790472E-2</v>
      </c>
      <c r="P47" s="2734">
        <f t="shared" si="49"/>
        <v>5.6164796592717003E-2</v>
      </c>
      <c r="Q47" s="2734">
        <f t="shared" si="49"/>
        <v>6.5704536723887319E-2</v>
      </c>
      <c r="R47" s="2687"/>
      <c r="S47" s="2685"/>
      <c r="T47" s="2686"/>
      <c r="U47" s="2686"/>
      <c r="V47" s="2686"/>
      <c r="X47" s="2735"/>
      <c r="Y47" s="2735"/>
      <c r="Z47" s="2735"/>
    </row>
    <row r="48" spans="1:26">
      <c r="A48" s="2676" t="s">
        <v>2610</v>
      </c>
      <c r="B48" s="2690">
        <f t="shared" si="50"/>
        <v>163.84913591779542</v>
      </c>
      <c r="C48" s="2690">
        <f t="shared" si="50"/>
        <v>145.0283378746594</v>
      </c>
      <c r="D48" s="2690">
        <f t="shared" si="28"/>
        <v>145.0283378746594</v>
      </c>
      <c r="E48" s="2690">
        <f t="shared" si="51"/>
        <v>204.95180722891567</v>
      </c>
      <c r="F48" s="2690">
        <f t="shared" si="51"/>
        <v>125.95920303605313</v>
      </c>
      <c r="G48" s="3502">
        <v>2007</v>
      </c>
      <c r="H48" s="2680">
        <v>1</v>
      </c>
      <c r="I48" s="2680">
        <v>3.58</v>
      </c>
      <c r="J48" s="2680">
        <v>3.08</v>
      </c>
      <c r="K48" s="2680">
        <v>4.34</v>
      </c>
      <c r="L48" s="2691">
        <v>3.21</v>
      </c>
      <c r="N48" s="2736">
        <f t="shared" si="48"/>
        <v>3.0497710174814063E-2</v>
      </c>
      <c r="O48" s="2737">
        <f t="shared" si="48"/>
        <v>2.8569772160704998E-2</v>
      </c>
      <c r="P48" s="2737">
        <f t="shared" si="49"/>
        <v>5.1034908866234296E-2</v>
      </c>
      <c r="Q48" s="2737">
        <f t="shared" si="49"/>
        <v>3.245248390207478E-2</v>
      </c>
      <c r="R48" s="2687"/>
      <c r="S48" s="2693">
        <f>B48/B49-1</f>
        <v>3.0497710174814063E-2</v>
      </c>
      <c r="T48" s="2694">
        <f>C48/C49-1</f>
        <v>2.8569772160704998E-2</v>
      </c>
      <c r="U48" s="2694">
        <f>E48/E49-1</f>
        <v>5.1034908866234296E-2</v>
      </c>
      <c r="V48" s="2694">
        <f>F48/F49-1</f>
        <v>3.245248390207478E-2</v>
      </c>
      <c r="X48" s="2735"/>
      <c r="Y48" s="2735"/>
      <c r="Z48" s="2735"/>
    </row>
    <row r="49" spans="1:26" ht="13.5" thickBot="1">
      <c r="A49" s="2676" t="s">
        <v>2611</v>
      </c>
      <c r="B49" s="2704">
        <v>159</v>
      </c>
      <c r="C49" s="2704">
        <v>141</v>
      </c>
      <c r="D49" s="2704">
        <f t="shared" si="28"/>
        <v>141</v>
      </c>
      <c r="E49" s="2704">
        <v>195</v>
      </c>
      <c r="F49" s="2705">
        <v>122</v>
      </c>
      <c r="G49" s="3500">
        <v>2006</v>
      </c>
      <c r="H49" s="2696">
        <v>4</v>
      </c>
      <c r="I49" s="2696">
        <v>3.79</v>
      </c>
      <c r="J49" s="2696">
        <v>2.21</v>
      </c>
      <c r="K49" s="2696">
        <v>5.65</v>
      </c>
      <c r="L49" s="2697">
        <v>5.41</v>
      </c>
      <c r="N49" s="2733">
        <f t="shared" ref="N49:O52" si="52">I49/SUM(I$49:I$52)*(B$49/B$53-1)</f>
        <v>7.245466462748526E-2</v>
      </c>
      <c r="O49" s="2734">
        <f t="shared" si="52"/>
        <v>2.3237230038062766E-2</v>
      </c>
      <c r="P49" s="2734">
        <f t="shared" ref="P49:Q52" si="53">K49/SUM(K$49:K$52)*(E$49/E$53-1)</f>
        <v>0.16146893866323722</v>
      </c>
      <c r="Q49" s="2734">
        <f t="shared" si="53"/>
        <v>5.0755230321793784E-2</v>
      </c>
      <c r="R49" s="2687"/>
      <c r="S49" s="2688"/>
      <c r="T49" s="2689"/>
      <c r="U49" s="2689"/>
      <c r="V49" s="2689"/>
      <c r="X49" s="2735"/>
      <c r="Y49" s="2735"/>
      <c r="Z49" s="2735"/>
    </row>
    <row r="50" spans="1:26">
      <c r="A50" s="2676" t="s">
        <v>2612</v>
      </c>
      <c r="B50" s="2690">
        <f t="shared" ref="B50:C52" si="54">B51+(B$49-B$53)*I50/SUM(I$49:I$52)</f>
        <v>149.00125628140702</v>
      </c>
      <c r="C50" s="2690">
        <f t="shared" si="54"/>
        <v>137.95592286501378</v>
      </c>
      <c r="D50" s="2690">
        <f t="shared" si="28"/>
        <v>137.95592286501378</v>
      </c>
      <c r="E50" s="2690">
        <f t="shared" ref="E50:F52" si="55">E51+(E$49-E$53)*K50/SUM(K$49:K$52)</f>
        <v>169.97231450719823</v>
      </c>
      <c r="F50" s="2690">
        <f t="shared" si="55"/>
        <v>116.21390374331551</v>
      </c>
      <c r="G50" s="3501">
        <v>2006</v>
      </c>
      <c r="H50" s="2701">
        <v>3</v>
      </c>
      <c r="I50" s="2701">
        <v>0.92</v>
      </c>
      <c r="J50" s="2701">
        <v>1.08</v>
      </c>
      <c r="K50" s="2701">
        <v>0.73</v>
      </c>
      <c r="L50" s="2702">
        <v>1.08</v>
      </c>
      <c r="N50" s="2733">
        <f t="shared" si="52"/>
        <v>1.7587939698492462E-2</v>
      </c>
      <c r="O50" s="2734">
        <f t="shared" si="52"/>
        <v>1.1355750425840628E-2</v>
      </c>
      <c r="P50" s="2734">
        <f t="shared" si="53"/>
        <v>2.0862358446754544E-2</v>
      </c>
      <c r="Q50" s="2734">
        <f t="shared" si="53"/>
        <v>1.0132282578103011E-2</v>
      </c>
      <c r="R50" s="2687"/>
      <c r="S50" s="2685"/>
      <c r="T50" s="2686"/>
      <c r="U50" s="2686"/>
      <c r="V50" s="2686"/>
      <c r="X50" s="2735"/>
      <c r="Y50" s="2735"/>
      <c r="Z50" s="2735"/>
    </row>
    <row r="51" spans="1:26">
      <c r="A51" s="2676" t="s">
        <v>2613</v>
      </c>
      <c r="B51" s="2690">
        <f t="shared" si="54"/>
        <v>146.57412060301507</v>
      </c>
      <c r="C51" s="2690">
        <f t="shared" si="54"/>
        <v>136.46831955922866</v>
      </c>
      <c r="D51" s="2690">
        <f t="shared" si="28"/>
        <v>136.46831955922866</v>
      </c>
      <c r="E51" s="2690">
        <f t="shared" si="55"/>
        <v>166.73864894795128</v>
      </c>
      <c r="F51" s="2690">
        <f t="shared" si="55"/>
        <v>115.05882352941177</v>
      </c>
      <c r="G51" s="3501">
        <v>2006</v>
      </c>
      <c r="H51" s="2681">
        <v>2</v>
      </c>
      <c r="I51" s="2681">
        <v>0.96</v>
      </c>
      <c r="J51" s="2681">
        <v>0.25</v>
      </c>
      <c r="K51" s="2681">
        <v>1.9</v>
      </c>
      <c r="L51" s="2692">
        <v>0.95</v>
      </c>
      <c r="N51" s="2733">
        <f t="shared" si="52"/>
        <v>1.8352632728861701E-2</v>
      </c>
      <c r="O51" s="2734">
        <f t="shared" si="52"/>
        <v>2.6286459319075526E-3</v>
      </c>
      <c r="P51" s="2734">
        <f t="shared" si="53"/>
        <v>5.4299289107991269E-2</v>
      </c>
      <c r="Q51" s="2734">
        <f t="shared" si="53"/>
        <v>8.9126559714794995E-3</v>
      </c>
      <c r="R51" s="2687"/>
      <c r="S51" s="2685"/>
      <c r="T51" s="2686"/>
      <c r="U51" s="2686"/>
      <c r="V51" s="2686"/>
      <c r="X51" s="2735"/>
      <c r="Y51" s="2735"/>
      <c r="Z51" s="2735"/>
    </row>
    <row r="52" spans="1:26">
      <c r="A52" s="2676" t="s">
        <v>2614</v>
      </c>
      <c r="B52" s="2690">
        <f t="shared" si="54"/>
        <v>144.04145728643215</v>
      </c>
      <c r="C52" s="2690">
        <f t="shared" si="54"/>
        <v>136.12396694214877</v>
      </c>
      <c r="D52" s="2690">
        <f t="shared" si="28"/>
        <v>136.12396694214877</v>
      </c>
      <c r="E52" s="2690">
        <f t="shared" si="55"/>
        <v>158.32225913621264</v>
      </c>
      <c r="F52" s="2690">
        <f t="shared" si="55"/>
        <v>114.04278074866311</v>
      </c>
      <c r="G52" s="3502">
        <v>2006</v>
      </c>
      <c r="H52" s="2680">
        <v>1</v>
      </c>
      <c r="I52" s="2680">
        <v>2.29</v>
      </c>
      <c r="J52" s="2680">
        <v>3.72</v>
      </c>
      <c r="K52" s="2680">
        <v>0.75</v>
      </c>
      <c r="L52" s="2691">
        <v>0.04</v>
      </c>
      <c r="N52" s="2736">
        <f t="shared" si="52"/>
        <v>4.3778675988638847E-2</v>
      </c>
      <c r="O52" s="2737">
        <f t="shared" si="52"/>
        <v>3.9114251466784385E-2</v>
      </c>
      <c r="P52" s="2737">
        <f t="shared" si="53"/>
        <v>2.1433929911049188E-2</v>
      </c>
      <c r="Q52" s="2737">
        <f t="shared" si="53"/>
        <v>3.7526972511492629E-4</v>
      </c>
      <c r="R52" s="2687"/>
      <c r="S52" s="2693">
        <f>B52/B53-1</f>
        <v>4.3778675988638716E-2</v>
      </c>
      <c r="T52" s="2694">
        <f>C52/C53-1</f>
        <v>3.91142514667846E-2</v>
      </c>
      <c r="U52" s="2694">
        <f>E52/E53-1</f>
        <v>2.143392991104931E-2</v>
      </c>
      <c r="V52" s="2694">
        <f>F52/F53-1</f>
        <v>3.7526972511492396E-4</v>
      </c>
      <c r="X52" s="2735"/>
      <c r="Y52" s="2735"/>
      <c r="Z52" s="2735"/>
    </row>
    <row r="53" spans="1:26" ht="13.5" thickBot="1">
      <c r="A53" s="2676" t="s">
        <v>2615</v>
      </c>
      <c r="B53" s="2704">
        <v>138</v>
      </c>
      <c r="C53" s="2704">
        <v>131</v>
      </c>
      <c r="D53" s="2704">
        <f t="shared" si="28"/>
        <v>131</v>
      </c>
      <c r="E53" s="2704">
        <v>155</v>
      </c>
      <c r="F53" s="2705">
        <v>114</v>
      </c>
      <c r="G53" s="3500">
        <v>2005</v>
      </c>
      <c r="H53" s="2696">
        <v>4</v>
      </c>
      <c r="I53" s="2696">
        <v>3.29</v>
      </c>
      <c r="J53" s="2696">
        <v>1.44</v>
      </c>
      <c r="K53" s="2696">
        <v>0.66</v>
      </c>
      <c r="L53" s="2697">
        <v>7.78</v>
      </c>
      <c r="N53" s="2733">
        <f t="shared" ref="N53:O56" si="56">I53/SUM(I$53:I$56)*(B$53/B$57-1)</f>
        <v>9.9404603216919935E-2</v>
      </c>
      <c r="O53" s="2734">
        <f t="shared" si="56"/>
        <v>4.7636550760861554E-2</v>
      </c>
      <c r="P53" s="2734">
        <f t="shared" ref="P53:Q56" si="57">K53/SUM(K$53:K$56)*(E$53/E$57-1)</f>
        <v>8.3756345177664976E-2</v>
      </c>
      <c r="Q53" s="2734">
        <f t="shared" si="57"/>
        <v>5.2148766661559584E-2</v>
      </c>
      <c r="R53" s="2687"/>
      <c r="S53" s="2688"/>
      <c r="T53" s="2689"/>
      <c r="U53" s="2689"/>
      <c r="V53" s="2689"/>
      <c r="X53" s="2735"/>
      <c r="Y53" s="2735"/>
      <c r="Z53" s="2735"/>
    </row>
    <row r="54" spans="1:26">
      <c r="A54" s="2676" t="s">
        <v>2616</v>
      </c>
      <c r="B54" s="2690">
        <f t="shared" ref="B54:C56" si="58">B55+(B$53-B$57)*I54/SUM(I$53:I$56)</f>
        <v>125.9720430107527</v>
      </c>
      <c r="C54" s="2690">
        <f t="shared" si="58"/>
        <v>125.1883408071749</v>
      </c>
      <c r="D54" s="2690">
        <f t="shared" si="28"/>
        <v>125.1883408071749</v>
      </c>
      <c r="E54" s="2690">
        <f t="shared" ref="E54:F56" si="59">E55+(E$53-E$57)*K54/SUM(K$53:K$56)</f>
        <v>144.61421319796952</v>
      </c>
      <c r="F54" s="2690">
        <f t="shared" si="59"/>
        <v>108.42008196721311</v>
      </c>
      <c r="G54" s="3501">
        <v>2005</v>
      </c>
      <c r="H54" s="2701">
        <v>3</v>
      </c>
      <c r="I54" s="2701">
        <v>0.46</v>
      </c>
      <c r="J54" s="2701">
        <v>0.32</v>
      </c>
      <c r="K54" s="2701">
        <v>0.42</v>
      </c>
      <c r="L54" s="2702">
        <v>0.64</v>
      </c>
      <c r="N54" s="2733">
        <f t="shared" si="56"/>
        <v>1.3898515951301874E-2</v>
      </c>
      <c r="O54" s="2734">
        <f t="shared" si="56"/>
        <v>1.0585900169080346E-2</v>
      </c>
      <c r="P54" s="2734">
        <f t="shared" si="57"/>
        <v>5.3299492385786795E-2</v>
      </c>
      <c r="Q54" s="2734">
        <f t="shared" si="57"/>
        <v>4.2898728359123568E-3</v>
      </c>
      <c r="R54" s="2687"/>
      <c r="S54" s="2685"/>
      <c r="T54" s="2686"/>
      <c r="U54" s="2686"/>
      <c r="V54" s="2686"/>
      <c r="X54" s="2735"/>
      <c r="Y54" s="2735"/>
      <c r="Z54" s="2735"/>
    </row>
    <row r="55" spans="1:26">
      <c r="A55" s="2676" t="s">
        <v>2617</v>
      </c>
      <c r="B55" s="2690">
        <f t="shared" si="58"/>
        <v>124.29032258064517</v>
      </c>
      <c r="C55" s="2690">
        <f t="shared" si="58"/>
        <v>123.8968609865471</v>
      </c>
      <c r="D55" s="2690">
        <f t="shared" si="28"/>
        <v>123.8968609865471</v>
      </c>
      <c r="E55" s="2690">
        <f t="shared" si="59"/>
        <v>138.00507614213197</v>
      </c>
      <c r="F55" s="2690">
        <f t="shared" si="59"/>
        <v>107.96106557377048</v>
      </c>
      <c r="G55" s="3501">
        <v>2005</v>
      </c>
      <c r="H55" s="2681">
        <v>2</v>
      </c>
      <c r="I55" s="2681">
        <v>0.47</v>
      </c>
      <c r="J55" s="2681">
        <v>0.1</v>
      </c>
      <c r="K55" s="2681">
        <v>0.52</v>
      </c>
      <c r="L55" s="2692">
        <v>0.79</v>
      </c>
      <c r="N55" s="2733">
        <f t="shared" si="56"/>
        <v>1.420065760241713E-2</v>
      </c>
      <c r="O55" s="2734">
        <f t="shared" si="56"/>
        <v>3.3080938028376083E-3</v>
      </c>
      <c r="P55" s="2734">
        <f t="shared" si="57"/>
        <v>6.598984771573603E-2</v>
      </c>
      <c r="Q55" s="2734">
        <f t="shared" si="57"/>
        <v>5.2953117818293153E-3</v>
      </c>
      <c r="R55" s="2687"/>
      <c r="S55" s="2685"/>
      <c r="T55" s="2686"/>
      <c r="U55" s="2686"/>
      <c r="V55" s="2686"/>
      <c r="X55" s="2735"/>
      <c r="Y55" s="2735"/>
      <c r="Z55" s="2735"/>
    </row>
    <row r="56" spans="1:26">
      <c r="A56" s="2676" t="s">
        <v>2618</v>
      </c>
      <c r="B56" s="2690">
        <f t="shared" si="58"/>
        <v>122.57204301075269</v>
      </c>
      <c r="C56" s="2690">
        <f t="shared" si="58"/>
        <v>123.4932735426009</v>
      </c>
      <c r="D56" s="2690">
        <f t="shared" si="28"/>
        <v>123.4932735426009</v>
      </c>
      <c r="E56" s="2690">
        <f t="shared" si="59"/>
        <v>129.82233502538071</v>
      </c>
      <c r="F56" s="2690">
        <f t="shared" si="59"/>
        <v>107.39446721311475</v>
      </c>
      <c r="G56" s="3502">
        <v>2005</v>
      </c>
      <c r="H56" s="2680">
        <v>1</v>
      </c>
      <c r="I56" s="2680">
        <v>0.43</v>
      </c>
      <c r="J56" s="2680">
        <v>0.37</v>
      </c>
      <c r="K56" s="2680">
        <v>0.37</v>
      </c>
      <c r="L56" s="2691">
        <v>0.55000000000000004</v>
      </c>
      <c r="N56" s="2736">
        <f t="shared" si="56"/>
        <v>1.2992090997956099E-2</v>
      </c>
      <c r="O56" s="2737">
        <f t="shared" si="56"/>
        <v>1.2239947070499151E-2</v>
      </c>
      <c r="P56" s="2737">
        <f t="shared" si="57"/>
        <v>4.6954314720812178E-2</v>
      </c>
      <c r="Q56" s="2737">
        <f t="shared" si="57"/>
        <v>3.6866094683621815E-3</v>
      </c>
      <c r="R56" s="2687"/>
      <c r="S56" s="2693">
        <f>B56/B57-1</f>
        <v>1.2992090997956174E-2</v>
      </c>
      <c r="T56" s="2694">
        <f>C56/C57-1</f>
        <v>1.2239947070499246E-2</v>
      </c>
      <c r="U56" s="2694">
        <f>E56/E57-1</f>
        <v>4.695431472081224E-2</v>
      </c>
      <c r="V56" s="2694">
        <f>F56/F57-1</f>
        <v>3.6866094683620787E-3</v>
      </c>
      <c r="X56" s="2735"/>
      <c r="Y56" s="2735"/>
      <c r="Z56" s="2735"/>
    </row>
    <row r="57" spans="1:26" ht="13.5" thickBot="1">
      <c r="A57" s="2676" t="s">
        <v>2619</v>
      </c>
      <c r="B57" s="2720">
        <v>121</v>
      </c>
      <c r="C57" s="2720">
        <v>122</v>
      </c>
      <c r="D57" s="2720">
        <f t="shared" si="28"/>
        <v>122</v>
      </c>
      <c r="E57" s="2720">
        <v>124</v>
      </c>
      <c r="F57" s="2721">
        <v>107</v>
      </c>
      <c r="G57" s="3500">
        <v>2004</v>
      </c>
      <c r="H57" s="2696">
        <v>4</v>
      </c>
      <c r="I57" s="2696">
        <v>0.33</v>
      </c>
      <c r="J57" s="2696">
        <v>0.5</v>
      </c>
      <c r="K57" s="2696">
        <v>0.5</v>
      </c>
      <c r="L57" s="2697">
        <v>0</v>
      </c>
      <c r="N57" s="2733">
        <f t="shared" ref="N57:O60" si="60">I57/SUM(I$57:I$60)*(B$57/B$61-1)</f>
        <v>1.3391770148526898E-2</v>
      </c>
      <c r="O57" s="2734">
        <f t="shared" si="60"/>
        <v>1.063264221158958E-2</v>
      </c>
      <c r="P57" s="2734">
        <f t="shared" ref="P57:Q60" si="61">K57/SUM(K$57:K$60)*(E$57/E$61-1)</f>
        <v>2.2244466688911134E-2</v>
      </c>
      <c r="Q57" s="2734">
        <f t="shared" si="61"/>
        <v>0</v>
      </c>
      <c r="R57" s="2687"/>
      <c r="S57" s="2688"/>
      <c r="T57" s="2689"/>
      <c r="U57" s="2689"/>
      <c r="V57" s="2689"/>
      <c r="X57" s="2735"/>
      <c r="Y57" s="2735"/>
      <c r="Z57" s="2735"/>
    </row>
    <row r="58" spans="1:26">
      <c r="A58" s="2676" t="s">
        <v>2620</v>
      </c>
      <c r="B58" s="2690">
        <f t="shared" ref="B58:C60" si="62">B59+(B$57-B$61)*I58/SUM(I$57:I$60)</f>
        <v>119.51351351351352</v>
      </c>
      <c r="C58" s="2690">
        <f t="shared" si="62"/>
        <v>120.7878787878788</v>
      </c>
      <c r="D58" s="2690">
        <f t="shared" si="28"/>
        <v>120.7878787878788</v>
      </c>
      <c r="E58" s="2690">
        <f t="shared" ref="E58:F60" si="63">E59+(E$57-E$61)*K58/SUM(K$57:K$60)</f>
        <v>121.5975975975976</v>
      </c>
      <c r="F58" s="2690">
        <f t="shared" si="63"/>
        <v>107</v>
      </c>
      <c r="G58" s="3501">
        <v>2004</v>
      </c>
      <c r="H58" s="2701">
        <v>3</v>
      </c>
      <c r="I58" s="2701">
        <v>0.56000000000000005</v>
      </c>
      <c r="J58" s="2701">
        <v>0.8</v>
      </c>
      <c r="K58" s="2701">
        <v>0.83</v>
      </c>
      <c r="L58" s="2702">
        <v>0.06</v>
      </c>
      <c r="N58" s="2733">
        <f t="shared" si="60"/>
        <v>2.2725428130833527E-2</v>
      </c>
      <c r="O58" s="2734">
        <f t="shared" si="60"/>
        <v>1.7012227538543329E-2</v>
      </c>
      <c r="P58" s="2734">
        <f t="shared" si="61"/>
        <v>3.6925814703592477E-2</v>
      </c>
      <c r="Q58" s="2734">
        <f t="shared" si="61"/>
        <v>2.8846153846153744E-2</v>
      </c>
      <c r="R58" s="2687"/>
      <c r="S58" s="2685"/>
      <c r="T58" s="2686"/>
      <c r="U58" s="2686"/>
      <c r="V58" s="2686"/>
      <c r="X58" s="2735"/>
      <c r="Y58" s="2735"/>
      <c r="Z58" s="2735"/>
    </row>
    <row r="59" spans="1:26">
      <c r="A59" s="2676" t="s">
        <v>2621</v>
      </c>
      <c r="B59" s="2690">
        <f t="shared" si="62"/>
        <v>116.99099099099099</v>
      </c>
      <c r="C59" s="2690">
        <f t="shared" si="62"/>
        <v>118.84848484848486</v>
      </c>
      <c r="D59" s="2690">
        <f t="shared" si="28"/>
        <v>118.84848484848486</v>
      </c>
      <c r="E59" s="2690">
        <f t="shared" si="63"/>
        <v>117.60960960960961</v>
      </c>
      <c r="F59" s="2690">
        <f t="shared" si="63"/>
        <v>104</v>
      </c>
      <c r="G59" s="3501">
        <v>2004</v>
      </c>
      <c r="H59" s="2681">
        <v>2</v>
      </c>
      <c r="I59" s="2681">
        <v>1</v>
      </c>
      <c r="J59" s="2681">
        <v>1.5</v>
      </c>
      <c r="K59" s="2681">
        <v>1.5</v>
      </c>
      <c r="L59" s="2692">
        <v>0</v>
      </c>
      <c r="N59" s="2733">
        <f t="shared" si="60"/>
        <v>4.0581121662202721E-2</v>
      </c>
      <c r="O59" s="2734">
        <f t="shared" si="60"/>
        <v>3.1897926634768738E-2</v>
      </c>
      <c r="P59" s="2734">
        <f t="shared" si="61"/>
        <v>6.6733400066733395E-2</v>
      </c>
      <c r="Q59" s="2734">
        <f t="shared" si="61"/>
        <v>0</v>
      </c>
      <c r="R59" s="2687"/>
      <c r="S59" s="2685"/>
      <c r="T59" s="2686"/>
      <c r="U59" s="2686"/>
      <c r="V59" s="2686"/>
      <c r="X59" s="2735"/>
      <c r="Y59" s="2735"/>
      <c r="Z59" s="2735"/>
    </row>
    <row r="60" spans="1:26" s="2726" customFormat="1" ht="13.5" thickBot="1">
      <c r="A60" s="2676" t="s">
        <v>2622</v>
      </c>
      <c r="B60" s="2723">
        <f t="shared" si="62"/>
        <v>112.48648648648648</v>
      </c>
      <c r="C60" s="2723">
        <f t="shared" si="62"/>
        <v>115.21212121212122</v>
      </c>
      <c r="D60" s="2723">
        <f t="shared" si="28"/>
        <v>115.21212121212122</v>
      </c>
      <c r="E60" s="2723">
        <f t="shared" si="63"/>
        <v>110.4024024024024</v>
      </c>
      <c r="F60" s="2723">
        <f t="shared" si="63"/>
        <v>104</v>
      </c>
      <c r="G60" s="3502">
        <v>2004</v>
      </c>
      <c r="H60" s="2724">
        <v>1</v>
      </c>
      <c r="I60" s="2724">
        <v>0.33</v>
      </c>
      <c r="J60" s="2724">
        <v>0.5</v>
      </c>
      <c r="K60" s="2724">
        <v>0.5</v>
      </c>
      <c r="L60" s="2725">
        <v>0</v>
      </c>
      <c r="N60" s="2738">
        <f t="shared" si="60"/>
        <v>1.3391770148526898E-2</v>
      </c>
      <c r="O60" s="2739">
        <f t="shared" si="60"/>
        <v>1.063264221158958E-2</v>
      </c>
      <c r="P60" s="2739">
        <f t="shared" si="61"/>
        <v>2.2244466688911134E-2</v>
      </c>
      <c r="Q60" s="2739">
        <f t="shared" si="61"/>
        <v>0</v>
      </c>
      <c r="R60" s="2729"/>
      <c r="S60" s="2727">
        <f>B60/B61-1</f>
        <v>1.3391770148526883E-2</v>
      </c>
      <c r="T60" s="2728">
        <f>C60/C61-1</f>
        <v>1.063264221158966E-2</v>
      </c>
      <c r="U60" s="2728">
        <f>E60/E61-1</f>
        <v>2.2244466688911224E-2</v>
      </c>
      <c r="V60" s="2728">
        <f>F60/F61-1</f>
        <v>0</v>
      </c>
      <c r="X60" s="2740"/>
      <c r="Y60" s="2740"/>
      <c r="Z60" s="2740"/>
    </row>
    <row r="61" spans="1:26" ht="13.5" thickBot="1">
      <c r="A61" s="2676" t="s">
        <v>2623</v>
      </c>
      <c r="B61" s="2741">
        <v>111</v>
      </c>
      <c r="C61" s="2741">
        <v>114</v>
      </c>
      <c r="D61" s="2741">
        <f t="shared" si="28"/>
        <v>114</v>
      </c>
      <c r="E61" s="2741">
        <v>108</v>
      </c>
      <c r="F61" s="2742">
        <v>104</v>
      </c>
      <c r="G61" s="3500">
        <v>2003</v>
      </c>
      <c r="H61" s="2731">
        <v>4</v>
      </c>
      <c r="I61" s="2743"/>
      <c r="J61" s="2743"/>
      <c r="K61" s="2743"/>
      <c r="L61" s="2743"/>
      <c r="N61" s="2744"/>
      <c r="O61" s="2743"/>
      <c r="P61" s="2743"/>
      <c r="Q61" s="2743"/>
      <c r="S61" s="2744"/>
      <c r="T61" s="2743"/>
      <c r="U61" s="2743"/>
      <c r="V61" s="2743"/>
      <c r="X61" s="2735"/>
      <c r="Y61" s="2735"/>
      <c r="Z61" s="2735"/>
    </row>
    <row r="62" spans="1:26">
      <c r="A62" s="2676" t="s">
        <v>2624</v>
      </c>
      <c r="B62" s="2745">
        <f t="shared" ref="B62:C64" si="64">B63+(B$61-B$65)/4</f>
        <v>109.75</v>
      </c>
      <c r="C62" s="2745">
        <f t="shared" si="64"/>
        <v>112.25</v>
      </c>
      <c r="D62" s="2745">
        <f t="shared" si="28"/>
        <v>112.25</v>
      </c>
      <c r="E62" s="2745">
        <f t="shared" ref="E62:F64" si="65">E63+(E$61-E$65)/4</f>
        <v>107.25</v>
      </c>
      <c r="F62" s="2745">
        <f t="shared" si="65"/>
        <v>103.5</v>
      </c>
      <c r="G62" s="3501">
        <v>2003</v>
      </c>
      <c r="H62" s="2701">
        <v>3</v>
      </c>
      <c r="I62" s="2743"/>
      <c r="J62" s="2743"/>
      <c r="K62" s="2743"/>
      <c r="L62" s="2743"/>
      <c r="X62" s="2735"/>
      <c r="Y62" s="2735"/>
      <c r="Z62" s="2735"/>
    </row>
    <row r="63" spans="1:26">
      <c r="A63" s="2676" t="s">
        <v>2625</v>
      </c>
      <c r="B63" s="2745">
        <f t="shared" si="64"/>
        <v>108.5</v>
      </c>
      <c r="C63" s="2745">
        <f t="shared" si="64"/>
        <v>110.5</v>
      </c>
      <c r="D63" s="2745">
        <f t="shared" si="28"/>
        <v>110.5</v>
      </c>
      <c r="E63" s="2745">
        <f t="shared" si="65"/>
        <v>106.5</v>
      </c>
      <c r="F63" s="2745">
        <f t="shared" si="65"/>
        <v>103</v>
      </c>
      <c r="G63" s="3501">
        <v>2003</v>
      </c>
      <c r="H63" s="2681">
        <v>2</v>
      </c>
      <c r="I63" s="2743"/>
      <c r="J63" s="2743"/>
      <c r="K63" s="2743"/>
      <c r="L63" s="2743"/>
      <c r="X63" s="2735"/>
      <c r="Y63" s="2735"/>
      <c r="Z63" s="2735"/>
    </row>
    <row r="64" spans="1:26" ht="13.5" thickBot="1">
      <c r="A64" s="2676" t="s">
        <v>2626</v>
      </c>
      <c r="B64" s="2745">
        <f t="shared" si="64"/>
        <v>107.25</v>
      </c>
      <c r="C64" s="2745">
        <f t="shared" si="64"/>
        <v>108.75</v>
      </c>
      <c r="D64" s="2745">
        <f t="shared" si="28"/>
        <v>108.75</v>
      </c>
      <c r="E64" s="2745">
        <f t="shared" si="65"/>
        <v>105.75</v>
      </c>
      <c r="F64" s="2745">
        <f t="shared" si="65"/>
        <v>102.5</v>
      </c>
      <c r="G64" s="3502">
        <v>2003</v>
      </c>
      <c r="H64" s="2746">
        <v>1</v>
      </c>
      <c r="I64" s="2743"/>
      <c r="J64" s="2743"/>
      <c r="K64" s="2743"/>
      <c r="L64" s="2743"/>
      <c r="S64" s="2685"/>
      <c r="T64" s="2686"/>
      <c r="U64" s="2686"/>
      <c r="X64" s="2735"/>
      <c r="Y64" s="2735"/>
      <c r="Z64" s="2735"/>
    </row>
    <row r="65" spans="1:26" ht="13.5" thickBot="1">
      <c r="A65" s="2676" t="s">
        <v>2627</v>
      </c>
      <c r="B65" s="2747">
        <v>106</v>
      </c>
      <c r="C65" s="2747">
        <v>107</v>
      </c>
      <c r="D65" s="2747">
        <f t="shared" si="28"/>
        <v>107</v>
      </c>
      <c r="E65" s="2747">
        <v>105</v>
      </c>
      <c r="F65" s="2748">
        <v>102</v>
      </c>
      <c r="G65" s="3500">
        <v>2002</v>
      </c>
      <c r="H65" s="2696">
        <v>4</v>
      </c>
      <c r="I65" s="2743"/>
      <c r="J65" s="2743"/>
      <c r="K65" s="2743"/>
      <c r="L65" s="2743"/>
      <c r="N65" s="2744"/>
      <c r="O65" s="2743"/>
      <c r="P65" s="2743"/>
      <c r="Q65" s="2743"/>
      <c r="S65" s="2744"/>
      <c r="T65" s="2743"/>
      <c r="U65" s="2743"/>
      <c r="V65" s="2743"/>
      <c r="X65" s="2735"/>
      <c r="Y65" s="2735"/>
      <c r="Z65" s="2735"/>
    </row>
    <row r="66" spans="1:26">
      <c r="A66" s="2676" t="s">
        <v>2628</v>
      </c>
      <c r="B66" s="2745">
        <f t="shared" ref="B66:C68" si="66">B67+(B$65-B$69)/4</f>
        <v>105</v>
      </c>
      <c r="C66" s="2745">
        <f t="shared" si="66"/>
        <v>106</v>
      </c>
      <c r="D66" s="2745">
        <f t="shared" si="28"/>
        <v>106</v>
      </c>
      <c r="E66" s="2745">
        <f t="shared" ref="E66:F68" si="67">E67+(E$65-E$69)/4</f>
        <v>104.5</v>
      </c>
      <c r="F66" s="2745">
        <f t="shared" si="67"/>
        <v>101.5</v>
      </c>
      <c r="G66" s="3501">
        <v>2002</v>
      </c>
      <c r="H66" s="2701">
        <v>3</v>
      </c>
      <c r="I66" s="2743"/>
      <c r="J66" s="2743"/>
      <c r="K66" s="2743"/>
      <c r="L66" s="2743"/>
      <c r="X66" s="2735"/>
      <c r="Y66" s="2735"/>
      <c r="Z66" s="2735"/>
    </row>
    <row r="67" spans="1:26">
      <c r="A67" s="2676" t="s">
        <v>2629</v>
      </c>
      <c r="B67" s="2745">
        <f t="shared" si="66"/>
        <v>104</v>
      </c>
      <c r="C67" s="2745">
        <f t="shared" si="66"/>
        <v>105</v>
      </c>
      <c r="D67" s="2745">
        <f t="shared" si="28"/>
        <v>105</v>
      </c>
      <c r="E67" s="2745">
        <f t="shared" si="67"/>
        <v>104</v>
      </c>
      <c r="F67" s="2745">
        <f t="shared" si="67"/>
        <v>101</v>
      </c>
      <c r="G67" s="3501">
        <v>2002</v>
      </c>
      <c r="H67" s="2681">
        <v>2</v>
      </c>
      <c r="I67" s="2743"/>
      <c r="J67" s="2743"/>
      <c r="K67" s="2743"/>
      <c r="L67" s="2743"/>
      <c r="X67" s="2735"/>
      <c r="Y67" s="2735"/>
      <c r="Z67" s="2735"/>
    </row>
    <row r="68" spans="1:26" s="2712" customFormat="1" ht="13.5" thickBot="1">
      <c r="A68" s="2708" t="s">
        <v>2630</v>
      </c>
      <c r="B68" s="2749">
        <f t="shared" si="66"/>
        <v>103</v>
      </c>
      <c r="C68" s="2749">
        <f t="shared" si="66"/>
        <v>104</v>
      </c>
      <c r="D68" s="2749">
        <f t="shared" si="28"/>
        <v>104</v>
      </c>
      <c r="E68" s="2749">
        <f t="shared" si="67"/>
        <v>103.5</v>
      </c>
      <c r="F68" s="2749">
        <f t="shared" si="67"/>
        <v>100.5</v>
      </c>
      <c r="G68" s="3502">
        <v>2002</v>
      </c>
      <c r="H68" s="2750">
        <v>1</v>
      </c>
      <c r="I68" s="2751"/>
      <c r="J68" s="2751"/>
      <c r="K68" s="2751"/>
      <c r="L68" s="2751"/>
      <c r="N68" s="2752"/>
      <c r="S68" s="2752"/>
      <c r="X68" s="2753"/>
      <c r="Y68" s="2753"/>
      <c r="Z68" s="2753"/>
    </row>
    <row r="69" spans="1:26" ht="13.5" thickBot="1">
      <c r="B69" s="2754">
        <v>102</v>
      </c>
      <c r="C69" s="2755">
        <v>103</v>
      </c>
      <c r="D69" s="2755">
        <f t="shared" si="28"/>
        <v>103</v>
      </c>
      <c r="E69" s="2755">
        <v>103</v>
      </c>
      <c r="F69" s="2756">
        <v>100</v>
      </c>
      <c r="I69" s="2743"/>
      <c r="J69" s="2743"/>
      <c r="K69" s="2743"/>
      <c r="L69" s="2743"/>
      <c r="N69" s="2744"/>
      <c r="O69" s="2743"/>
      <c r="P69" s="2743"/>
      <c r="Q69" s="2743"/>
      <c r="S69" s="2744"/>
      <c r="T69" s="2743"/>
      <c r="U69" s="2743"/>
      <c r="V69" s="2743"/>
      <c r="X69" s="2689"/>
      <c r="Y69" s="2689"/>
      <c r="Z69" s="2689"/>
    </row>
    <row r="71" spans="1:26" s="2758" customFormat="1">
      <c r="A71" s="2757" t="s">
        <v>2631</v>
      </c>
      <c r="G71" s="2759"/>
      <c r="N71" s="2759"/>
      <c r="S71" s="2759"/>
    </row>
    <row r="72" spans="1:26" s="2758" customFormat="1">
      <c r="A72" s="2758" t="s">
        <v>2632</v>
      </c>
      <c r="G72" s="2759"/>
      <c r="N72" s="2759"/>
      <c r="S72" s="2759"/>
    </row>
    <row r="73" spans="1:26" s="2758" customFormat="1">
      <c r="A73" s="2758" t="s">
        <v>2633</v>
      </c>
      <c r="G73" s="2759"/>
      <c r="I73" s="2760"/>
      <c r="J73" s="2760"/>
      <c r="K73" s="2760"/>
      <c r="L73" s="2760"/>
      <c r="N73" s="2761"/>
      <c r="O73" s="2760"/>
      <c r="P73" s="2760"/>
      <c r="Q73" s="2760"/>
      <c r="S73" s="2761"/>
      <c r="T73" s="2760"/>
      <c r="U73" s="2760"/>
      <c r="V73" s="2760"/>
    </row>
    <row r="74" spans="1:26" s="2758" customFormat="1">
      <c r="A74" s="2758" t="s">
        <v>2634</v>
      </c>
      <c r="G74" s="2759"/>
      <c r="N74" s="2759"/>
      <c r="S74" s="2759"/>
    </row>
    <row r="81" spans="7:22" ht="13.5" thickBot="1"/>
    <row r="82" spans="7:22">
      <c r="G82" s="2684"/>
      <c r="S82" s="2762" t="s">
        <v>2635</v>
      </c>
      <c r="T82" s="2763" t="s">
        <v>2636</v>
      </c>
      <c r="U82" s="2763" t="s">
        <v>2637</v>
      </c>
      <c r="V82" s="2763" t="s">
        <v>2638</v>
      </c>
    </row>
    <row r="83" spans="7:22">
      <c r="G83" s="2684"/>
      <c r="N83" s="2688"/>
      <c r="O83" s="2689"/>
      <c r="P83" s="2689"/>
      <c r="Q83" s="2689"/>
      <c r="S83" s="2764">
        <v>2006</v>
      </c>
      <c r="T83" s="2765">
        <v>15.1</v>
      </c>
      <c r="U83" s="2765">
        <v>7.43</v>
      </c>
      <c r="V83" s="2765">
        <v>26.26</v>
      </c>
    </row>
    <row r="84" spans="7:22">
      <c r="G84" s="2684"/>
      <c r="N84" s="2688"/>
      <c r="O84" s="2689"/>
      <c r="P84" s="2689"/>
      <c r="Q84" s="2689"/>
      <c r="S84" s="2767">
        <v>2005</v>
      </c>
      <c r="T84" s="2766">
        <v>13.9</v>
      </c>
      <c r="U84" s="2766">
        <v>7.49</v>
      </c>
      <c r="V84" s="2766">
        <v>24.92</v>
      </c>
    </row>
    <row r="85" spans="7:22">
      <c r="G85" s="2684"/>
      <c r="N85" s="2688"/>
      <c r="O85" s="2689"/>
      <c r="P85" s="2689"/>
      <c r="Q85" s="2689"/>
      <c r="S85" s="2764">
        <v>2004</v>
      </c>
      <c r="T85" s="2765">
        <v>9.48</v>
      </c>
      <c r="U85" s="2765">
        <v>7.2</v>
      </c>
      <c r="V85" s="2765">
        <v>14.68</v>
      </c>
    </row>
    <row r="86" spans="7:22">
      <c r="G86" s="2684"/>
      <c r="N86" s="2688"/>
      <c r="O86" s="2689"/>
      <c r="P86" s="2689"/>
      <c r="Q86" s="2689"/>
      <c r="S86" s="2767">
        <v>2003</v>
      </c>
      <c r="T86" s="2766">
        <v>4.5</v>
      </c>
      <c r="U86" s="2766">
        <v>6.12</v>
      </c>
      <c r="V86" s="2766">
        <v>2.34</v>
      </c>
    </row>
    <row r="87" spans="7:22" ht="13.5" thickBot="1">
      <c r="G87" s="2684"/>
      <c r="N87" s="2688"/>
      <c r="O87" s="2689"/>
      <c r="P87" s="2689"/>
      <c r="Q87" s="2689"/>
      <c r="S87" s="2768">
        <v>2002</v>
      </c>
      <c r="T87" s="2769">
        <v>3.59</v>
      </c>
      <c r="U87" s="2769">
        <v>4.54</v>
      </c>
      <c r="V87" s="2769">
        <v>2.5499999999999998</v>
      </c>
    </row>
    <row r="88" spans="7:22">
      <c r="G88" s="2684"/>
      <c r="N88" s="2688"/>
      <c r="O88" s="2689"/>
      <c r="P88" s="2689"/>
      <c r="Q88" s="2689"/>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c r="S98" s="2684"/>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2643" t="s">
        <v>717</v>
      </c>
      <c r="C1" s="2644" t="s">
        <v>718</v>
      </c>
      <c r="D1" s="2645" t="s">
        <v>918</v>
      </c>
      <c r="E1" s="2646"/>
      <c r="F1" s="2829" t="s">
        <v>3379</v>
      </c>
      <c r="G1" s="1598" t="s">
        <v>719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464</v>
      </c>
      <c r="B2" s="2642">
        <f>ROUND(B3*D3/10000,0)</f>
        <v>254769</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59" customFormat="1" ht="28.5" customHeight="1" thickBot="1">
      <c r="A3" s="507" t="s">
        <v>517</v>
      </c>
      <c r="B3" s="848">
        <f>C49</f>
        <v>10556</v>
      </c>
      <c r="C3" s="849" t="s">
        <v>720</v>
      </c>
      <c r="D3" s="848">
        <f>SUMIF('数据-汇总表'!$C19:$C33,D1,'数据-汇总表'!$E19:$E33)</f>
        <v>241349.54</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519</v>
      </c>
      <c r="B4" s="511"/>
      <c r="C4" s="3427" t="s">
        <v>520</v>
      </c>
      <c r="D4" s="3428"/>
      <c r="E4" s="3461" t="s">
        <v>521</v>
      </c>
      <c r="F4" s="3462"/>
      <c r="G4" s="3427" t="s">
        <v>522</v>
      </c>
      <c r="H4" s="3428"/>
      <c r="I4" s="3427" t="s">
        <v>523</v>
      </c>
      <c r="J4" s="3428"/>
      <c r="K4" s="850" t="s">
        <v>524</v>
      </c>
      <c r="L4" s="2130"/>
      <c r="M4" s="2131"/>
      <c r="N4" s="2131"/>
      <c r="O4" s="2131"/>
      <c r="P4" s="3429" t="s">
        <v>525</v>
      </c>
      <c r="Q4" s="3430"/>
      <c r="R4" s="3435" t="s">
        <v>521</v>
      </c>
      <c r="S4" s="3436"/>
      <c r="T4" s="3435" t="s">
        <v>522</v>
      </c>
      <c r="U4" s="3436"/>
      <c r="V4" s="3422" t="s">
        <v>523</v>
      </c>
      <c r="W4" s="3422"/>
      <c r="X4" s="1564"/>
      <c r="Y4" s="3435" t="s">
        <v>525</v>
      </c>
      <c r="Z4" s="3436"/>
      <c r="AA4" s="3424" t="s">
        <v>521</v>
      </c>
      <c r="AB4" s="3424" t="s">
        <v>522</v>
      </c>
      <c r="AC4" s="3424" t="s">
        <v>523</v>
      </c>
    </row>
    <row r="5" spans="1:29" ht="15">
      <c r="A5" s="513"/>
      <c r="B5" s="514"/>
      <c r="C5" s="3443" t="s">
        <v>2931</v>
      </c>
      <c r="D5" s="3444"/>
      <c r="E5" s="3516" t="s">
        <v>3549</v>
      </c>
      <c r="F5" s="3464"/>
      <c r="G5" s="3514" t="s">
        <v>3550</v>
      </c>
      <c r="H5" s="3444"/>
      <c r="I5" s="3514" t="s">
        <v>3551</v>
      </c>
      <c r="J5" s="3444"/>
      <c r="K5" s="851"/>
      <c r="L5" s="2130"/>
      <c r="M5" s="2131"/>
      <c r="N5" s="2131"/>
      <c r="O5" s="2131"/>
      <c r="P5" s="3431"/>
      <c r="Q5" s="3432"/>
      <c r="R5" s="3437"/>
      <c r="S5" s="3438"/>
      <c r="T5" s="3437"/>
      <c r="U5" s="3438"/>
      <c r="V5" s="3422"/>
      <c r="W5" s="3422"/>
      <c r="X5" s="1564"/>
      <c r="Y5" s="3437"/>
      <c r="Z5" s="3438"/>
      <c r="AA5" s="3425"/>
      <c r="AB5" s="3425"/>
      <c r="AC5" s="3425"/>
    </row>
    <row r="6" spans="1:29" ht="15.75" thickBot="1">
      <c r="A6" s="515"/>
      <c r="B6" s="516"/>
      <c r="C6" s="3441" t="s">
        <v>2935</v>
      </c>
      <c r="D6" s="3442"/>
      <c r="E6" s="3515" t="s">
        <v>3355</v>
      </c>
      <c r="F6" s="3460"/>
      <c r="G6" s="3513" t="s">
        <v>3383</v>
      </c>
      <c r="H6" s="3442"/>
      <c r="I6" s="3513" t="s">
        <v>3384</v>
      </c>
      <c r="J6" s="3442"/>
      <c r="K6" s="851" t="s">
        <v>526</v>
      </c>
      <c r="L6" s="2130"/>
      <c r="M6" s="2131"/>
      <c r="N6" s="2131"/>
      <c r="O6" s="2131"/>
      <c r="P6" s="3433"/>
      <c r="Q6" s="3434"/>
      <c r="R6" s="3437"/>
      <c r="S6" s="3438"/>
      <c r="T6" s="3439"/>
      <c r="U6" s="3440"/>
      <c r="V6" s="3422"/>
      <c r="W6" s="3422"/>
      <c r="X6" s="1564"/>
      <c r="Y6" s="3439"/>
      <c r="Z6" s="3440"/>
      <c r="AA6" s="3426"/>
      <c r="AB6" s="3426"/>
      <c r="AC6" s="3426"/>
    </row>
    <row r="7" spans="1:29" s="1217" customFormat="1" ht="15.75" thickBot="1">
      <c r="A7" s="2934"/>
      <c r="B7" s="2941" t="s">
        <v>527</v>
      </c>
      <c r="C7" s="517">
        <f>'数据-取费表'!B2</f>
        <v>43109</v>
      </c>
      <c r="D7" s="518">
        <v>100</v>
      </c>
      <c r="E7" s="519">
        <v>43108</v>
      </c>
      <c r="F7" s="520">
        <f>SUMIF(58:58,YEAR(E7)&amp;"-"&amp;MONTH(E7),59:59)</f>
        <v>100</v>
      </c>
      <c r="G7" s="519">
        <v>43108</v>
      </c>
      <c r="H7" s="518">
        <f>SUMIF(58:58,YEAR(G7)&amp;"-"&amp;MONTH(G7),59:59)</f>
        <v>100</v>
      </c>
      <c r="I7" s="519">
        <v>43108</v>
      </c>
      <c r="J7" s="518">
        <f>SUMIF(58:58,YEAR(I7)&amp;"-"&amp;MONTH(I7),59:59)</f>
        <v>100</v>
      </c>
      <c r="K7" s="852"/>
      <c r="L7" s="2132"/>
      <c r="M7" s="2133"/>
      <c r="N7" s="2133"/>
      <c r="O7" s="2133"/>
      <c r="P7" s="3452" t="s">
        <v>528</v>
      </c>
      <c r="Q7" s="3454"/>
      <c r="R7" s="1565" t="s">
        <v>13</v>
      </c>
      <c r="S7" s="1566">
        <f t="shared" ref="S7:S15" si="0">F7</f>
        <v>100</v>
      </c>
      <c r="T7" s="1565" t="s">
        <v>13</v>
      </c>
      <c r="U7" s="1566">
        <f t="shared" ref="U7:U15" si="1">H7</f>
        <v>100</v>
      </c>
      <c r="V7" s="1565" t="s">
        <v>13</v>
      </c>
      <c r="W7" s="1566">
        <f t="shared" ref="W7:W15" si="2">J7</f>
        <v>100</v>
      </c>
      <c r="X7" s="1567"/>
      <c r="Y7" s="3452" t="s">
        <v>528</v>
      </c>
      <c r="Z7" s="3453"/>
      <c r="AA7" s="1568">
        <f>D7/F7</f>
        <v>1</v>
      </c>
      <c r="AB7" s="1568">
        <f>D7/H7</f>
        <v>1</v>
      </c>
      <c r="AC7" s="1568">
        <f>D7/J7</f>
        <v>1</v>
      </c>
    </row>
    <row r="8" spans="1:29" s="1217" customFormat="1" ht="15.75" thickBot="1">
      <c r="A8" s="2935"/>
      <c r="B8" s="2942" t="s">
        <v>529</v>
      </c>
      <c r="C8" s="523" t="s">
        <v>574</v>
      </c>
      <c r="D8" s="518">
        <v>100</v>
      </c>
      <c r="E8" s="853" t="s">
        <v>2979</v>
      </c>
      <c r="F8" s="520">
        <f>SUMIF(61:61,E8,62:62)-SUMIF(61:61,C8,62:62)+100</f>
        <v>100</v>
      </c>
      <c r="G8" s="853" t="s">
        <v>2979</v>
      </c>
      <c r="H8" s="518">
        <f>SUMIF(61:61,G8,62:62)-SUMIF(61:61,C8,62:62)+100</f>
        <v>100</v>
      </c>
      <c r="I8" s="853" t="s">
        <v>2979</v>
      </c>
      <c r="J8" s="518">
        <f>SUMIF(61:61,I8,62:62)-SUMIF(61:61,C8,62:62)+100</f>
        <v>100</v>
      </c>
      <c r="K8" s="852"/>
      <c r="L8" s="2132"/>
      <c r="M8" s="2133"/>
      <c r="N8" s="2133"/>
      <c r="O8" s="2133"/>
      <c r="P8" s="3452" t="s">
        <v>531</v>
      </c>
      <c r="Q8" s="3453"/>
      <c r="R8" s="1565" t="s">
        <v>13</v>
      </c>
      <c r="S8" s="1566">
        <f t="shared" si="0"/>
        <v>100</v>
      </c>
      <c r="T8" s="1565" t="s">
        <v>13</v>
      </c>
      <c r="U8" s="1566">
        <f t="shared" si="1"/>
        <v>100</v>
      </c>
      <c r="V8" s="1565" t="s">
        <v>13</v>
      </c>
      <c r="W8" s="1566">
        <f t="shared" si="2"/>
        <v>100</v>
      </c>
      <c r="X8" s="1567"/>
      <c r="Y8" s="3452" t="s">
        <v>531</v>
      </c>
      <c r="Z8" s="3453"/>
      <c r="AA8" s="1568">
        <f t="shared" ref="AA8:AA46" si="3">D8/F8</f>
        <v>1</v>
      </c>
      <c r="AB8" s="1568">
        <f t="shared" ref="AB8:AB46" si="4">D8/H8</f>
        <v>1</v>
      </c>
      <c r="AC8" s="1568">
        <f t="shared" ref="AC8:AC46" si="5">D8/J8</f>
        <v>1</v>
      </c>
    </row>
    <row r="9" spans="1:29" s="1217" customFormat="1" ht="15">
      <c r="A9" s="2936"/>
      <c r="B9" s="2943" t="s">
        <v>2757</v>
      </c>
      <c r="C9" s="3181" t="s">
        <v>3380</v>
      </c>
      <c r="D9" s="252">
        <v>100</v>
      </c>
      <c r="E9" s="855" t="s">
        <v>918</v>
      </c>
      <c r="F9" s="856">
        <f>SUMIF(63:63,E9,64:64)-SUMIF(63:63,C9,64:64)+100</f>
        <v>100</v>
      </c>
      <c r="G9" s="855" t="s">
        <v>918</v>
      </c>
      <c r="H9" s="252">
        <f>SUMIF(63:63,G9,64:64)-SUMIF(63:63,C9,64:64)+100</f>
        <v>100</v>
      </c>
      <c r="I9" s="855" t="s">
        <v>918</v>
      </c>
      <c r="J9" s="252">
        <f>SUMIF(63:63,I9,64:64)-SUMIF(63:63,C9,64:64)+100</f>
        <v>100</v>
      </c>
      <c r="K9" s="852"/>
      <c r="L9" s="2132"/>
      <c r="M9" s="2133"/>
      <c r="N9" s="2133"/>
      <c r="O9" s="2134"/>
      <c r="P9" s="3421" t="s">
        <v>533</v>
      </c>
      <c r="Q9" s="1148" t="str">
        <f t="shared" ref="Q9:Q15" si="6">B9</f>
        <v>用途</v>
      </c>
      <c r="R9" s="1565" t="s">
        <v>8</v>
      </c>
      <c r="S9" s="1566">
        <f t="shared" si="0"/>
        <v>100</v>
      </c>
      <c r="T9" s="1565" t="s">
        <v>8</v>
      </c>
      <c r="U9" s="1566">
        <f t="shared" si="1"/>
        <v>100</v>
      </c>
      <c r="V9" s="1565" t="s">
        <v>8</v>
      </c>
      <c r="W9" s="1566">
        <f t="shared" si="2"/>
        <v>100</v>
      </c>
      <c r="X9" s="1567"/>
      <c r="Y9" s="3367" t="s">
        <v>534</v>
      </c>
      <c r="Z9" s="1147" t="str">
        <f t="shared" ref="Z9:Z15" si="7">Q9</f>
        <v>用途</v>
      </c>
      <c r="AA9" s="1568">
        <f t="shared" si="3"/>
        <v>1</v>
      </c>
      <c r="AB9" s="1568">
        <f t="shared" si="4"/>
        <v>1</v>
      </c>
      <c r="AC9" s="1568">
        <f t="shared" si="5"/>
        <v>1</v>
      </c>
    </row>
    <row r="10" spans="1:29" s="1335" customFormat="1" ht="27.75" customHeight="1">
      <c r="A10" s="2937"/>
      <c r="B10" s="2942" t="s">
        <v>2758</v>
      </c>
      <c r="C10" s="858" t="s">
        <v>3356</v>
      </c>
      <c r="D10" s="253">
        <v>100</v>
      </c>
      <c r="E10" s="859" t="s">
        <v>3356</v>
      </c>
      <c r="F10" s="860">
        <f>SUMIF(65:65,E10,66:66)-SUMIF(65:65,C10,66:66)+100</f>
        <v>100</v>
      </c>
      <c r="G10" s="859" t="s">
        <v>3356</v>
      </c>
      <c r="H10" s="253">
        <f>SUMIF(65:65,G10,66:66)-SUMIF(65:65,C10,66:66)+100</f>
        <v>100</v>
      </c>
      <c r="I10" s="859" t="s">
        <v>3356</v>
      </c>
      <c r="J10" s="253">
        <f>SUMIF(65:65,I10,66:66)-SUMIF(65:65,C10,66:66)+100</f>
        <v>100</v>
      </c>
      <c r="K10" s="861">
        <v>1</v>
      </c>
      <c r="L10" s="2135"/>
      <c r="M10" s="2175"/>
      <c r="N10" s="2175"/>
      <c r="O10" s="2136"/>
      <c r="P10" s="3421"/>
      <c r="Q10" s="1148" t="str">
        <f t="shared" si="6"/>
        <v>土地使用年限（年）</v>
      </c>
      <c r="R10" s="1565" t="s">
        <v>8</v>
      </c>
      <c r="S10" s="1566">
        <f t="shared" si="0"/>
        <v>100</v>
      </c>
      <c r="T10" s="1565" t="s">
        <v>8</v>
      </c>
      <c r="U10" s="1566">
        <f t="shared" si="1"/>
        <v>100</v>
      </c>
      <c r="V10" s="1565" t="s">
        <v>8</v>
      </c>
      <c r="W10" s="1566">
        <f t="shared" si="2"/>
        <v>100</v>
      </c>
      <c r="X10" s="1567"/>
      <c r="Y10" s="3367"/>
      <c r="Z10" s="1147" t="str">
        <f t="shared" si="7"/>
        <v>土地使用年限（年）</v>
      </c>
      <c r="AA10" s="1568">
        <f t="shared" si="3"/>
        <v>1</v>
      </c>
      <c r="AB10" s="1568">
        <f t="shared" si="4"/>
        <v>1</v>
      </c>
      <c r="AC10" s="1568">
        <f t="shared" si="5"/>
        <v>1</v>
      </c>
    </row>
    <row r="11" spans="1:29" ht="15">
      <c r="A11" s="2938"/>
      <c r="B11" s="2942" t="s">
        <v>2759</v>
      </c>
      <c r="C11" s="530">
        <f>'比较法-住宅、综合'!C13</f>
        <v>3.54</v>
      </c>
      <c r="D11" s="253">
        <v>100</v>
      </c>
      <c r="E11" s="531">
        <v>3</v>
      </c>
      <c r="F11" s="860">
        <f>LOOKUP(E11,68:68,69:69)-LOOKUP(C11,68:68,69:69)+100</f>
        <v>100</v>
      </c>
      <c r="G11" s="531">
        <v>1.88</v>
      </c>
      <c r="H11" s="253">
        <f>LOOKUP(G11,68:68,69:69)-LOOKUP(C11,68:68,69:69)+100</f>
        <v>102</v>
      </c>
      <c r="I11" s="531">
        <v>4.76</v>
      </c>
      <c r="J11" s="253">
        <f>LOOKUP(I11,68:68,69:69)-LOOKUP(C11,68:68,69:69)+100</f>
        <v>99</v>
      </c>
      <c r="K11" s="861">
        <v>1</v>
      </c>
      <c r="L11" s="2137"/>
      <c r="M11" s="2131"/>
      <c r="N11" s="2131"/>
      <c r="O11" s="2138"/>
      <c r="P11" s="3421"/>
      <c r="Q11" s="1148" t="str">
        <f t="shared" si="6"/>
        <v>容积率</v>
      </c>
      <c r="R11" s="1565" t="s">
        <v>11</v>
      </c>
      <c r="S11" s="1566">
        <f t="shared" si="0"/>
        <v>100</v>
      </c>
      <c r="T11" s="1565" t="s">
        <v>11</v>
      </c>
      <c r="U11" s="1566">
        <f t="shared" si="1"/>
        <v>102</v>
      </c>
      <c r="V11" s="1565" t="s">
        <v>11</v>
      </c>
      <c r="W11" s="1566">
        <f t="shared" si="2"/>
        <v>99</v>
      </c>
      <c r="X11" s="1567"/>
      <c r="Y11" s="3367"/>
      <c r="Z11" s="1147" t="str">
        <f t="shared" si="7"/>
        <v>容积率</v>
      </c>
      <c r="AA11" s="1568">
        <f t="shared" si="3"/>
        <v>1</v>
      </c>
      <c r="AB11" s="1568">
        <f t="shared" si="4"/>
        <v>0.98039215686274506</v>
      </c>
      <c r="AC11" s="1568">
        <f t="shared" si="5"/>
        <v>1.0101010101010102</v>
      </c>
    </row>
    <row r="12" spans="1:29" s="1217" customFormat="1" ht="15">
      <c r="A12" s="2939"/>
      <c r="B12" s="2945">
        <v>111</v>
      </c>
      <c r="C12" s="526"/>
      <c r="D12" s="535">
        <v>100</v>
      </c>
      <c r="E12" s="526"/>
      <c r="F12" s="860">
        <f>SUMIF(70:70,E12,71:71)-SUMIF(70:70,C12,71:71)+100</f>
        <v>100</v>
      </c>
      <c r="G12" s="526"/>
      <c r="H12" s="253">
        <f>SUMIF(70:70,G12,71:71)-SUMIF(70:70,C12,71:71)+100</f>
        <v>100</v>
      </c>
      <c r="I12" s="526"/>
      <c r="J12" s="253">
        <f>SUMIF(70:70,I12,71:71)-SUMIF(70:70,C12,71:71)+100</f>
        <v>100</v>
      </c>
      <c r="K12" s="862"/>
      <c r="L12" s="2132"/>
      <c r="M12" s="2133"/>
      <c r="N12" s="2133"/>
      <c r="O12" s="2134"/>
      <c r="P12" s="3421"/>
      <c r="Q12" s="1148">
        <f t="shared" si="6"/>
        <v>111</v>
      </c>
      <c r="R12" s="1565" t="s">
        <v>11</v>
      </c>
      <c r="S12" s="1566">
        <f t="shared" si="0"/>
        <v>100</v>
      </c>
      <c r="T12" s="1565" t="s">
        <v>11</v>
      </c>
      <c r="U12" s="1566">
        <f t="shared" si="1"/>
        <v>100</v>
      </c>
      <c r="V12" s="1565" t="s">
        <v>11</v>
      </c>
      <c r="W12" s="1566">
        <f t="shared" si="2"/>
        <v>100</v>
      </c>
      <c r="X12" s="1567"/>
      <c r="Y12" s="3367"/>
      <c r="Z12" s="1147">
        <f t="shared" si="7"/>
        <v>111</v>
      </c>
      <c r="AA12" s="1568">
        <f>D12/F12</f>
        <v>1</v>
      </c>
      <c r="AB12" s="1568">
        <f>D12/H12</f>
        <v>1</v>
      </c>
      <c r="AC12" s="1568">
        <f>D12/J12</f>
        <v>1</v>
      </c>
    </row>
    <row r="13" spans="1:29" ht="15">
      <c r="A13" s="2939"/>
      <c r="B13" s="2945">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421"/>
      <c r="Q13" s="1148">
        <f t="shared" si="6"/>
        <v>111</v>
      </c>
      <c r="R13" s="1565" t="s">
        <v>11</v>
      </c>
      <c r="S13" s="1566">
        <f t="shared" si="0"/>
        <v>100</v>
      </c>
      <c r="T13" s="1565" t="s">
        <v>11</v>
      </c>
      <c r="U13" s="1566">
        <f t="shared" si="1"/>
        <v>100</v>
      </c>
      <c r="V13" s="1565" t="s">
        <v>11</v>
      </c>
      <c r="W13" s="1566">
        <f t="shared" si="2"/>
        <v>100</v>
      </c>
      <c r="X13" s="1567"/>
      <c r="Y13" s="3367"/>
      <c r="Z13" s="1147">
        <f t="shared" si="7"/>
        <v>111</v>
      </c>
      <c r="AA13" s="1568">
        <f t="shared" si="3"/>
        <v>1</v>
      </c>
      <c r="AB13" s="1568">
        <f t="shared" si="4"/>
        <v>1</v>
      </c>
      <c r="AC13" s="1568">
        <f t="shared" si="5"/>
        <v>1</v>
      </c>
    </row>
    <row r="14" spans="1:29" ht="15.75" thickBot="1">
      <c r="A14" s="2940"/>
      <c r="B14" s="2946">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421"/>
      <c r="Q14" s="1148">
        <f t="shared" si="6"/>
        <v>111</v>
      </c>
      <c r="R14" s="1565" t="s">
        <v>11</v>
      </c>
      <c r="S14" s="1566">
        <f t="shared" si="0"/>
        <v>100</v>
      </c>
      <c r="T14" s="1565" t="s">
        <v>11</v>
      </c>
      <c r="U14" s="1566">
        <f t="shared" si="1"/>
        <v>100</v>
      </c>
      <c r="V14" s="1565" t="s">
        <v>11</v>
      </c>
      <c r="W14" s="1566">
        <f t="shared" si="2"/>
        <v>100</v>
      </c>
      <c r="X14" s="1567"/>
      <c r="Y14" s="3367"/>
      <c r="Z14" s="1147">
        <f t="shared" si="7"/>
        <v>111</v>
      </c>
      <c r="AA14" s="1568">
        <f t="shared" si="3"/>
        <v>1</v>
      </c>
      <c r="AB14" s="1568">
        <f t="shared" si="4"/>
        <v>1</v>
      </c>
      <c r="AC14" s="1568">
        <f t="shared" si="5"/>
        <v>1</v>
      </c>
    </row>
    <row r="15" spans="1:29" ht="99.75">
      <c r="A15" s="2932" t="s">
        <v>2755</v>
      </c>
      <c r="B15" s="164"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2</v>
      </c>
      <c r="L15" s="2139"/>
      <c r="M15" s="2131"/>
      <c r="N15" s="2131"/>
      <c r="O15" s="2138"/>
      <c r="P15" s="3455" t="s">
        <v>538</v>
      </c>
      <c r="Q15" s="1569" t="str">
        <f t="shared" si="6"/>
        <v>居住社区成熟度</v>
      </c>
      <c r="R15" s="1570" t="s">
        <v>11</v>
      </c>
      <c r="S15" s="1571">
        <f t="shared" si="0"/>
        <v>100</v>
      </c>
      <c r="T15" s="1570" t="s">
        <v>11</v>
      </c>
      <c r="U15" s="1571">
        <f t="shared" si="1"/>
        <v>100</v>
      </c>
      <c r="V15" s="1570" t="s">
        <v>11</v>
      </c>
      <c r="W15" s="1571">
        <f t="shared" si="2"/>
        <v>100</v>
      </c>
      <c r="X15" s="1564"/>
      <c r="Y15" s="3455" t="s">
        <v>538</v>
      </c>
      <c r="Z15" s="1572" t="str">
        <f t="shared" si="7"/>
        <v>居住社区成熟度</v>
      </c>
      <c r="AA15" s="1573">
        <f t="shared" si="3"/>
        <v>1</v>
      </c>
      <c r="AB15" s="1573">
        <f t="shared" si="4"/>
        <v>1</v>
      </c>
      <c r="AC15" s="1573">
        <f t="shared" si="5"/>
        <v>1</v>
      </c>
    </row>
    <row r="16" spans="1:29" ht="15">
      <c r="A16" s="529"/>
      <c r="B16" s="866"/>
      <c r="C16" s="573" t="s">
        <v>3322</v>
      </c>
      <c r="D16" s="552"/>
      <c r="E16" s="553" t="s">
        <v>3322</v>
      </c>
      <c r="F16" s="554"/>
      <c r="G16" s="553" t="s">
        <v>3322</v>
      </c>
      <c r="H16" s="556"/>
      <c r="I16" s="553" t="s">
        <v>3322</v>
      </c>
      <c r="J16" s="552"/>
      <c r="K16" s="867"/>
      <c r="L16" s="2139"/>
      <c r="M16" s="2131"/>
      <c r="N16" s="2131"/>
      <c r="O16" s="2138"/>
      <c r="P16" s="3456"/>
      <c r="Q16" s="1569"/>
      <c r="R16" s="1570"/>
      <c r="S16" s="1571"/>
      <c r="T16" s="1570"/>
      <c r="U16" s="1571"/>
      <c r="V16" s="1570"/>
      <c r="W16" s="1571"/>
      <c r="X16" s="1564"/>
      <c r="Y16" s="3456"/>
      <c r="Z16" s="1572"/>
      <c r="AA16" s="1573">
        <v>1</v>
      </c>
      <c r="AB16" s="1573">
        <v>1</v>
      </c>
      <c r="AC16" s="1573">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59"/>
      <c r="H17" s="562">
        <f>SUMIF(78:78,G18,79:79)-SUMIF(78:78,C18,79:79)+100</f>
        <v>102</v>
      </c>
      <c r="I17" s="559"/>
      <c r="J17" s="562">
        <f>SUMIF(78:78,I18,79:79)-SUMIF(78:78,C18,79:79)+100</f>
        <v>102</v>
      </c>
      <c r="K17" s="865">
        <v>2</v>
      </c>
      <c r="L17" s="2139"/>
      <c r="M17" s="2131"/>
      <c r="N17" s="2131"/>
      <c r="O17" s="2138"/>
      <c r="P17" s="3456"/>
      <c r="Q17" s="1569" t="str">
        <f>B17</f>
        <v>交通便捷度</v>
      </c>
      <c r="R17" s="1570" t="s">
        <v>11</v>
      </c>
      <c r="S17" s="1571">
        <f>F17</f>
        <v>100</v>
      </c>
      <c r="T17" s="1570" t="s">
        <v>11</v>
      </c>
      <c r="U17" s="1571">
        <f>H17</f>
        <v>102</v>
      </c>
      <c r="V17" s="1570" t="s">
        <v>11</v>
      </c>
      <c r="W17" s="1571">
        <f>J17</f>
        <v>102</v>
      </c>
      <c r="X17" s="1564"/>
      <c r="Y17" s="3456"/>
      <c r="Z17" s="1572" t="str">
        <f>Q17</f>
        <v>交通便捷度</v>
      </c>
      <c r="AA17" s="1573">
        <f t="shared" si="3"/>
        <v>1</v>
      </c>
      <c r="AB17" s="1573">
        <f t="shared" si="4"/>
        <v>0.98039215686274506</v>
      </c>
      <c r="AC17" s="1573">
        <f t="shared" si="5"/>
        <v>0.98039215686274506</v>
      </c>
    </row>
    <row r="18" spans="1:29" ht="15">
      <c r="A18" s="529"/>
      <c r="B18" s="592"/>
      <c r="C18" s="870" t="s">
        <v>3322</v>
      </c>
      <c r="D18" s="556"/>
      <c r="E18" s="565" t="s">
        <v>3322</v>
      </c>
      <c r="F18" s="560"/>
      <c r="G18" s="565" t="s">
        <v>3338</v>
      </c>
      <c r="H18" s="552"/>
      <c r="I18" s="565" t="s">
        <v>3338</v>
      </c>
      <c r="J18" s="552"/>
      <c r="K18" s="867"/>
      <c r="L18" s="2139"/>
      <c r="M18" s="2131"/>
      <c r="N18" s="2131"/>
      <c r="O18" s="2138"/>
      <c r="P18" s="3456"/>
      <c r="Q18" s="1569"/>
      <c r="R18" s="1570"/>
      <c r="S18" s="1571"/>
      <c r="T18" s="1570"/>
      <c r="U18" s="1571"/>
      <c r="V18" s="1570"/>
      <c r="W18" s="1571"/>
      <c r="X18" s="1564"/>
      <c r="Y18" s="3456"/>
      <c r="Z18" s="1572"/>
      <c r="AA18" s="1573">
        <v>1</v>
      </c>
      <c r="AB18" s="1573">
        <v>1</v>
      </c>
      <c r="AC18" s="1573">
        <v>1</v>
      </c>
    </row>
    <row r="19" spans="1:29" ht="42.75">
      <c r="A19" s="529"/>
      <c r="B19" s="2620"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2</v>
      </c>
      <c r="L19" s="2139"/>
      <c r="M19" s="2131"/>
      <c r="N19" s="2131"/>
      <c r="O19" s="2138"/>
      <c r="P19" s="3456"/>
      <c r="Q19" s="1569" t="str">
        <f>B19</f>
        <v>公共配套设施</v>
      </c>
      <c r="R19" s="1570" t="s">
        <v>11</v>
      </c>
      <c r="S19" s="1571">
        <f>F19</f>
        <v>100</v>
      </c>
      <c r="T19" s="1570" t="s">
        <v>11</v>
      </c>
      <c r="U19" s="1571">
        <f>H19</f>
        <v>100</v>
      </c>
      <c r="V19" s="1570" t="s">
        <v>11</v>
      </c>
      <c r="W19" s="1571">
        <f>J19</f>
        <v>100</v>
      </c>
      <c r="X19" s="1564"/>
      <c r="Y19" s="3456"/>
      <c r="Z19" s="1572" t="str">
        <f>Q19</f>
        <v>公共配套设施</v>
      </c>
      <c r="AA19" s="1573">
        <f t="shared" si="3"/>
        <v>1</v>
      </c>
      <c r="AB19" s="1573">
        <f t="shared" si="4"/>
        <v>1</v>
      </c>
      <c r="AC19" s="1573">
        <f t="shared" si="5"/>
        <v>1</v>
      </c>
    </row>
    <row r="20" spans="1:29" ht="15">
      <c r="A20" s="529"/>
      <c r="B20" s="592"/>
      <c r="C20" s="3218" t="s">
        <v>3323</v>
      </c>
      <c r="D20" s="552"/>
      <c r="E20" s="3226" t="s">
        <v>3323</v>
      </c>
      <c r="F20" s="554"/>
      <c r="G20" s="3226" t="s">
        <v>3323</v>
      </c>
      <c r="H20" s="552"/>
      <c r="I20" s="3226" t="s">
        <v>3323</v>
      </c>
      <c r="J20" s="552"/>
      <c r="K20" s="867"/>
      <c r="L20" s="2139"/>
      <c r="M20" s="2131"/>
      <c r="N20" s="2131"/>
      <c r="O20" s="2138"/>
      <c r="P20" s="3456"/>
      <c r="Q20" s="1569"/>
      <c r="R20" s="1570"/>
      <c r="S20" s="1571"/>
      <c r="T20" s="1570"/>
      <c r="U20" s="1571"/>
      <c r="V20" s="1570"/>
      <c r="W20" s="1571"/>
      <c r="X20" s="1564"/>
      <c r="Y20" s="3456"/>
      <c r="Z20" s="1572"/>
      <c r="AA20" s="1573">
        <v>1</v>
      </c>
      <c r="AB20" s="1573">
        <v>1</v>
      </c>
      <c r="AC20" s="1573">
        <v>1</v>
      </c>
    </row>
    <row r="21" spans="1:29" ht="28.5">
      <c r="A21" s="529"/>
      <c r="B21" s="2613"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1</v>
      </c>
      <c r="L21" s="2139"/>
      <c r="M21" s="2131"/>
      <c r="N21" s="2131"/>
      <c r="O21" s="2138"/>
      <c r="P21" s="3456"/>
      <c r="Q21" s="2599" t="str">
        <f>B21</f>
        <v>基础设施水平</v>
      </c>
      <c r="R21" s="1570" t="s">
        <v>11</v>
      </c>
      <c r="S21" s="1571">
        <f>F21</f>
        <v>100</v>
      </c>
      <c r="T21" s="1570" t="s">
        <v>11</v>
      </c>
      <c r="U21" s="1571">
        <f>H21</f>
        <v>100</v>
      </c>
      <c r="V21" s="1570" t="s">
        <v>11</v>
      </c>
      <c r="W21" s="1571">
        <f>J21</f>
        <v>100</v>
      </c>
      <c r="X21" s="2601"/>
      <c r="Y21" s="3456"/>
      <c r="Z21" s="2600" t="str">
        <f>Q21</f>
        <v>基础设施水平</v>
      </c>
      <c r="AA21" s="1573">
        <f t="shared" ref="AA21" si="8">D21/F21</f>
        <v>1</v>
      </c>
      <c r="AB21" s="1573">
        <f t="shared" ref="AB21" si="9">D21/H21</f>
        <v>1</v>
      </c>
      <c r="AC21" s="1573">
        <f t="shared" ref="AC21" si="10">D21/J21</f>
        <v>1</v>
      </c>
    </row>
    <row r="22" spans="1:29" ht="15">
      <c r="A22" s="529"/>
      <c r="B22" s="919"/>
      <c r="C22" s="870" t="s">
        <v>3325</v>
      </c>
      <c r="D22" s="552"/>
      <c r="E22" s="573" t="s">
        <v>3325</v>
      </c>
      <c r="F22" s="554"/>
      <c r="G22" s="573" t="s">
        <v>3325</v>
      </c>
      <c r="H22" s="552"/>
      <c r="I22" s="573" t="s">
        <v>3325</v>
      </c>
      <c r="J22" s="552"/>
      <c r="K22" s="2619"/>
      <c r="L22" s="2139"/>
      <c r="M22" s="2131"/>
      <c r="N22" s="2131"/>
      <c r="O22" s="2138"/>
      <c r="P22" s="3456"/>
      <c r="Q22" s="2599"/>
      <c r="R22" s="1570"/>
      <c r="S22" s="1571"/>
      <c r="T22" s="1570"/>
      <c r="U22" s="1571"/>
      <c r="V22" s="1570"/>
      <c r="W22" s="1571"/>
      <c r="X22" s="2601"/>
      <c r="Y22" s="3456"/>
      <c r="Z22" s="2600"/>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2</v>
      </c>
      <c r="L23" s="2139"/>
      <c r="M23" s="2131"/>
      <c r="N23" s="2131"/>
      <c r="O23" s="2138"/>
      <c r="P23" s="3456"/>
      <c r="Q23" s="1569" t="str">
        <f>B23</f>
        <v>自然及人文环境</v>
      </c>
      <c r="R23" s="1570" t="s">
        <v>11</v>
      </c>
      <c r="S23" s="1571">
        <f>F23</f>
        <v>100</v>
      </c>
      <c r="T23" s="1570" t="s">
        <v>11</v>
      </c>
      <c r="U23" s="1571">
        <f>H23</f>
        <v>100</v>
      </c>
      <c r="V23" s="1570" t="s">
        <v>11</v>
      </c>
      <c r="W23" s="1571">
        <f>J23</f>
        <v>100</v>
      </c>
      <c r="X23" s="1564"/>
      <c r="Y23" s="3456"/>
      <c r="Z23" s="1572" t="str">
        <f>Q23</f>
        <v>自然及人文环境</v>
      </c>
      <c r="AA23" s="1573">
        <f t="shared" si="3"/>
        <v>1</v>
      </c>
      <c r="AB23" s="1573">
        <f t="shared" si="4"/>
        <v>1</v>
      </c>
      <c r="AC23" s="1573">
        <f t="shared" si="5"/>
        <v>1</v>
      </c>
    </row>
    <row r="24" spans="1:29" ht="15">
      <c r="A24" s="529"/>
      <c r="B24" s="592"/>
      <c r="C24" s="573" t="s">
        <v>3323</v>
      </c>
      <c r="D24" s="552"/>
      <c r="E24" s="553" t="s">
        <v>3323</v>
      </c>
      <c r="F24" s="554"/>
      <c r="G24" s="553" t="s">
        <v>3323</v>
      </c>
      <c r="H24" s="552"/>
      <c r="I24" s="553" t="s">
        <v>3323</v>
      </c>
      <c r="J24" s="552"/>
      <c r="K24" s="867"/>
      <c r="L24" s="2139"/>
      <c r="M24" s="2131"/>
      <c r="N24" s="2131"/>
      <c r="O24" s="2138"/>
      <c r="P24" s="3456"/>
      <c r="Q24" s="1569"/>
      <c r="R24" s="1570"/>
      <c r="S24" s="1571"/>
      <c r="T24" s="1570"/>
      <c r="U24" s="1571"/>
      <c r="V24" s="1570"/>
      <c r="W24" s="1571"/>
      <c r="X24" s="1564"/>
      <c r="Y24" s="3456"/>
      <c r="Z24" s="1572"/>
      <c r="AA24" s="1573">
        <v>1</v>
      </c>
      <c r="AB24" s="1573">
        <v>1</v>
      </c>
      <c r="AC24" s="1573">
        <v>1</v>
      </c>
    </row>
    <row r="25" spans="1:29" ht="15">
      <c r="A25" s="529"/>
      <c r="B25" s="1892" t="s">
        <v>2254</v>
      </c>
      <c r="C25" s="571"/>
      <c r="D25" s="537">
        <v>100</v>
      </c>
      <c r="E25" s="871"/>
      <c r="F25" s="572">
        <f>SUMIF(86:86,E25,87:87)-SUMIF(86:86,C25,87:87)+100</f>
        <v>100</v>
      </c>
      <c r="G25" s="871"/>
      <c r="H25" s="537">
        <f>SUMIF(86:86,G25,87:87)-SUMIF(86:86,C25,87:87)+100</f>
        <v>100</v>
      </c>
      <c r="I25" s="871"/>
      <c r="J25" s="537">
        <f>SUMIF(86:86,I25,87:87)-SUMIF(86:86,C25,87:87)+100</f>
        <v>100</v>
      </c>
      <c r="K25" s="861">
        <v>0</v>
      </c>
      <c r="L25" s="2139"/>
      <c r="M25" s="2131"/>
      <c r="N25" s="2131"/>
      <c r="O25" s="2138"/>
      <c r="P25" s="3456"/>
      <c r="Q25" s="1569" t="str">
        <f t="shared" ref="Q25:Q46" si="11">B25</f>
        <v>楼层-1</v>
      </c>
      <c r="R25" s="1570" t="s">
        <v>11</v>
      </c>
      <c r="S25" s="1571">
        <f>F25</f>
        <v>100</v>
      </c>
      <c r="T25" s="1570" t="s">
        <v>11</v>
      </c>
      <c r="U25" s="1571">
        <f>H25</f>
        <v>100</v>
      </c>
      <c r="V25" s="1570" t="s">
        <v>11</v>
      </c>
      <c r="W25" s="1571">
        <f>J25</f>
        <v>100</v>
      </c>
      <c r="X25" s="1564"/>
      <c r="Y25" s="3456"/>
      <c r="Z25" s="1572" t="str">
        <f>Q25</f>
        <v>楼层-1</v>
      </c>
      <c r="AA25" s="1573">
        <f t="shared" si="3"/>
        <v>1</v>
      </c>
      <c r="AB25" s="1573">
        <f t="shared" si="4"/>
        <v>1</v>
      </c>
      <c r="AC25" s="1573">
        <f t="shared" si="5"/>
        <v>1</v>
      </c>
    </row>
    <row r="26" spans="1:29" ht="15">
      <c r="A26" s="529"/>
      <c r="B26" s="525" t="s">
        <v>721</v>
      </c>
      <c r="C26" s="571"/>
      <c r="D26" s="537">
        <v>100</v>
      </c>
      <c r="E26" s="871"/>
      <c r="F26" s="572">
        <f>SUMIF(88:88,E26,89:89)-SUMIF(88:88,C26,89:89)+100</f>
        <v>100</v>
      </c>
      <c r="G26" s="871"/>
      <c r="H26" s="537">
        <f>SUMIF(88:88,G26,89:89)-SUMIF(88:88,C26,89:89)+100</f>
        <v>100</v>
      </c>
      <c r="I26" s="871"/>
      <c r="J26" s="537">
        <f>SUMIF(88:88,I26,89:89)-SUMIF(88:88,C26,89:89)+100</f>
        <v>100</v>
      </c>
      <c r="K26" s="861">
        <v>0</v>
      </c>
      <c r="L26" s="2139"/>
      <c r="M26" s="2131"/>
      <c r="N26" s="2131"/>
      <c r="O26" s="2138"/>
      <c r="P26" s="3456"/>
      <c r="Q26" s="1569" t="str">
        <f t="shared" si="11"/>
        <v>朝向</v>
      </c>
      <c r="R26" s="1570" t="s">
        <v>11</v>
      </c>
      <c r="S26" s="1571">
        <f>F26</f>
        <v>100</v>
      </c>
      <c r="T26" s="1570" t="s">
        <v>11</v>
      </c>
      <c r="U26" s="1571">
        <f>H26</f>
        <v>100</v>
      </c>
      <c r="V26" s="1570" t="s">
        <v>11</v>
      </c>
      <c r="W26" s="1571">
        <f>J26</f>
        <v>100</v>
      </c>
      <c r="X26" s="1564"/>
      <c r="Y26" s="3456"/>
      <c r="Z26" s="1572" t="str">
        <f>Q26</f>
        <v>朝向</v>
      </c>
      <c r="AA26" s="1573">
        <f t="shared" si="3"/>
        <v>1</v>
      </c>
      <c r="AB26" s="1573">
        <f t="shared" si="4"/>
        <v>1</v>
      </c>
      <c r="AC26" s="1573">
        <f t="shared" si="5"/>
        <v>1</v>
      </c>
    </row>
    <row r="27" spans="1:29" s="1217" customFormat="1" ht="15.75" thickBot="1">
      <c r="A27" s="533"/>
      <c r="B27" s="534" t="s">
        <v>722</v>
      </c>
      <c r="C27" s="3177" t="s">
        <v>3357</v>
      </c>
      <c r="D27" s="872">
        <v>100</v>
      </c>
      <c r="E27" s="3177" t="s">
        <v>3357</v>
      </c>
      <c r="F27" s="873">
        <f>SUMIF(90:90,E27,91:91)-SUMIF(90:90,C27,91:91)+100</f>
        <v>100</v>
      </c>
      <c r="G27" s="3177" t="s">
        <v>3357</v>
      </c>
      <c r="H27" s="872">
        <f>SUMIF(90:90,G27,91:91)-SUMIF(90:90,C27,91:91)+100</f>
        <v>100</v>
      </c>
      <c r="I27" s="3177" t="s">
        <v>3357</v>
      </c>
      <c r="J27" s="872">
        <f>SUMIF(90:90,I27,91:91)-SUMIF(90:90,C27,91:91)+100</f>
        <v>100</v>
      </c>
      <c r="K27" s="862"/>
      <c r="L27" s="2132"/>
      <c r="M27" s="2133"/>
      <c r="N27" s="2133"/>
      <c r="O27" s="2134"/>
      <c r="P27" s="3456"/>
      <c r="Q27" s="1148" t="str">
        <f t="shared" si="11"/>
        <v>道路级别</v>
      </c>
      <c r="R27" s="1565" t="s">
        <v>11</v>
      </c>
      <c r="S27" s="1566">
        <f>F27</f>
        <v>100</v>
      </c>
      <c r="T27" s="1565" t="s">
        <v>11</v>
      </c>
      <c r="U27" s="1566">
        <f>H27</f>
        <v>100</v>
      </c>
      <c r="V27" s="1565" t="s">
        <v>11</v>
      </c>
      <c r="W27" s="1566">
        <f>J27</f>
        <v>100</v>
      </c>
      <c r="X27" s="1567"/>
      <c r="Y27" s="3456"/>
      <c r="Z27" s="1147" t="str">
        <f>Q27</f>
        <v>道路级别</v>
      </c>
      <c r="AA27" s="1573">
        <f>D27/F27</f>
        <v>1</v>
      </c>
      <c r="AB27" s="1573">
        <f>D27/H27</f>
        <v>1</v>
      </c>
      <c r="AC27" s="1573">
        <f>D27/J27</f>
        <v>1</v>
      </c>
    </row>
    <row r="28" spans="1:29" ht="15.75" hidden="1" thickBot="1">
      <c r="A28" s="529"/>
      <c r="B28" s="874">
        <v>111</v>
      </c>
      <c r="C28" s="536"/>
      <c r="D28" s="537">
        <v>100</v>
      </c>
      <c r="E28" s="3182" t="s">
        <v>3381</v>
      </c>
      <c r="F28" s="572">
        <f>SUMIF(92:92,E28,93:93)-SUMIF(92:92,C28,93:93)+100</f>
        <v>100</v>
      </c>
      <c r="G28" s="3182" t="s">
        <v>3381</v>
      </c>
      <c r="H28" s="537">
        <f>SUMIF(92:92,G28,93:93)-SUMIF(92:92,C28,93:93)+100</f>
        <v>100</v>
      </c>
      <c r="I28" s="3182" t="s">
        <v>3385</v>
      </c>
      <c r="J28" s="537">
        <f>SUMIF(92:92,I28,93:93)-SUMIF(92:92,C28,93:93)+100</f>
        <v>100</v>
      </c>
      <c r="K28" s="862"/>
      <c r="L28" s="2139"/>
      <c r="M28" s="2131"/>
      <c r="N28" s="2131"/>
      <c r="O28" s="2138"/>
      <c r="P28" s="3456"/>
      <c r="Q28" s="1569">
        <f t="shared" si="11"/>
        <v>111</v>
      </c>
      <c r="R28" s="1570" t="s">
        <v>11</v>
      </c>
      <c r="S28" s="1571">
        <f t="shared" ref="S28:S46" si="12">F28</f>
        <v>100</v>
      </c>
      <c r="T28" s="1570" t="s">
        <v>11</v>
      </c>
      <c r="U28" s="1571">
        <f t="shared" ref="U28:U46" si="13">H28</f>
        <v>100</v>
      </c>
      <c r="V28" s="1570" t="s">
        <v>11</v>
      </c>
      <c r="W28" s="1571">
        <f t="shared" ref="W28:W46" si="14">J28</f>
        <v>100</v>
      </c>
      <c r="X28" s="1564"/>
      <c r="Y28" s="345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456"/>
      <c r="Q29" s="1569">
        <f t="shared" si="11"/>
        <v>111</v>
      </c>
      <c r="R29" s="1570" t="s">
        <v>11</v>
      </c>
      <c r="S29" s="1571">
        <f t="shared" si="12"/>
        <v>100</v>
      </c>
      <c r="T29" s="1570" t="s">
        <v>11</v>
      </c>
      <c r="U29" s="1571">
        <f t="shared" si="13"/>
        <v>100</v>
      </c>
      <c r="V29" s="1570" t="s">
        <v>11</v>
      </c>
      <c r="W29" s="1571">
        <f t="shared" si="14"/>
        <v>100</v>
      </c>
      <c r="X29" s="1564"/>
      <c r="Y29" s="345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456"/>
      <c r="Q30" s="1569">
        <f t="shared" si="11"/>
        <v>111</v>
      </c>
      <c r="R30" s="1570" t="s">
        <v>11</v>
      </c>
      <c r="S30" s="1571">
        <f t="shared" si="12"/>
        <v>100</v>
      </c>
      <c r="T30" s="1570" t="s">
        <v>11</v>
      </c>
      <c r="U30" s="1571">
        <f t="shared" si="13"/>
        <v>100</v>
      </c>
      <c r="V30" s="1570" t="s">
        <v>11</v>
      </c>
      <c r="W30" s="1571">
        <f t="shared" si="14"/>
        <v>100</v>
      </c>
      <c r="X30" s="1564"/>
      <c r="Y30" s="345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456"/>
      <c r="Q31" s="1569">
        <f t="shared" si="11"/>
        <v>111</v>
      </c>
      <c r="R31" s="1570" t="s">
        <v>11</v>
      </c>
      <c r="S31" s="1571">
        <f t="shared" si="12"/>
        <v>100</v>
      </c>
      <c r="T31" s="1570" t="s">
        <v>11</v>
      </c>
      <c r="U31" s="1571">
        <f t="shared" si="13"/>
        <v>100</v>
      </c>
      <c r="V31" s="1570" t="s">
        <v>11</v>
      </c>
      <c r="W31" s="1571">
        <f t="shared" si="14"/>
        <v>100</v>
      </c>
      <c r="X31" s="1564"/>
      <c r="Y31" s="3456"/>
      <c r="Z31" s="1572">
        <f t="shared" si="15"/>
        <v>111</v>
      </c>
      <c r="AA31" s="1573">
        <f t="shared" si="3"/>
        <v>1</v>
      </c>
      <c r="AB31" s="1573">
        <f t="shared" si="4"/>
        <v>1</v>
      </c>
      <c r="AC31" s="1573">
        <f t="shared" si="5"/>
        <v>1</v>
      </c>
    </row>
    <row r="32" spans="1:29" ht="15">
      <c r="A32" s="2929" t="s">
        <v>2756</v>
      </c>
      <c r="B32" s="170" t="s">
        <v>723</v>
      </c>
      <c r="C32" s="875" t="s">
        <v>3373</v>
      </c>
      <c r="D32" s="594">
        <v>100</v>
      </c>
      <c r="E32" s="876" t="s">
        <v>3373</v>
      </c>
      <c r="F32" s="572">
        <f>SUMIF(100:100,E32,101:101)-SUMIF(100:100,C32,101:101)+100</f>
        <v>100</v>
      </c>
      <c r="G32" s="876" t="s">
        <v>3373</v>
      </c>
      <c r="H32" s="594">
        <f>SUMIF(100:100,G32,101:101)-SUMIF(100:100,C32,101:101)+100</f>
        <v>100</v>
      </c>
      <c r="I32" s="876" t="s">
        <v>3373</v>
      </c>
      <c r="J32" s="537">
        <f>SUMIF(100:100,I32,101:101)-SUMIF(100:100,C32,101:101)+100</f>
        <v>100</v>
      </c>
      <c r="K32" s="861">
        <v>5</v>
      </c>
      <c r="L32" s="2139"/>
      <c r="M32" s="2131"/>
      <c r="N32" s="2131"/>
      <c r="O32" s="2138"/>
      <c r="P32" s="3457" t="s">
        <v>548</v>
      </c>
      <c r="Q32" s="1569" t="str">
        <f t="shared" si="11"/>
        <v>建筑类型</v>
      </c>
      <c r="R32" s="1570" t="s">
        <v>11</v>
      </c>
      <c r="S32" s="1571">
        <f t="shared" si="12"/>
        <v>100</v>
      </c>
      <c r="T32" s="1570" t="s">
        <v>11</v>
      </c>
      <c r="U32" s="1571">
        <f t="shared" si="13"/>
        <v>100</v>
      </c>
      <c r="V32" s="1570" t="s">
        <v>11</v>
      </c>
      <c r="W32" s="1571">
        <f t="shared" si="14"/>
        <v>100</v>
      </c>
      <c r="X32" s="1564"/>
      <c r="Y32" s="3458" t="s">
        <v>548</v>
      </c>
      <c r="Z32" s="1572" t="str">
        <f t="shared" si="15"/>
        <v>建筑类型</v>
      </c>
      <c r="AA32" s="1573">
        <f t="shared" si="3"/>
        <v>1</v>
      </c>
      <c r="AB32" s="1573">
        <f t="shared" si="4"/>
        <v>1</v>
      </c>
      <c r="AC32" s="1573">
        <f t="shared" si="5"/>
        <v>1</v>
      </c>
    </row>
    <row r="33" spans="1:29" s="1336" customFormat="1" ht="15">
      <c r="A33" s="600"/>
      <c r="B33" s="525" t="s">
        <v>724</v>
      </c>
      <c r="C33" s="877">
        <f>'数据-汇总表'!E3</f>
        <v>320965.16000000003</v>
      </c>
      <c r="D33" s="253">
        <v>100</v>
      </c>
      <c r="E33" s="531">
        <v>1400000</v>
      </c>
      <c r="F33" s="860">
        <f>LOOKUP(E33,103:103,104:104)-LOOKUP(C33,103:103,104:104)+100</f>
        <v>102</v>
      </c>
      <c r="G33" s="531">
        <v>1200000</v>
      </c>
      <c r="H33" s="253">
        <f>LOOKUP(G33,103:103,104:104)-LOOKUP(C33,103:103,104:104)+100</f>
        <v>102</v>
      </c>
      <c r="I33" s="531">
        <v>575000</v>
      </c>
      <c r="J33" s="253">
        <f>LOOKUP(I33,103:103,104:104)-LOOKUP(C33,103:103,104:104)+100</f>
        <v>101</v>
      </c>
      <c r="K33" s="862"/>
      <c r="L33" s="2137"/>
      <c r="M33" s="2168"/>
      <c r="N33" s="2168"/>
      <c r="O33" s="2140"/>
      <c r="P33" s="3458"/>
      <c r="Q33" s="1602" t="str">
        <f t="shared" si="11"/>
        <v>项目建筑规模</v>
      </c>
      <c r="R33" s="1574" t="s">
        <v>11</v>
      </c>
      <c r="S33" s="1575">
        <f t="shared" si="12"/>
        <v>102</v>
      </c>
      <c r="T33" s="1574" t="s">
        <v>11</v>
      </c>
      <c r="U33" s="1575">
        <f t="shared" si="13"/>
        <v>102</v>
      </c>
      <c r="V33" s="1574" t="s">
        <v>11</v>
      </c>
      <c r="W33" s="1575">
        <f t="shared" si="14"/>
        <v>101</v>
      </c>
      <c r="X33" s="1576"/>
      <c r="Y33" s="3458"/>
      <c r="Z33" s="1577" t="str">
        <f t="shared" si="15"/>
        <v>项目建筑规模</v>
      </c>
      <c r="AA33" s="1573">
        <f t="shared" si="3"/>
        <v>0.98039215686274506</v>
      </c>
      <c r="AB33" s="1573">
        <f t="shared" si="4"/>
        <v>0.98039215686274506</v>
      </c>
      <c r="AC33" s="1573">
        <f t="shared" si="5"/>
        <v>0.99009900990099009</v>
      </c>
    </row>
    <row r="34" spans="1:29" ht="15">
      <c r="A34" s="591"/>
      <c r="B34" s="525" t="s">
        <v>725</v>
      </c>
      <c r="C34" s="878" t="s">
        <v>3374</v>
      </c>
      <c r="D34" s="537">
        <v>100</v>
      </c>
      <c r="E34" s="878" t="s">
        <v>3374</v>
      </c>
      <c r="F34" s="572">
        <f>SUMIF(105:105,E34,106:106)-SUMIF(105:105,C34,106:106)+100</f>
        <v>100</v>
      </c>
      <c r="G34" s="878" t="s">
        <v>3374</v>
      </c>
      <c r="H34" s="537">
        <f>SUMIF(105:105,G34,106:106)-SUMIF(105:105,C34,106:106)+100</f>
        <v>100</v>
      </c>
      <c r="I34" s="878" t="s">
        <v>3374</v>
      </c>
      <c r="J34" s="537">
        <f>SUMIF(105:105,I34,106:106)-SUMIF(105:105,C34,106:106)+100</f>
        <v>100</v>
      </c>
      <c r="K34" s="861">
        <v>3</v>
      </c>
      <c r="L34" s="2139"/>
      <c r="M34" s="2131"/>
      <c r="N34" s="2131"/>
      <c r="O34" s="2138"/>
      <c r="P34" s="3458"/>
      <c r="Q34" s="1569" t="str">
        <f t="shared" si="11"/>
        <v>建筑结构</v>
      </c>
      <c r="R34" s="1570" t="s">
        <v>11</v>
      </c>
      <c r="S34" s="1571">
        <f t="shared" si="12"/>
        <v>100</v>
      </c>
      <c r="T34" s="1570" t="s">
        <v>11</v>
      </c>
      <c r="U34" s="1571">
        <f t="shared" si="13"/>
        <v>100</v>
      </c>
      <c r="V34" s="1570" t="s">
        <v>11</v>
      </c>
      <c r="W34" s="1571">
        <f t="shared" si="14"/>
        <v>100</v>
      </c>
      <c r="X34" s="1564"/>
      <c r="Y34" s="3458"/>
      <c r="Z34" s="1572" t="str">
        <f t="shared" si="15"/>
        <v>建筑结构</v>
      </c>
      <c r="AA34" s="1573">
        <f t="shared" si="3"/>
        <v>1</v>
      </c>
      <c r="AB34" s="1573">
        <f t="shared" si="4"/>
        <v>1</v>
      </c>
      <c r="AC34" s="1573">
        <f t="shared" si="5"/>
        <v>1</v>
      </c>
    </row>
    <row r="35" spans="1:29" ht="15">
      <c r="A35" s="591"/>
      <c r="B35" s="525" t="s">
        <v>726</v>
      </c>
      <c r="C35" s="596" t="s">
        <v>3375</v>
      </c>
      <c r="D35" s="537">
        <v>100</v>
      </c>
      <c r="E35" s="596" t="s">
        <v>3375</v>
      </c>
      <c r="F35" s="572">
        <f>SUMIF(107:107,E35,108:108)-SUMIF(107:107,C35,108:108)+100</f>
        <v>100</v>
      </c>
      <c r="G35" s="596" t="s">
        <v>3386</v>
      </c>
      <c r="H35" s="537">
        <f>SUMIF(107:107,G35,108:108)-SUMIF(107:107,C35,108:108)+100</f>
        <v>115</v>
      </c>
      <c r="I35" s="596" t="s">
        <v>3375</v>
      </c>
      <c r="J35" s="537">
        <f>SUMIF(107:107,I35,108:108)-SUMIF(107:107,C35,108:108)+100</f>
        <v>100</v>
      </c>
      <c r="K35" s="861">
        <v>15</v>
      </c>
      <c r="L35" s="2139"/>
      <c r="M35" s="2131"/>
      <c r="N35" s="2131"/>
      <c r="O35" s="2138"/>
      <c r="P35" s="3458"/>
      <c r="Q35" s="1569" t="str">
        <f t="shared" si="11"/>
        <v>建筑品质</v>
      </c>
      <c r="R35" s="1570" t="s">
        <v>11</v>
      </c>
      <c r="S35" s="1571">
        <f t="shared" si="12"/>
        <v>100</v>
      </c>
      <c r="T35" s="1570" t="s">
        <v>11</v>
      </c>
      <c r="U35" s="1571">
        <f t="shared" si="13"/>
        <v>115</v>
      </c>
      <c r="V35" s="1570" t="s">
        <v>11</v>
      </c>
      <c r="W35" s="1571">
        <f t="shared" si="14"/>
        <v>100</v>
      </c>
      <c r="X35" s="1564"/>
      <c r="Y35" s="3458"/>
      <c r="Z35" s="1572" t="str">
        <f t="shared" si="15"/>
        <v>建筑品质</v>
      </c>
      <c r="AA35" s="1573">
        <f t="shared" si="3"/>
        <v>1</v>
      </c>
      <c r="AB35" s="1573">
        <f t="shared" si="4"/>
        <v>0.86956521739130432</v>
      </c>
      <c r="AC35" s="1573">
        <f t="shared" si="5"/>
        <v>1</v>
      </c>
    </row>
    <row r="36" spans="1:29" ht="15">
      <c r="A36" s="591"/>
      <c r="B36" s="525" t="s">
        <v>727</v>
      </c>
      <c r="C36" s="596" t="s">
        <v>3382</v>
      </c>
      <c r="D36" s="537">
        <v>100</v>
      </c>
      <c r="E36" s="596" t="s">
        <v>3382</v>
      </c>
      <c r="F36" s="572">
        <f>SUMIF(109:109,E36,110:110)-SUMIF(109:109,C36,110:110)+100</f>
        <v>100</v>
      </c>
      <c r="G36" s="596" t="s">
        <v>3382</v>
      </c>
      <c r="H36" s="537">
        <f>SUMIF(109:109,G36,110:110)-SUMIF(109:109,C36,110:110)+100</f>
        <v>100</v>
      </c>
      <c r="I36" s="596" t="s">
        <v>3382</v>
      </c>
      <c r="J36" s="537">
        <f>SUMIF(109:109,I36,110:110)-SUMIF(109:109,C36,110:110)+100</f>
        <v>100</v>
      </c>
      <c r="K36" s="861">
        <v>2</v>
      </c>
      <c r="L36" s="2139"/>
      <c r="M36" s="2131"/>
      <c r="N36" s="2131"/>
      <c r="O36" s="2138"/>
      <c r="P36" s="3458"/>
      <c r="Q36" s="1569" t="str">
        <f t="shared" si="11"/>
        <v>公共部分装修</v>
      </c>
      <c r="R36" s="1570" t="s">
        <v>11</v>
      </c>
      <c r="S36" s="1571">
        <f t="shared" si="12"/>
        <v>100</v>
      </c>
      <c r="T36" s="1570" t="s">
        <v>11</v>
      </c>
      <c r="U36" s="1571">
        <f t="shared" si="13"/>
        <v>100</v>
      </c>
      <c r="V36" s="1570" t="s">
        <v>11</v>
      </c>
      <c r="W36" s="1571">
        <f t="shared" si="14"/>
        <v>100</v>
      </c>
      <c r="X36" s="1564"/>
      <c r="Y36" s="3458"/>
      <c r="Z36" s="1572" t="str">
        <f t="shared" si="15"/>
        <v>公共部分装修</v>
      </c>
      <c r="AA36" s="1573">
        <f t="shared" si="3"/>
        <v>1</v>
      </c>
      <c r="AB36" s="1573">
        <f t="shared" si="4"/>
        <v>1</v>
      </c>
      <c r="AC36" s="1573">
        <f t="shared" si="5"/>
        <v>1</v>
      </c>
    </row>
    <row r="37" spans="1:29" s="1217" customFormat="1" ht="15">
      <c r="A37" s="597"/>
      <c r="B37" s="525" t="s">
        <v>728</v>
      </c>
      <c r="C37" s="880">
        <v>1</v>
      </c>
      <c r="D37" s="253">
        <v>100</v>
      </c>
      <c r="E37" s="880">
        <v>1</v>
      </c>
      <c r="F37" s="860">
        <f>LOOKUP(E37,112:112,113:113)-LOOKUP(C37,112:112,113:113)+100</f>
        <v>100</v>
      </c>
      <c r="G37" s="880">
        <v>1</v>
      </c>
      <c r="H37" s="253">
        <f>LOOKUP(G37,112:112,113:113)-LOOKUP(C37,112:112,113:113)+100</f>
        <v>100</v>
      </c>
      <c r="I37" s="880">
        <v>1</v>
      </c>
      <c r="J37" s="253">
        <f>LOOKUP(I37,112:112,113:113)-LOOKUP(C37,112:112,113:113)+100</f>
        <v>100</v>
      </c>
      <c r="K37" s="861">
        <v>1</v>
      </c>
      <c r="L37" s="2132"/>
      <c r="M37" s="2133"/>
      <c r="N37" s="2133"/>
      <c r="O37" s="2134"/>
      <c r="P37" s="3458"/>
      <c r="Q37" s="1148" t="str">
        <f t="shared" si="11"/>
        <v>成新度</v>
      </c>
      <c r="R37" s="1565" t="s">
        <v>11</v>
      </c>
      <c r="S37" s="1566">
        <f t="shared" si="12"/>
        <v>100</v>
      </c>
      <c r="T37" s="1565" t="s">
        <v>11</v>
      </c>
      <c r="U37" s="1566">
        <f t="shared" si="13"/>
        <v>100</v>
      </c>
      <c r="V37" s="1565" t="s">
        <v>11</v>
      </c>
      <c r="W37" s="1566">
        <f t="shared" si="14"/>
        <v>100</v>
      </c>
      <c r="X37" s="1567"/>
      <c r="Y37" s="3458"/>
      <c r="Z37" s="1147" t="str">
        <f t="shared" si="15"/>
        <v>成新度</v>
      </c>
      <c r="AA37" s="1568">
        <f t="shared" si="3"/>
        <v>1</v>
      </c>
      <c r="AB37" s="1568">
        <f t="shared" si="4"/>
        <v>1</v>
      </c>
      <c r="AC37" s="1568">
        <f t="shared" si="5"/>
        <v>1</v>
      </c>
    </row>
    <row r="38" spans="1:29" ht="15">
      <c r="A38" s="591"/>
      <c r="B38" s="525" t="s">
        <v>729</v>
      </c>
      <c r="C38" s="596" t="s">
        <v>3377</v>
      </c>
      <c r="D38" s="537">
        <v>100</v>
      </c>
      <c r="E38" s="596" t="s">
        <v>3377</v>
      </c>
      <c r="F38" s="572">
        <f>SUMIF(114:114,E38,115:115)-SUMIF(114:114,C38,115:115)+100</f>
        <v>100</v>
      </c>
      <c r="G38" s="596" t="s">
        <v>3377</v>
      </c>
      <c r="H38" s="537">
        <f>SUMIF(114:114,G38,115:115)-SUMIF(114:114,C38,115:115)+100</f>
        <v>100</v>
      </c>
      <c r="I38" s="596" t="s">
        <v>3377</v>
      </c>
      <c r="J38" s="537">
        <f>SUMIF(114:114,I38,115:115)-SUMIF(114:114,C38,115:115)+100</f>
        <v>100</v>
      </c>
      <c r="K38" s="861">
        <v>5</v>
      </c>
      <c r="L38" s="2139"/>
      <c r="M38" s="2131"/>
      <c r="N38" s="2131"/>
      <c r="O38" s="2138"/>
      <c r="P38" s="3458" t="s">
        <v>548</v>
      </c>
      <c r="Q38" s="1569" t="str">
        <f t="shared" si="11"/>
        <v>物业管理</v>
      </c>
      <c r="R38" s="1570" t="s">
        <v>11</v>
      </c>
      <c r="S38" s="1571">
        <f t="shared" si="12"/>
        <v>100</v>
      </c>
      <c r="T38" s="1570" t="s">
        <v>11</v>
      </c>
      <c r="U38" s="1571">
        <f t="shared" si="13"/>
        <v>100</v>
      </c>
      <c r="V38" s="1570" t="s">
        <v>11</v>
      </c>
      <c r="W38" s="1571">
        <f t="shared" si="14"/>
        <v>100</v>
      </c>
      <c r="X38" s="1564"/>
      <c r="Y38" s="3458" t="s">
        <v>548</v>
      </c>
      <c r="Z38" s="1572" t="str">
        <f t="shared" si="15"/>
        <v>物业管理</v>
      </c>
      <c r="AA38" s="1573">
        <f t="shared" si="3"/>
        <v>1</v>
      </c>
      <c r="AB38" s="1573">
        <f t="shared" si="4"/>
        <v>1</v>
      </c>
      <c r="AC38" s="1573">
        <f t="shared" si="5"/>
        <v>1</v>
      </c>
    </row>
    <row r="39" spans="1:29" ht="15">
      <c r="A39" s="591"/>
      <c r="B39" s="1892" t="s">
        <v>2563</v>
      </c>
      <c r="C39" s="596" t="s">
        <v>3325</v>
      </c>
      <c r="D39" s="537">
        <v>100</v>
      </c>
      <c r="E39" s="596" t="s">
        <v>3325</v>
      </c>
      <c r="F39" s="572">
        <f>SUMIF(116:116,E39,117:117)-SUMIF(116:116,C39,117:117)+100</f>
        <v>100</v>
      </c>
      <c r="G39" s="596" t="s">
        <v>3325</v>
      </c>
      <c r="H39" s="537">
        <f>SUMIF(116:116,G39,117:117)-SUMIF(116:116,C39,117:117)+100</f>
        <v>100</v>
      </c>
      <c r="I39" s="596" t="s">
        <v>3325</v>
      </c>
      <c r="J39" s="537">
        <f>SUMIF(116:116,I39,117:117)-SUMIF(116:116,C39,117:117)+100</f>
        <v>100</v>
      </c>
      <c r="K39" s="861">
        <v>1</v>
      </c>
      <c r="L39" s="2139"/>
      <c r="M39" s="2131"/>
      <c r="N39" s="2131"/>
      <c r="O39" s="2138"/>
      <c r="P39" s="3458"/>
      <c r="Q39" s="1569" t="str">
        <f t="shared" si="11"/>
        <v>市政基础设施</v>
      </c>
      <c r="R39" s="1570" t="s">
        <v>11</v>
      </c>
      <c r="S39" s="1571">
        <f t="shared" si="12"/>
        <v>100</v>
      </c>
      <c r="T39" s="1570" t="s">
        <v>11</v>
      </c>
      <c r="U39" s="1571">
        <f t="shared" si="13"/>
        <v>100</v>
      </c>
      <c r="V39" s="1570" t="s">
        <v>11</v>
      </c>
      <c r="W39" s="1571">
        <f t="shared" si="14"/>
        <v>100</v>
      </c>
      <c r="X39" s="1564"/>
      <c r="Y39" s="3458"/>
      <c r="Z39" s="1572" t="str">
        <f t="shared" si="15"/>
        <v>市政基础设施</v>
      </c>
      <c r="AA39" s="1573">
        <f t="shared" si="3"/>
        <v>1</v>
      </c>
      <c r="AB39" s="1573">
        <f t="shared" si="4"/>
        <v>1</v>
      </c>
      <c r="AC39" s="1573">
        <f t="shared" si="5"/>
        <v>1</v>
      </c>
    </row>
    <row r="40" spans="1:29" ht="15">
      <c r="A40" s="591"/>
      <c r="B40" s="525" t="s">
        <v>730</v>
      </c>
      <c r="C40" s="596" t="s">
        <v>3378</v>
      </c>
      <c r="D40" s="537">
        <v>100</v>
      </c>
      <c r="E40" s="596" t="s">
        <v>3378</v>
      </c>
      <c r="F40" s="572">
        <f>SUMIF(118:118,E40,119:119)-SUMIF(118:118,C40,119:119)+100</f>
        <v>100</v>
      </c>
      <c r="G40" s="596" t="s">
        <v>3378</v>
      </c>
      <c r="H40" s="537">
        <f>SUMIF(118:118,G40,119:119)-SUMIF(118:118,C40,119:119)+100</f>
        <v>100</v>
      </c>
      <c r="I40" s="596" t="s">
        <v>3378</v>
      </c>
      <c r="J40" s="537">
        <f>SUMIF(118:118,I40,119:119)-SUMIF(118:118,C40,119:119)+100</f>
        <v>100</v>
      </c>
      <c r="K40" s="861">
        <v>5</v>
      </c>
      <c r="L40" s="2139"/>
      <c r="M40" s="2131"/>
      <c r="N40" s="2131"/>
      <c r="O40" s="2138"/>
      <c r="P40" s="3458"/>
      <c r="Q40" s="1569" t="str">
        <f t="shared" si="11"/>
        <v>房型</v>
      </c>
      <c r="R40" s="1570" t="s">
        <v>11</v>
      </c>
      <c r="S40" s="1571">
        <f t="shared" si="12"/>
        <v>100</v>
      </c>
      <c r="T40" s="1570" t="s">
        <v>11</v>
      </c>
      <c r="U40" s="1571">
        <f t="shared" si="13"/>
        <v>100</v>
      </c>
      <c r="V40" s="1570" t="s">
        <v>11</v>
      </c>
      <c r="W40" s="1571">
        <f t="shared" si="14"/>
        <v>100</v>
      </c>
      <c r="X40" s="1564"/>
      <c r="Y40" s="3458"/>
      <c r="Z40" s="1572" t="str">
        <f t="shared" si="15"/>
        <v>房型</v>
      </c>
      <c r="AA40" s="1573">
        <f t="shared" si="3"/>
        <v>1</v>
      </c>
      <c r="AB40" s="1573">
        <f t="shared" si="4"/>
        <v>1</v>
      </c>
      <c r="AC40" s="1573">
        <f t="shared" si="5"/>
        <v>1</v>
      </c>
    </row>
    <row r="41" spans="1:29" s="1336" customFormat="1" ht="28.5" hidden="1">
      <c r="A41" s="600"/>
      <c r="B41" s="525" t="s">
        <v>731</v>
      </c>
      <c r="C41" s="877"/>
      <c r="D41" s="253">
        <v>100</v>
      </c>
      <c r="E41" s="877"/>
      <c r="F41" s="860">
        <f>SUMIF(120:120,E41,121:121)-SUMIF(120:120,C41,121:121)+100</f>
        <v>100</v>
      </c>
      <c r="G41" s="877"/>
      <c r="H41" s="253">
        <f>SUMIF(120:120,G41,121:121)-SUMIF(120:120,C41,121:121)+100</f>
        <v>100</v>
      </c>
      <c r="I41" s="877"/>
      <c r="J41" s="537">
        <f>SUMIF(120:120,I41,121:121)-SUMIF(120:120,C41,121:121)+100</f>
        <v>100</v>
      </c>
      <c r="K41" s="862"/>
      <c r="L41" s="2137"/>
      <c r="M41" s="2168"/>
      <c r="N41" s="2168"/>
      <c r="O41" s="2140"/>
      <c r="P41" s="3458"/>
      <c r="Q41" s="1602" t="str">
        <f t="shared" si="11"/>
        <v>单套/主力户型建筑面积</v>
      </c>
      <c r="R41" s="1574" t="s">
        <v>11</v>
      </c>
      <c r="S41" s="1575">
        <f t="shared" si="12"/>
        <v>100</v>
      </c>
      <c r="T41" s="1574" t="s">
        <v>11</v>
      </c>
      <c r="U41" s="1575">
        <f t="shared" si="13"/>
        <v>100</v>
      </c>
      <c r="V41" s="1574" t="s">
        <v>11</v>
      </c>
      <c r="W41" s="1575">
        <f t="shared" si="14"/>
        <v>100</v>
      </c>
      <c r="X41" s="1576"/>
      <c r="Y41" s="3458"/>
      <c r="Z41" s="1577" t="str">
        <f t="shared" si="15"/>
        <v>单套/主力户型建筑面积</v>
      </c>
      <c r="AA41" s="1573">
        <f t="shared" si="3"/>
        <v>1</v>
      </c>
      <c r="AB41" s="1573">
        <f t="shared" si="4"/>
        <v>1</v>
      </c>
      <c r="AC41" s="1573">
        <f t="shared" si="5"/>
        <v>1</v>
      </c>
    </row>
    <row r="42" spans="1:29" ht="15">
      <c r="A42" s="591"/>
      <c r="B42" s="525" t="s">
        <v>732</v>
      </c>
      <c r="C42" s="596" t="s">
        <v>3382</v>
      </c>
      <c r="D42" s="537">
        <v>100</v>
      </c>
      <c r="E42" s="596" t="s">
        <v>3382</v>
      </c>
      <c r="F42" s="572">
        <f>SUMIF(122:122,E42,123:123)-SUMIF(122:122,C42,123:123)+100</f>
        <v>100</v>
      </c>
      <c r="G42" s="596" t="s">
        <v>3376</v>
      </c>
      <c r="H42" s="537">
        <f>SUMIF(122:122,G42,123:123)-SUMIF(122:122,C42,123:123)+100</f>
        <v>91</v>
      </c>
      <c r="I42" s="596" t="s">
        <v>3382</v>
      </c>
      <c r="J42" s="537">
        <f>SUMIF(122:122,I42,123:123)-SUMIF(122:122,C42,123:123)+100</f>
        <v>100</v>
      </c>
      <c r="K42" s="861">
        <v>3</v>
      </c>
      <c r="L42" s="2139"/>
      <c r="M42" s="2131"/>
      <c r="N42" s="2131"/>
      <c r="O42" s="2138"/>
      <c r="P42" s="3458"/>
      <c r="Q42" s="1569" t="str">
        <f t="shared" si="11"/>
        <v>内部装修</v>
      </c>
      <c r="R42" s="1570" t="s">
        <v>11</v>
      </c>
      <c r="S42" s="1571">
        <f t="shared" si="12"/>
        <v>100</v>
      </c>
      <c r="T42" s="1570" t="s">
        <v>11</v>
      </c>
      <c r="U42" s="1571">
        <f t="shared" si="13"/>
        <v>91</v>
      </c>
      <c r="V42" s="1570" t="s">
        <v>11</v>
      </c>
      <c r="W42" s="1571">
        <f t="shared" si="14"/>
        <v>100</v>
      </c>
      <c r="X42" s="1564"/>
      <c r="Y42" s="3458"/>
      <c r="Z42" s="1572" t="str">
        <f t="shared" si="15"/>
        <v>内部装修</v>
      </c>
      <c r="AA42" s="1573">
        <f t="shared" si="3"/>
        <v>1</v>
      </c>
      <c r="AB42" s="1573">
        <f t="shared" si="4"/>
        <v>1.098901098901099</v>
      </c>
      <c r="AC42" s="1573">
        <f t="shared" si="5"/>
        <v>1</v>
      </c>
    </row>
    <row r="43" spans="1:29" ht="27.75" thickBot="1">
      <c r="A43" s="591"/>
      <c r="B43" s="525" t="s">
        <v>733</v>
      </c>
      <c r="C43" s="596" t="s">
        <v>3338</v>
      </c>
      <c r="D43" s="537">
        <v>100</v>
      </c>
      <c r="E43" s="596" t="s">
        <v>3338</v>
      </c>
      <c r="F43" s="572">
        <f>SUMIF(124:124,E43,125:125)-SUMIF(124:124,C43,125:125)+100</f>
        <v>100</v>
      </c>
      <c r="G43" s="596" t="s">
        <v>3338</v>
      </c>
      <c r="H43" s="537">
        <f>SUMIF(124:124,G43,125:125)-SUMIF(124:124,C43,125:125)+100</f>
        <v>100</v>
      </c>
      <c r="I43" s="596" t="s">
        <v>3338</v>
      </c>
      <c r="J43" s="537">
        <f>SUMIF(124:124,I43,125:125)-SUMIF(124:124,C43,125:125)+100</f>
        <v>100</v>
      </c>
      <c r="K43" s="861">
        <v>3</v>
      </c>
      <c r="L43" s="2139"/>
      <c r="M43" s="2131"/>
      <c r="N43" s="2131"/>
      <c r="O43" s="2138"/>
      <c r="P43" s="3458"/>
      <c r="Q43" s="1569" t="str">
        <f t="shared" si="11"/>
        <v>内部装修维护情况</v>
      </c>
      <c r="R43" s="1570" t="s">
        <v>11</v>
      </c>
      <c r="S43" s="1571">
        <f t="shared" si="12"/>
        <v>100</v>
      </c>
      <c r="T43" s="1570" t="s">
        <v>11</v>
      </c>
      <c r="U43" s="1571">
        <f t="shared" si="13"/>
        <v>100</v>
      </c>
      <c r="V43" s="1570" t="s">
        <v>11</v>
      </c>
      <c r="W43" s="1571">
        <f t="shared" si="14"/>
        <v>100</v>
      </c>
      <c r="X43" s="1564"/>
      <c r="Y43" s="3458"/>
      <c r="Z43" s="1572" t="str">
        <f t="shared" si="15"/>
        <v>内部装修维护情况</v>
      </c>
      <c r="AA43" s="1573">
        <f t="shared" si="3"/>
        <v>1</v>
      </c>
      <c r="AB43" s="1573">
        <f t="shared" si="4"/>
        <v>1</v>
      </c>
      <c r="AC43" s="1573">
        <f t="shared" si="5"/>
        <v>1</v>
      </c>
    </row>
    <row r="44" spans="1:29" s="1217" customFormat="1" ht="15" hidden="1">
      <c r="A44" s="597"/>
      <c r="B44" s="874">
        <v>111</v>
      </c>
      <c r="C44" s="877"/>
      <c r="D44" s="253">
        <v>100</v>
      </c>
      <c r="E44" s="877"/>
      <c r="F44" s="860">
        <f>SUMIF(126:126,E44,127:127)-SUMIF(126:126,C44,127:127)+100</f>
        <v>100</v>
      </c>
      <c r="G44" s="877"/>
      <c r="H44" s="253">
        <f>SUMIF(126:126,G44,127:127)-SUMIF(126:126,C44,127:127)+100</f>
        <v>100</v>
      </c>
      <c r="I44" s="877"/>
      <c r="J44" s="253">
        <f>SUMIF(126:126,I44,127:127)-SUMIF(126:126,C44,127:127)+100</f>
        <v>100</v>
      </c>
      <c r="K44" s="862"/>
      <c r="L44" s="2132"/>
      <c r="M44" s="2133"/>
      <c r="N44" s="2133"/>
      <c r="O44" s="2134"/>
      <c r="P44" s="3458"/>
      <c r="Q44" s="1148">
        <f t="shared" si="11"/>
        <v>111</v>
      </c>
      <c r="R44" s="1565" t="s">
        <v>11</v>
      </c>
      <c r="S44" s="1566">
        <f t="shared" si="12"/>
        <v>100</v>
      </c>
      <c r="T44" s="1565" t="s">
        <v>11</v>
      </c>
      <c r="U44" s="1566">
        <f t="shared" si="13"/>
        <v>100</v>
      </c>
      <c r="V44" s="1565" t="s">
        <v>11</v>
      </c>
      <c r="W44" s="1566">
        <f t="shared" si="14"/>
        <v>100</v>
      </c>
      <c r="X44" s="1567"/>
      <c r="Y44" s="3458"/>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458"/>
      <c r="Q45" s="1569">
        <f t="shared" si="11"/>
        <v>111</v>
      </c>
      <c r="R45" s="1570" t="s">
        <v>11</v>
      </c>
      <c r="S45" s="1571">
        <f t="shared" si="12"/>
        <v>100</v>
      </c>
      <c r="T45" s="1570" t="s">
        <v>11</v>
      </c>
      <c r="U45" s="1571">
        <f t="shared" si="13"/>
        <v>100</v>
      </c>
      <c r="V45" s="1570" t="s">
        <v>11</v>
      </c>
      <c r="W45" s="1571">
        <f t="shared" si="14"/>
        <v>100</v>
      </c>
      <c r="X45" s="1564"/>
      <c r="Y45" s="3458"/>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512"/>
      <c r="Q46" s="1569">
        <f t="shared" si="11"/>
        <v>111</v>
      </c>
      <c r="R46" s="1570" t="s">
        <v>10</v>
      </c>
      <c r="S46" s="1571">
        <f t="shared" si="12"/>
        <v>100</v>
      </c>
      <c r="T46" s="1570" t="s">
        <v>10</v>
      </c>
      <c r="U46" s="1571">
        <f t="shared" si="13"/>
        <v>100</v>
      </c>
      <c r="V46" s="1570" t="s">
        <v>10</v>
      </c>
      <c r="W46" s="1571">
        <f t="shared" si="14"/>
        <v>100</v>
      </c>
      <c r="X46" s="1564"/>
      <c r="Y46" s="3512"/>
      <c r="Z46" s="1572">
        <f t="shared" si="15"/>
        <v>111</v>
      </c>
      <c r="AA46" s="1573">
        <f t="shared" si="3"/>
        <v>1</v>
      </c>
      <c r="AB46" s="1573">
        <f t="shared" si="4"/>
        <v>1</v>
      </c>
      <c r="AC46" s="1573">
        <f t="shared" si="5"/>
        <v>1</v>
      </c>
    </row>
    <row r="47" spans="1:29" ht="15">
      <c r="A47" s="604" t="s">
        <v>734</v>
      </c>
      <c r="B47" s="884"/>
      <c r="C47" s="2647" t="s">
        <v>9</v>
      </c>
      <c r="D47" s="2648"/>
      <c r="E47" s="2649">
        <v>10500</v>
      </c>
      <c r="F47" s="2650"/>
      <c r="G47" s="2649">
        <f>ROUND(12000*0.98,0)</f>
        <v>11760</v>
      </c>
      <c r="H47" s="2652"/>
      <c r="I47" s="2649">
        <v>11000</v>
      </c>
      <c r="J47" s="2652"/>
      <c r="K47" s="1603"/>
      <c r="L47" s="2141"/>
      <c r="M47" s="2142"/>
      <c r="N47" s="2131"/>
      <c r="O47" s="2142"/>
      <c r="P47" s="3421" t="str">
        <f>A47</f>
        <v>成交单价（元/平方米）</v>
      </c>
      <c r="Q47" s="3421"/>
      <c r="R47" s="3511">
        <f>E47</f>
        <v>10500</v>
      </c>
      <c r="S47" s="3511"/>
      <c r="T47" s="3511">
        <f>G47</f>
        <v>11760</v>
      </c>
      <c r="U47" s="3511"/>
      <c r="V47" s="3511">
        <f>I47</f>
        <v>11000</v>
      </c>
      <c r="W47" s="3511"/>
      <c r="X47" s="1556"/>
      <c r="Y47" s="1578"/>
      <c r="Z47" s="1556"/>
      <c r="AA47" s="1556"/>
      <c r="AB47" s="1556"/>
      <c r="AC47" s="1556"/>
    </row>
    <row r="48" spans="1:29" ht="15.75" thickBot="1">
      <c r="A48" s="612" t="s">
        <v>2761</v>
      </c>
      <c r="B48" s="885"/>
      <c r="C48" s="2653">
        <f>R49</f>
        <v>10556</v>
      </c>
      <c r="D48" s="2654"/>
      <c r="E48" s="2655">
        <f>R48</f>
        <v>10294</v>
      </c>
      <c r="F48" s="2655"/>
      <c r="G48" s="2653">
        <f>T48</f>
        <v>10589</v>
      </c>
      <c r="H48" s="2654"/>
      <c r="I48" s="2655">
        <f>V48</f>
        <v>10785</v>
      </c>
      <c r="J48" s="2654"/>
      <c r="K48" s="1604"/>
      <c r="L48" s="2141"/>
      <c r="M48" s="2142"/>
      <c r="N48" s="2142"/>
      <c r="O48" s="2142"/>
      <c r="P48" s="3421" t="str">
        <f>A48</f>
        <v>比较价格（元/平方米）</v>
      </c>
      <c r="Q48" s="3421"/>
      <c r="R48" s="3511">
        <f>IF(F1="售价",ROUND(PRODUCT(R47,AA7:AA46),0),ROUND(PRODUCT(R47,AA7:AA46),1))</f>
        <v>10294</v>
      </c>
      <c r="S48" s="3511"/>
      <c r="T48" s="3511">
        <f>IF(F1="售价",ROUND(PRODUCT(T47,AB7:AB46),0),ROUND(PRODUCT(T47,AB7:AB46),1))</f>
        <v>10589</v>
      </c>
      <c r="U48" s="3511"/>
      <c r="V48" s="3511">
        <f>IF(F1="售价",ROUND(PRODUCT(V47,AC7:AC46),0),ROUND(PRODUCT(V47,AC7:AC46),1))</f>
        <v>10785</v>
      </c>
      <c r="W48" s="3511"/>
      <c r="X48" s="1556"/>
      <c r="Y48" s="1556"/>
      <c r="Z48" s="1556"/>
      <c r="AA48" s="1556"/>
      <c r="AB48" s="1556"/>
      <c r="AC48" s="1556"/>
    </row>
    <row r="49" spans="1:29" ht="15.75" thickBot="1">
      <c r="A49" s="618" t="s">
        <v>2937</v>
      </c>
      <c r="B49" s="619"/>
      <c r="C49" s="2656">
        <f>R49</f>
        <v>10556</v>
      </c>
      <c r="D49" s="2656"/>
      <c r="E49" s="2656"/>
      <c r="F49" s="2656"/>
      <c r="G49" s="2656"/>
      <c r="H49" s="2656"/>
      <c r="I49" s="2656"/>
      <c r="J49" s="2656"/>
      <c r="K49" s="1605"/>
      <c r="L49" s="2141"/>
      <c r="M49" s="2142"/>
      <c r="N49" s="2142"/>
      <c r="O49" s="2142"/>
      <c r="P49" s="3418" t="str">
        <f>A49</f>
        <v>估价对象XX用房的比较价格（楼面单价，元/平方米）</v>
      </c>
      <c r="Q49" s="3419"/>
      <c r="R49" s="3510">
        <f>IF(F1="售价",ROUND(AVERAGE(R48:V48),0),ROUND(AVERAGE(R48:V48),1))</f>
        <v>10556</v>
      </c>
      <c r="S49" s="3510"/>
      <c r="T49" s="3510"/>
      <c r="U49" s="3510"/>
      <c r="V49" s="3510"/>
      <c r="W49" s="351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555</v>
      </c>
      <c r="D52" s="622"/>
      <c r="E52" s="623">
        <f>IF(E47&lt;E48,E48/E47-1,E47/E48-1)</f>
        <v>2.0011657276083117E-2</v>
      </c>
      <c r="F52" s="624" t="str">
        <f>IF(OR(E52&gt;=0.3,E52&lt;=-0.3),"超过30%","")</f>
        <v/>
      </c>
      <c r="G52" s="623">
        <f>IF(G47&lt;G48,G48/G47-1,G47/G48-1)</f>
        <v>0.11058645764472574</v>
      </c>
      <c r="H52" s="624" t="str">
        <f>IF(OR(G52&gt;=0.3,G52&lt;=-0.3),"超过30%","")</f>
        <v/>
      </c>
      <c r="I52" s="623">
        <f>IF(I47&lt;I48,I48/I47-1,I47/I48-1)</f>
        <v>1.9935095039406603E-2</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556</v>
      </c>
      <c r="D53" s="625"/>
      <c r="E53" s="623">
        <f>IF(E48&lt;G48,G48/E48-1,E48/G48-1)</f>
        <v>2.865747037109001E-2</v>
      </c>
      <c r="F53" s="624" t="str">
        <f>IF(OR(E53&gt;=0.2,E53&lt;=-0.2),"超过20%","")</f>
        <v/>
      </c>
      <c r="G53" s="623">
        <f>IF(G48&lt;I48,I48/G48-1,G48/I48-1)</f>
        <v>1.850977429407874E-2</v>
      </c>
      <c r="H53" s="624" t="str">
        <f>IF(OR(G53&gt;=0.2,G53&lt;=-0.2),"超过20%","")</f>
        <v/>
      </c>
      <c r="I53" s="623">
        <f>IF(I48&lt;E48,E48/I48-1,I48/E48-1)</f>
        <v>4.7697687973576874E-2</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557</v>
      </c>
      <c r="D54" s="625"/>
      <c r="E54" s="623">
        <f>IF(E47&lt;G47,G47/E47-1,E47/G47-1)</f>
        <v>0.12000000000000011</v>
      </c>
      <c r="F54" s="624" t="str">
        <f>IF(OR(E54&gt;=0.3,E54&lt;=-0.3),"超过30%","")</f>
        <v/>
      </c>
      <c r="G54" s="623">
        <f>IF(G47&lt;I47,I47/G47-1,G47/I47-1)</f>
        <v>6.9090909090909092E-2</v>
      </c>
      <c r="H54" s="624" t="str">
        <f>IF(OR(G54&gt;=0.3,G54&lt;=-0.3),"超过30%","")</f>
        <v/>
      </c>
      <c r="I54" s="623">
        <f>IF(I47&lt;E47,E47/I47-1,I47/E47-1)</f>
        <v>4.7619047619047672E-2</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572</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4" customFormat="1" ht="15">
      <c r="A58" s="642" t="s">
        <v>527</v>
      </c>
      <c r="B58" s="643"/>
      <c r="C58" s="2826" t="str">
        <f>YEAR(C7)&amp;"-"&amp;MONTH(C7)</f>
        <v>2018-1</v>
      </c>
      <c r="D58" s="2826">
        <f>EDATE(C58,-1)</f>
        <v>43070</v>
      </c>
      <c r="E58" s="2826">
        <f t="shared" ref="E58:O58" si="16">EDATE(D58,-1)</f>
        <v>43040</v>
      </c>
      <c r="F58" s="2826">
        <f t="shared" si="16"/>
        <v>43009</v>
      </c>
      <c r="G58" s="2826">
        <f t="shared" si="16"/>
        <v>42979</v>
      </c>
      <c r="H58" s="2826">
        <f t="shared" si="16"/>
        <v>42948</v>
      </c>
      <c r="I58" s="2826">
        <f t="shared" si="16"/>
        <v>42917</v>
      </c>
      <c r="J58" s="2826">
        <f t="shared" si="16"/>
        <v>42887</v>
      </c>
      <c r="K58" s="2826">
        <f t="shared" si="16"/>
        <v>42856</v>
      </c>
      <c r="L58" s="2826">
        <f t="shared" si="16"/>
        <v>42826</v>
      </c>
      <c r="M58" s="2826">
        <f t="shared" si="16"/>
        <v>42795</v>
      </c>
      <c r="N58" s="2826">
        <f t="shared" si="16"/>
        <v>42767</v>
      </c>
      <c r="O58" s="2826">
        <f t="shared" si="16"/>
        <v>42736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v>100</v>
      </c>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573</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529</v>
      </c>
      <c r="B61" s="645"/>
      <c r="C61" s="657" t="s">
        <v>574</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575</v>
      </c>
      <c r="B63" s="662" t="s">
        <v>532</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536</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0</v>
      </c>
      <c r="D68" s="538">
        <v>1</v>
      </c>
      <c r="E68" s="538">
        <v>2</v>
      </c>
      <c r="F68" s="538">
        <v>3</v>
      </c>
      <c r="G68" s="538">
        <v>4</v>
      </c>
      <c r="H68" s="538">
        <v>5</v>
      </c>
      <c r="I68" s="538">
        <v>6</v>
      </c>
      <c r="J68" s="538">
        <v>7</v>
      </c>
      <c r="K68" s="538">
        <v>8</v>
      </c>
      <c r="L68" s="538">
        <v>9</v>
      </c>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537</v>
      </c>
      <c r="B76" s="662" t="s">
        <v>576</v>
      </c>
      <c r="C76" s="700" t="s">
        <v>577</v>
      </c>
      <c r="D76" s="700" t="s">
        <v>578</v>
      </c>
      <c r="E76" s="700" t="s">
        <v>579</v>
      </c>
      <c r="F76" s="700" t="s">
        <v>580</v>
      </c>
      <c r="G76" s="700" t="s">
        <v>581</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98</v>
      </c>
      <c r="E77" s="676">
        <f>D77-$K15</f>
        <v>96</v>
      </c>
      <c r="F77" s="676">
        <f>E77-$K15</f>
        <v>94</v>
      </c>
      <c r="G77" s="676">
        <f>F77-$K15</f>
        <v>92</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584</v>
      </c>
      <c r="C78" s="705" t="s">
        <v>577</v>
      </c>
      <c r="D78" s="705" t="s">
        <v>578</v>
      </c>
      <c r="E78" s="705" t="s">
        <v>579</v>
      </c>
      <c r="F78" s="705" t="s">
        <v>580</v>
      </c>
      <c r="G78" s="705" t="s">
        <v>581</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98</v>
      </c>
      <c r="E79" s="676">
        <f>D79-$K17</f>
        <v>96</v>
      </c>
      <c r="F79" s="676">
        <f>E79-$K17</f>
        <v>94</v>
      </c>
      <c r="G79" s="676">
        <f>F79-$K17</f>
        <v>92</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2556</v>
      </c>
      <c r="C80" s="705" t="s">
        <v>577</v>
      </c>
      <c r="D80" s="705" t="s">
        <v>578</v>
      </c>
      <c r="E80" s="705" t="s">
        <v>579</v>
      </c>
      <c r="F80" s="705" t="s">
        <v>580</v>
      </c>
      <c r="G80" s="705" t="s">
        <v>581</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98</v>
      </c>
      <c r="E81" s="676">
        <f>D81-$K19</f>
        <v>96</v>
      </c>
      <c r="F81" s="676">
        <f>E81-$K19</f>
        <v>94</v>
      </c>
      <c r="G81" s="676">
        <f>F81-$K19</f>
        <v>92</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7" t="s">
        <v>2557</v>
      </c>
      <c r="C82" s="2618" t="s">
        <v>2558</v>
      </c>
      <c r="D82" s="2618" t="s">
        <v>2559</v>
      </c>
      <c r="E82" s="2618" t="s">
        <v>2560</v>
      </c>
      <c r="F82" s="2618" t="s">
        <v>2561</v>
      </c>
      <c r="G82" s="2618" t="s">
        <v>2562</v>
      </c>
      <c r="H82" s="671"/>
      <c r="I82" s="671"/>
      <c r="J82" s="671"/>
      <c r="K82" s="671"/>
      <c r="L82" s="671"/>
      <c r="M82" s="2621"/>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99</v>
      </c>
      <c r="E83" s="676">
        <f>D83-$K21</f>
        <v>98</v>
      </c>
      <c r="F83" s="676">
        <f>E83-$K21</f>
        <v>97</v>
      </c>
      <c r="G83" s="676">
        <f>F83-$K21</f>
        <v>96</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742</v>
      </c>
      <c r="C84" s="705" t="s">
        <v>577</v>
      </c>
      <c r="D84" s="705" t="s">
        <v>578</v>
      </c>
      <c r="E84" s="705" t="s">
        <v>579</v>
      </c>
      <c r="F84" s="705" t="s">
        <v>580</v>
      </c>
      <c r="G84" s="705" t="s">
        <v>581</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98</v>
      </c>
      <c r="E85" s="676">
        <f>D85-$K23</f>
        <v>96</v>
      </c>
      <c r="F85" s="676">
        <f>E85-$K23</f>
        <v>94</v>
      </c>
      <c r="G85" s="676">
        <f>F85-$K23</f>
        <v>92</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2255</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744</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3169" t="s">
        <v>3505</v>
      </c>
      <c r="D90" s="3169" t="s">
        <v>3506</v>
      </c>
      <c r="E90" s="3169" t="s">
        <v>3507</v>
      </c>
      <c r="F90" s="3169" t="s">
        <v>3508</v>
      </c>
      <c r="G90" s="3169" t="s">
        <v>3509</v>
      </c>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v>100</v>
      </c>
      <c r="D91" s="689">
        <v>99</v>
      </c>
      <c r="E91" s="689">
        <v>98</v>
      </c>
      <c r="F91" s="689">
        <v>97</v>
      </c>
      <c r="G91" s="689">
        <v>96</v>
      </c>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549</v>
      </c>
      <c r="B100" s="662" t="s">
        <v>745</v>
      </c>
      <c r="C100" s="3178" t="s">
        <v>3358</v>
      </c>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6"/>
      <c r="B102" s="670" t="s">
        <v>746</v>
      </c>
      <c r="C102" s="705" t="str">
        <f>C103&amp;"(含)"&amp;"-"&amp;D103</f>
        <v>0(含)-500000</v>
      </c>
      <c r="D102" s="705" t="str">
        <f t="shared" ref="D102:L102" si="23">D103&amp;"(含)"&amp;"-"&amp;E103</f>
        <v>500000(含)-1000000</v>
      </c>
      <c r="E102" s="705" t="str">
        <f t="shared" si="23"/>
        <v>1000000(含)-1500000</v>
      </c>
      <c r="F102" s="705" t="str">
        <f t="shared" si="23"/>
        <v>1500000(含)-2000000</v>
      </c>
      <c r="G102" s="705" t="str">
        <f t="shared" si="23"/>
        <v>2000000(含)-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v>500000</v>
      </c>
      <c r="E103" s="727">
        <v>1000000</v>
      </c>
      <c r="F103" s="727">
        <v>1500000</v>
      </c>
      <c r="G103" s="727">
        <v>2000000</v>
      </c>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v>100</v>
      </c>
      <c r="D104" s="668">
        <v>101</v>
      </c>
      <c r="E104" s="689">
        <v>102</v>
      </c>
      <c r="F104" s="668">
        <v>103</v>
      </c>
      <c r="G104" s="689">
        <v>104</v>
      </c>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747</v>
      </c>
      <c r="C105" s="3179" t="s">
        <v>3359</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97</v>
      </c>
      <c r="E106" s="676">
        <f t="shared" si="24"/>
        <v>94</v>
      </c>
      <c r="F106" s="676">
        <f t="shared" si="24"/>
        <v>91</v>
      </c>
      <c r="G106" s="676">
        <f t="shared" si="24"/>
        <v>88</v>
      </c>
      <c r="H106" s="676">
        <f t="shared" si="24"/>
        <v>85</v>
      </c>
      <c r="I106" s="676">
        <f t="shared" si="24"/>
        <v>82</v>
      </c>
      <c r="J106" s="676">
        <f t="shared" si="24"/>
        <v>79</v>
      </c>
      <c r="K106" s="676">
        <f t="shared" si="24"/>
        <v>76</v>
      </c>
      <c r="L106" s="676">
        <f t="shared" si="24"/>
        <v>73</v>
      </c>
      <c r="M106" s="676">
        <f t="shared" si="24"/>
        <v>70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748</v>
      </c>
      <c r="C107" s="3180" t="s">
        <v>3360</v>
      </c>
      <c r="D107" s="3180" t="s">
        <v>3361</v>
      </c>
      <c r="E107" s="3180" t="s">
        <v>3362</v>
      </c>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85</v>
      </c>
      <c r="E108" s="676">
        <f t="shared" si="25"/>
        <v>70</v>
      </c>
      <c r="F108" s="676">
        <f t="shared" si="25"/>
        <v>55</v>
      </c>
      <c r="G108" s="676">
        <f t="shared" si="25"/>
        <v>40</v>
      </c>
      <c r="H108" s="676">
        <f t="shared" si="25"/>
        <v>25</v>
      </c>
      <c r="I108" s="676">
        <f t="shared" si="25"/>
        <v>10</v>
      </c>
      <c r="J108" s="676">
        <f t="shared" si="25"/>
        <v>-5</v>
      </c>
      <c r="K108" s="676">
        <f t="shared" si="25"/>
        <v>-20</v>
      </c>
      <c r="L108" s="676">
        <f t="shared" si="25"/>
        <v>-35</v>
      </c>
      <c r="M108" s="676">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749</v>
      </c>
      <c r="C109" s="3179" t="s">
        <v>3363</v>
      </c>
      <c r="D109" s="3179" t="s">
        <v>3364</v>
      </c>
      <c r="E109" s="3179" t="s">
        <v>3365</v>
      </c>
      <c r="F109" s="3180" t="s">
        <v>3366</v>
      </c>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750</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751</v>
      </c>
      <c r="C114" s="3179" t="s">
        <v>3367</v>
      </c>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2555</v>
      </c>
      <c r="C116" s="685" t="s">
        <v>3368</v>
      </c>
      <c r="D116" s="685" t="s">
        <v>3325</v>
      </c>
      <c r="E116" s="685" t="s">
        <v>3351</v>
      </c>
      <c r="F116" s="685" t="s">
        <v>3369</v>
      </c>
      <c r="G116" s="685" t="s">
        <v>3370</v>
      </c>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752</v>
      </c>
      <c r="C118" s="3180" t="s">
        <v>3371</v>
      </c>
      <c r="D118" s="3180" t="s">
        <v>3372</v>
      </c>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731</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753</v>
      </c>
      <c r="C122" s="3179" t="s">
        <v>3363</v>
      </c>
      <c r="D122" s="3179" t="s">
        <v>3364</v>
      </c>
      <c r="E122" s="3179" t="s">
        <v>3365</v>
      </c>
      <c r="F122" s="3180" t="s">
        <v>3366</v>
      </c>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97</v>
      </c>
      <c r="E125" s="676">
        <f>D125-$K43</f>
        <v>94</v>
      </c>
      <c r="F125" s="676">
        <f>E125-$K43</f>
        <v>91</v>
      </c>
      <c r="G125" s="676">
        <f>F125-$K43</f>
        <v>88</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2256</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2257</v>
      </c>
      <c r="C137" s="1916"/>
      <c r="D137" s="1916"/>
      <c r="E137" s="1916"/>
      <c r="F137" s="1916"/>
      <c r="G137" s="1917"/>
      <c r="H137" s="1918"/>
      <c r="I137" s="1919" t="s">
        <v>2258</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2259</v>
      </c>
      <c r="D138" s="1922" t="s">
        <v>2260</v>
      </c>
      <c r="E138" s="1923" t="s">
        <v>2261</v>
      </c>
      <c r="F138" s="1924" t="s">
        <v>2262</v>
      </c>
      <c r="G138" s="1922" t="s">
        <v>2263</v>
      </c>
      <c r="H138" s="1925" t="s">
        <v>2264</v>
      </c>
      <c r="I138" s="1926"/>
      <c r="J138" s="1922" t="s">
        <v>2265</v>
      </c>
      <c r="K138" s="1925" t="s">
        <v>2266</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2267</v>
      </c>
      <c r="E139" s="1896">
        <v>100</v>
      </c>
      <c r="F139" s="1897">
        <v>102.5</v>
      </c>
      <c r="G139" s="1927" t="s">
        <v>2268</v>
      </c>
      <c r="H139" s="1898">
        <v>105</v>
      </c>
      <c r="I139" s="1928" t="s">
        <v>2269</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2270</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2271</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2272</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2273</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2274</v>
      </c>
      <c r="E144" s="1902">
        <v>102</v>
      </c>
      <c r="F144" s="1908">
        <v>100</v>
      </c>
      <c r="G144" s="1931" t="s">
        <v>2274</v>
      </c>
      <c r="H144" s="1904">
        <v>105</v>
      </c>
      <c r="I144" s="1930" t="s">
        <v>2273</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2275</v>
      </c>
      <c r="C145" s="1909">
        <f>ROUND(MAX(C139:C144)/MIN(C139:C144)-1,3)</f>
        <v>7.2999999999999995E-2</v>
      </c>
      <c r="D145" s="1933"/>
      <c r="E145" s="1933"/>
      <c r="F145" s="1934" t="s">
        <v>2276</v>
      </c>
      <c r="G145" s="1935"/>
      <c r="H145" s="1936"/>
      <c r="I145" s="1937" t="s">
        <v>2273</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2285</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2286</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9" sqref="B2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1721</v>
      </c>
      <c r="B1" s="735"/>
      <c r="C1" s="770" t="s">
        <v>2976</v>
      </c>
      <c r="D1" s="3154" t="s">
        <v>3396</v>
      </c>
      <c r="E1" s="2407" t="s">
        <v>2373</v>
      </c>
      <c r="F1" s="2408">
        <f ca="1">J53</f>
        <v>32.31</v>
      </c>
      <c r="G1" s="771">
        <f>MATCH(C1,'数据-取费表'!A6:A16,0)+5</f>
        <v>7</v>
      </c>
      <c r="H1" s="2047"/>
      <c r="I1" s="2048"/>
      <c r="J1" s="2048"/>
      <c r="K1" s="2049"/>
      <c r="L1" s="2048"/>
      <c r="M1" s="2048"/>
      <c r="N1" s="2050"/>
      <c r="O1" s="2050"/>
      <c r="P1" s="2050"/>
      <c r="Q1" s="2412"/>
      <c r="R1" s="2050"/>
      <c r="S1" s="2050"/>
      <c r="T1" s="2050"/>
      <c r="U1" s="2050"/>
      <c r="V1" s="2050"/>
      <c r="W1" s="2050"/>
      <c r="X1" s="2050"/>
      <c r="Y1" s="2050"/>
      <c r="Z1" s="2050"/>
      <c r="AA1" s="2050"/>
      <c r="AB1" s="2050"/>
      <c r="AC1" s="2050"/>
      <c r="AD1" s="2050"/>
      <c r="AE1" s="2050"/>
      <c r="AF1" s="2050"/>
      <c r="AG1" s="2050"/>
    </row>
    <row r="2" spans="1:33" ht="18" customHeight="1">
      <c r="A2" s="421" t="s">
        <v>1722</v>
      </c>
      <c r="B2" s="772">
        <f ca="1">C40+J29+L46</f>
        <v>12208</v>
      </c>
      <c r="C2" s="2054"/>
      <c r="D2" s="2052"/>
      <c r="E2" s="2053"/>
      <c r="F2" s="2053"/>
      <c r="G2" s="1587"/>
      <c r="H2" s="2054"/>
      <c r="I2" s="2054"/>
      <c r="J2" s="2054"/>
      <c r="K2" s="2055"/>
      <c r="L2" s="2054"/>
      <c r="M2" s="2054"/>
    </row>
    <row r="3" spans="1:33" ht="18" customHeight="1" thickBot="1">
      <c r="A3" s="830" t="s">
        <v>1723</v>
      </c>
      <c r="B3" s="831">
        <f ca="1">IF(ISERROR(B2*10000/F43),0,ROUND(B2*10000/F43,0))</f>
        <v>15900</v>
      </c>
      <c r="C3" s="2054"/>
      <c r="D3" s="2052"/>
      <c r="E3" s="2053"/>
      <c r="F3" s="2053"/>
      <c r="G3" s="1587"/>
      <c r="H3" s="773" t="s">
        <v>693</v>
      </c>
      <c r="I3" s="1360"/>
      <c r="J3" s="1360"/>
      <c r="K3" s="1588"/>
      <c r="L3" s="1360"/>
      <c r="M3" s="1360"/>
    </row>
    <row r="4" spans="1:33" ht="18" customHeight="1">
      <c r="A4" s="774" t="s">
        <v>1724</v>
      </c>
      <c r="B4" s="775" t="s">
        <v>1725</v>
      </c>
      <c r="C4" s="775" t="s">
        <v>1726</v>
      </c>
      <c r="D4" s="775" t="s">
        <v>631</v>
      </c>
      <c r="E4" s="776" t="s">
        <v>1727</v>
      </c>
      <c r="F4" s="777"/>
      <c r="G4" s="1589"/>
      <c r="H4" s="774" t="s">
        <v>1728</v>
      </c>
      <c r="I4" s="775" t="s">
        <v>1729</v>
      </c>
      <c r="J4" s="775" t="s">
        <v>1730</v>
      </c>
      <c r="K4" s="775" t="s">
        <v>1731</v>
      </c>
      <c r="L4" s="776" t="s">
        <v>1732</v>
      </c>
      <c r="M4" s="777"/>
    </row>
    <row r="5" spans="1:33" ht="18" customHeight="1">
      <c r="A5" s="778">
        <v>1</v>
      </c>
      <c r="B5" s="779" t="s">
        <v>2456</v>
      </c>
      <c r="C5" s="54">
        <f ca="1">C6+C10+C12</f>
        <v>759</v>
      </c>
      <c r="D5" s="2516" t="s">
        <v>2459</v>
      </c>
      <c r="E5" s="2510"/>
      <c r="F5" s="2511"/>
      <c r="G5" s="1589"/>
      <c r="H5" s="778">
        <v>1</v>
      </c>
      <c r="I5" s="779" t="s">
        <v>2456</v>
      </c>
      <c r="J5" s="54">
        <f ca="1">J6+J10+J12</f>
        <v>0</v>
      </c>
      <c r="K5" s="2516" t="s">
        <v>2459</v>
      </c>
      <c r="L5" s="2510"/>
      <c r="M5" s="2511"/>
    </row>
    <row r="6" spans="1:33" ht="18" customHeight="1">
      <c r="A6" s="1828" t="s">
        <v>1820</v>
      </c>
      <c r="B6" s="3494" t="s">
        <v>2461</v>
      </c>
      <c r="C6" s="780">
        <f ca="1">ROUND(F6*F8*F7*(1-F9)/10000,0)</f>
        <v>757</v>
      </c>
      <c r="D6" s="2517" t="s">
        <v>2460</v>
      </c>
      <c r="E6" s="781" t="s">
        <v>1734</v>
      </c>
      <c r="F6" s="782">
        <f ca="1">INDIRECT("'数据-取费表'!u"&amp;$G$1)</f>
        <v>3</v>
      </c>
      <c r="G6" s="1589"/>
      <c r="H6" s="2524" t="s">
        <v>2467</v>
      </c>
      <c r="I6" s="3494" t="s">
        <v>2461</v>
      </c>
      <c r="J6" s="780">
        <f ca="1">ROUND(M6*M8*M7*(1-M9)/10000,0)</f>
        <v>0</v>
      </c>
      <c r="K6" s="339" t="s">
        <v>1733</v>
      </c>
      <c r="L6" s="781" t="s">
        <v>1734</v>
      </c>
      <c r="M6" s="782">
        <f ca="1">INDIRECT("'数据-取费表'!z"&amp;$G$1)</f>
        <v>0</v>
      </c>
    </row>
    <row r="7" spans="1:33" ht="18" customHeight="1">
      <c r="A7" s="2520"/>
      <c r="B7" s="3495"/>
      <c r="C7" s="785"/>
      <c r="D7" s="786"/>
      <c r="E7" s="781" t="s">
        <v>1735</v>
      </c>
      <c r="F7" s="782">
        <f ca="1">IF(INDIRECT("'数据-取费表'!ah"&amp;$G$1)="",INDIRECT("'数据-取费表'!k"&amp;$G$1),INDIRECT("'数据-取费表'!ah"&amp;$G$1))</f>
        <v>7678.2</v>
      </c>
      <c r="G7" s="1589"/>
      <c r="H7" s="2509"/>
      <c r="I7" s="3495"/>
      <c r="J7" s="785"/>
      <c r="K7" s="786"/>
      <c r="L7" s="781" t="s">
        <v>1735</v>
      </c>
      <c r="M7" s="782">
        <f ca="1">F7</f>
        <v>7678.2</v>
      </c>
    </row>
    <row r="8" spans="1:33" ht="18" customHeight="1">
      <c r="A8" s="2513"/>
      <c r="B8" s="3496"/>
      <c r="C8" s="785"/>
      <c r="D8" s="786"/>
      <c r="E8" s="781" t="s">
        <v>1736</v>
      </c>
      <c r="F8" s="782">
        <f ca="1">INDIRECT("'数据-取费表'!ai"&amp;$G$1)</f>
        <v>365</v>
      </c>
      <c r="G8" s="1589"/>
      <c r="H8" s="2509"/>
      <c r="I8" s="3496"/>
      <c r="J8" s="785"/>
      <c r="K8" s="786"/>
      <c r="L8" s="781" t="s">
        <v>1736</v>
      </c>
      <c r="M8" s="782">
        <f ca="1">INDIRECT("'数据-取费表'!ai"&amp;$G$1)</f>
        <v>365</v>
      </c>
    </row>
    <row r="9" spans="1:33" ht="18" customHeight="1">
      <c r="A9" s="783"/>
      <c r="B9" s="3497"/>
      <c r="C9" s="785"/>
      <c r="D9" s="786"/>
      <c r="E9" s="781" t="s">
        <v>1737</v>
      </c>
      <c r="F9" s="791">
        <f ca="1">INDIRECT("'数据-取费表'!w"&amp;$G$1)</f>
        <v>0.1</v>
      </c>
      <c r="G9" s="1589"/>
      <c r="H9" s="2525"/>
      <c r="I9" s="3496"/>
      <c r="J9" s="785"/>
      <c r="K9" s="786"/>
      <c r="L9" s="792" t="s">
        <v>1737</v>
      </c>
      <c r="M9" s="793">
        <f ca="1">INDIRECT("'数据-取费表'!ab"&amp;$G$1)</f>
        <v>0</v>
      </c>
    </row>
    <row r="10" spans="1:33" ht="18" customHeight="1">
      <c r="A10" s="1828" t="s">
        <v>2465</v>
      </c>
      <c r="B10" s="2514" t="s">
        <v>2457</v>
      </c>
      <c r="C10" s="796">
        <f ca="1">ROUND(IF(F10="押一",F6*F8*F7/12*F11,IF(F10="押二",F6*F8*F7/12*2*F11,IF(F10="押三",F6*F8*F7/12*3*F11,C11*F11)))/10000,0)</f>
        <v>2</v>
      </c>
      <c r="D10" s="2521" t="s">
        <v>2464</v>
      </c>
      <c r="E10" s="2518" t="s">
        <v>2462</v>
      </c>
      <c r="F10" s="2641" t="s">
        <v>3544</v>
      </c>
      <c r="G10" s="1589"/>
      <c r="H10" s="2581" t="s">
        <v>2468</v>
      </c>
      <c r="I10" s="2586" t="s">
        <v>2457</v>
      </c>
      <c r="J10" s="780">
        <f ca="1">ROUND(IF(M10="押一",M6*M8*M7/12*M11,IF(M10="押二",M6*M8*M7/12*2*M11,IF(M10="押三",M6*M8*M7/12*3*M11,J11*M11)))/10000,0)</f>
        <v>0</v>
      </c>
      <c r="K10" s="2521" t="s">
        <v>2464</v>
      </c>
      <c r="L10" s="2518" t="s">
        <v>2462</v>
      </c>
      <c r="M10" s="2641"/>
    </row>
    <row r="11" spans="1:33" ht="18" customHeight="1">
      <c r="A11" s="787"/>
      <c r="B11" s="2515" t="s">
        <v>2572</v>
      </c>
      <c r="C11" s="2519"/>
      <c r="D11" s="786"/>
      <c r="E11" s="2518" t="s">
        <v>2463</v>
      </c>
      <c r="F11" s="793">
        <f ca="1">'数据-取费表'!B39</f>
        <v>1.4999999999999999E-2</v>
      </c>
      <c r="G11" s="1589"/>
      <c r="H11" s="2582"/>
      <c r="I11" s="2515" t="s">
        <v>2572</v>
      </c>
      <c r="J11" s="2519"/>
      <c r="K11" s="2583"/>
      <c r="L11" s="2518" t="s">
        <v>2463</v>
      </c>
      <c r="M11" s="2512">
        <f ca="1">'数据-取费表'!B39</f>
        <v>1.4999999999999999E-2</v>
      </c>
    </row>
    <row r="12" spans="1:33" ht="18" customHeight="1" thickBot="1">
      <c r="A12" s="2557" t="s">
        <v>2466</v>
      </c>
      <c r="B12" s="2558" t="s">
        <v>2458</v>
      </c>
      <c r="C12" s="2559"/>
      <c r="D12" s="2560"/>
      <c r="E12" s="2561"/>
      <c r="F12" s="2562"/>
      <c r="G12" s="1589"/>
      <c r="H12" s="2571" t="s">
        <v>2469</v>
      </c>
      <c r="I12" s="2584" t="s">
        <v>2458</v>
      </c>
      <c r="J12" s="2585"/>
      <c r="K12" s="2560"/>
      <c r="L12" s="2561"/>
      <c r="M12" s="2574"/>
    </row>
    <row r="13" spans="1:33" ht="18" customHeight="1" thickTop="1">
      <c r="A13" s="1827">
        <v>2</v>
      </c>
      <c r="B13" s="1825" t="s">
        <v>1738</v>
      </c>
      <c r="C13" s="789">
        <f ca="1">ROUND(C29*F13,0)</f>
        <v>3050</v>
      </c>
      <c r="D13" s="1832" t="s">
        <v>2295</v>
      </c>
      <c r="E13" s="1832" t="s">
        <v>1740</v>
      </c>
      <c r="F13" s="2556">
        <f ca="1">INDIRECT("'数据-取费表'!y"&amp;$G$1)</f>
        <v>1</v>
      </c>
      <c r="G13" s="1589"/>
      <c r="H13" s="1827">
        <v>2</v>
      </c>
      <c r="I13" s="1825" t="s">
        <v>1738</v>
      </c>
      <c r="J13" s="1817">
        <f ca="1">ROUND(J14*J15,0)</f>
        <v>0</v>
      </c>
      <c r="K13" s="1819" t="s">
        <v>1739</v>
      </c>
      <c r="L13" s="2572"/>
      <c r="M13" s="2573"/>
    </row>
    <row r="14" spans="1:33" ht="18" customHeight="1">
      <c r="A14" s="1645" t="s">
        <v>1880</v>
      </c>
      <c r="B14" s="781" t="s">
        <v>643</v>
      </c>
      <c r="C14" s="801">
        <f ca="1">INDIRECT("'数据-取费表'!m"&amp;$G$1)+INDIRECT("'数据-取费表'!t"&amp;$G$1)</f>
        <v>1897</v>
      </c>
      <c r="D14" s="1976" t="s">
        <v>1741</v>
      </c>
      <c r="E14" s="1977"/>
      <c r="F14" s="802"/>
      <c r="G14" s="1589"/>
      <c r="H14" s="1646" t="s">
        <v>1826</v>
      </c>
      <c r="I14" s="2228" t="s">
        <v>2827</v>
      </c>
      <c r="J14" s="52">
        <f ca="1">C29</f>
        <v>3050</v>
      </c>
      <c r="K14" s="25"/>
      <c r="L14" s="798"/>
      <c r="M14" s="799"/>
    </row>
    <row r="15" spans="1:33" s="2061" customFormat="1" ht="18" customHeight="1" thickBot="1">
      <c r="A15" s="1645" t="s">
        <v>1881</v>
      </c>
      <c r="B15" s="781" t="s">
        <v>645</v>
      </c>
      <c r="C15" s="52">
        <f ca="1">ROUND(C14*F15,0)</f>
        <v>57</v>
      </c>
      <c r="D15" s="803" t="s">
        <v>1742</v>
      </c>
      <c r="E15" s="803" t="s">
        <v>1743</v>
      </c>
      <c r="F15" s="804">
        <f>'数据-取费表'!B33</f>
        <v>0.03</v>
      </c>
      <c r="G15" s="1590"/>
      <c r="H15" s="2571" t="s">
        <v>1885</v>
      </c>
      <c r="I15" s="2566" t="s">
        <v>1740</v>
      </c>
      <c r="J15" s="2575">
        <f ca="1">INDIRECT("'数据-取费表'!ad"&amp;$G$1)</f>
        <v>0</v>
      </c>
      <c r="K15" s="2576"/>
      <c r="L15" s="2577"/>
      <c r="M15" s="2578"/>
      <c r="N15" s="2060"/>
      <c r="O15" s="2060"/>
      <c r="P15" s="2060"/>
      <c r="Q15" s="2413"/>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1882</v>
      </c>
      <c r="B16" s="781" t="s">
        <v>648</v>
      </c>
      <c r="C16" s="52">
        <f ca="1">ROUND(INDIRECT("'数据-取费表'!m"&amp;$G$1)*F16,0)</f>
        <v>0</v>
      </c>
      <c r="D16" s="781" t="s">
        <v>1742</v>
      </c>
      <c r="E16" s="781" t="s">
        <v>1743</v>
      </c>
      <c r="F16" s="806">
        <f ca="1">IF(INDIRECT("'数据-取费表'!c"&amp;$G$1)="住宅",'数据-取费表'!B34,0)</f>
        <v>0</v>
      </c>
      <c r="G16" s="1589"/>
      <c r="H16" s="1827" t="s">
        <v>1744</v>
      </c>
      <c r="I16" s="1825" t="s">
        <v>1745</v>
      </c>
      <c r="J16" s="789">
        <f ca="1">ROUND(J17+J22+J23+J24,0)</f>
        <v>305</v>
      </c>
      <c r="K16" s="1819" t="s">
        <v>1746</v>
      </c>
      <c r="L16" s="2506"/>
      <c r="M16" s="2511"/>
    </row>
    <row r="17" spans="1:33" s="2061" customFormat="1" ht="18" customHeight="1">
      <c r="A17" s="1645" t="s">
        <v>1883</v>
      </c>
      <c r="B17" s="781" t="s">
        <v>651</v>
      </c>
      <c r="C17" s="52">
        <f ca="1">ROUND(F17*(F43+INDIRECT("'数据-取费表'!S"&amp;$G$1))/10000,0)</f>
        <v>194</v>
      </c>
      <c r="D17" s="781" t="s">
        <v>1747</v>
      </c>
      <c r="E17" s="781" t="s">
        <v>1748</v>
      </c>
      <c r="F17" s="55">
        <f>'数据-取费表'!B35</f>
        <v>200</v>
      </c>
      <c r="G17" s="1590"/>
      <c r="H17" s="1646" t="s">
        <v>1826</v>
      </c>
      <c r="I17" s="781" t="s">
        <v>654</v>
      </c>
      <c r="J17" s="52">
        <f ca="1">ROUND(IF(项目基本情况!B11="自然人",J5*M17,J18+J19+J20),0)</f>
        <v>259</v>
      </c>
      <c r="K17" s="2505" t="s">
        <v>1749</v>
      </c>
      <c r="L17" s="2504" t="s">
        <v>1750</v>
      </c>
      <c r="M17" s="807" t="str">
        <f ca="1">IF(项目基本情况!B11="企业","",IF(INDIRECT("'数据-取费表'!c"&amp;$G$1)="住宅",5%,IF(M6*M7*M8/12/(1+'数据-取费表'!C42)&gt;20000,12%,7%)))</f>
        <v/>
      </c>
      <c r="N17" s="2060"/>
      <c r="O17" s="2060"/>
      <c r="P17" s="2060"/>
      <c r="Q17" s="2413"/>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1884</v>
      </c>
      <c r="B18" s="781" t="s">
        <v>657</v>
      </c>
      <c r="C18" s="52">
        <f ca="1">ROUND(C14*F18,0)</f>
        <v>28</v>
      </c>
      <c r="D18" s="781" t="s">
        <v>1742</v>
      </c>
      <c r="E18" s="781" t="s">
        <v>1743</v>
      </c>
      <c r="F18" s="806">
        <f>'数据-取费表'!B36</f>
        <v>1.4999999999999999E-2</v>
      </c>
      <c r="G18" s="1590"/>
      <c r="H18" s="1645" t="s">
        <v>1880</v>
      </c>
      <c r="I18" s="781" t="s">
        <v>1751</v>
      </c>
      <c r="J18" s="52">
        <f ca="1">ROUND(J5*M18/1.05,1)</f>
        <v>0</v>
      </c>
      <c r="K18" s="2504" t="s">
        <v>1752</v>
      </c>
      <c r="L18" s="781" t="s">
        <v>1743</v>
      </c>
      <c r="M18" s="806">
        <f>'数据-取费表'!B41</f>
        <v>5.6000000000000001E-2</v>
      </c>
      <c r="N18" s="2060"/>
      <c r="O18" s="2060"/>
      <c r="P18" s="2060"/>
      <c r="Q18" s="2413"/>
      <c r="R18" s="2060"/>
      <c r="S18" s="2060"/>
      <c r="T18" s="2060"/>
      <c r="U18" s="2060"/>
      <c r="V18" s="2060"/>
      <c r="W18" s="2060"/>
      <c r="X18" s="2060"/>
      <c r="Y18" s="2060"/>
      <c r="Z18" s="2060"/>
      <c r="AA18" s="2060"/>
      <c r="AB18" s="2060"/>
      <c r="AC18" s="2060"/>
      <c r="AD18" s="2060"/>
      <c r="AE18" s="2060"/>
      <c r="AF18" s="2060"/>
      <c r="AG18" s="2060"/>
    </row>
    <row r="19" spans="1:33" ht="18" customHeight="1">
      <c r="A19" s="1646" t="s">
        <v>1826</v>
      </c>
      <c r="B19" s="781" t="s">
        <v>660</v>
      </c>
      <c r="C19" s="52">
        <f ca="1">SUM(C14:C18)</f>
        <v>2176</v>
      </c>
      <c r="D19" s="259" t="s">
        <v>1753</v>
      </c>
      <c r="E19" s="1979"/>
      <c r="F19" s="55"/>
      <c r="G19" s="1589"/>
      <c r="H19" s="1645" t="s">
        <v>1881</v>
      </c>
      <c r="I19" s="781" t="s">
        <v>1754</v>
      </c>
      <c r="J19" s="52">
        <f ca="1">IF(K19="按租金收入计税",ROUND(J5*M19,1),ROUND(C29*F33*0.7,1))</f>
        <v>256.2</v>
      </c>
      <c r="K19" s="808" t="s">
        <v>663</v>
      </c>
      <c r="L19" s="781" t="s">
        <v>1743</v>
      </c>
      <c r="M19" s="806">
        <f>IF(K19="按租金收入计税",'数据-取费表'!B51,'数据-取费表'!B50)</f>
        <v>1.2E-2</v>
      </c>
    </row>
    <row r="20" spans="1:33" s="2061" customFormat="1" ht="18" customHeight="1">
      <c r="A20" s="1646" t="s">
        <v>1885</v>
      </c>
      <c r="B20" s="781" t="s">
        <v>664</v>
      </c>
      <c r="C20" s="52">
        <f ca="1">ROUND(C19*F20,0)</f>
        <v>33</v>
      </c>
      <c r="D20" s="809" t="s">
        <v>1755</v>
      </c>
      <c r="E20" s="781" t="s">
        <v>1743</v>
      </c>
      <c r="F20" s="806">
        <f>'数据-取费表'!B37</f>
        <v>1.4999999999999999E-2</v>
      </c>
      <c r="G20" s="1590"/>
      <c r="H20" s="1648" t="s">
        <v>1876</v>
      </c>
      <c r="I20" s="339" t="s">
        <v>1756</v>
      </c>
      <c r="J20" s="53">
        <f ca="1">ROUND(M20*M21/10000,0)</f>
        <v>3</v>
      </c>
      <c r="K20" s="811" t="s">
        <v>1757</v>
      </c>
      <c r="L20" s="781" t="s">
        <v>1758</v>
      </c>
      <c r="M20" s="637">
        <f>'数据-取费表'!B52</f>
        <v>14</v>
      </c>
      <c r="N20" s="2060"/>
      <c r="O20" s="2060"/>
      <c r="P20" s="2060"/>
      <c r="Q20" s="2413"/>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1886</v>
      </c>
      <c r="B21" s="781" t="s">
        <v>1759</v>
      </c>
      <c r="C21" s="52" t="s">
        <v>1760</v>
      </c>
      <c r="D21" s="809" t="s">
        <v>2296</v>
      </c>
      <c r="E21" s="781" t="s">
        <v>1761</v>
      </c>
      <c r="F21" s="806">
        <f>'数据-取费表'!B38</f>
        <v>0.02</v>
      </c>
      <c r="G21" s="1590"/>
      <c r="H21" s="2526"/>
      <c r="I21" s="790"/>
      <c r="J21" s="68"/>
      <c r="K21" s="813"/>
      <c r="L21" s="781" t="s">
        <v>1762</v>
      </c>
      <c r="M21" s="782">
        <f ca="1">INDIRECT("'数据-取费表'!r"&amp;$G$1)</f>
        <v>2181.1799999999998</v>
      </c>
      <c r="N21" s="2060"/>
      <c r="O21" s="2060"/>
      <c r="P21" s="2060"/>
      <c r="Q21" s="2413"/>
      <c r="R21" s="2060"/>
      <c r="S21" s="2060"/>
      <c r="T21" s="2060"/>
      <c r="U21" s="2060"/>
      <c r="V21" s="2060"/>
      <c r="W21" s="2060"/>
      <c r="X21" s="2060"/>
      <c r="Y21" s="2060"/>
      <c r="Z21" s="2060"/>
      <c r="AA21" s="2060"/>
      <c r="AB21" s="2060"/>
      <c r="AC21" s="2060"/>
      <c r="AD21" s="2060"/>
      <c r="AE21" s="2060"/>
      <c r="AF21" s="2060"/>
      <c r="AG21" s="2060"/>
    </row>
    <row r="22" spans="1:33" ht="18" customHeight="1">
      <c r="A22" s="1646" t="s">
        <v>1887</v>
      </c>
      <c r="B22" s="781" t="s">
        <v>1763</v>
      </c>
      <c r="C22" s="52"/>
      <c r="D22" s="2592" t="str">
        <f>IF(F23&lt;=1,"单利计息。","复利计息。")&amp;"建造成本、管理费用、销售费用产生的利息。"</f>
        <v>复利计息。建造成本、管理费用、销售费用产生的利息。</v>
      </c>
      <c r="E22" s="1979"/>
      <c r="F22" s="55"/>
      <c r="G22" s="1589"/>
      <c r="H22" s="1646" t="s">
        <v>1885</v>
      </c>
      <c r="I22" s="781" t="s">
        <v>1764</v>
      </c>
      <c r="J22" s="52">
        <f ca="1">ROUND(J14*M22,0)</f>
        <v>46</v>
      </c>
      <c r="K22" s="2504" t="s">
        <v>1765</v>
      </c>
      <c r="L22" s="781" t="s">
        <v>1743</v>
      </c>
      <c r="M22" s="814">
        <f ca="1">INDIRECT("'数据-取费表'!Ak"&amp;$G$1)</f>
        <v>1.4999999999999999E-2</v>
      </c>
    </row>
    <row r="23" spans="1:33" s="2061" customFormat="1" ht="18" customHeight="1">
      <c r="A23" s="1645" t="s">
        <v>1827</v>
      </c>
      <c r="B23" s="781" t="s">
        <v>2534</v>
      </c>
      <c r="C23" s="52">
        <f ca="1">ROUND(IF('数据-取费表'!B22&lt;=1,(C19+C20)*F24*F23/2,(C19+C20)*(POWER((1+F24),F23/2)-1)),0)</f>
        <v>159</v>
      </c>
      <c r="D23" s="2591" t="str">
        <f>IF(F23&lt;=1,"(建造成本+管理费用)×利率×(建设周期÷2)","(建造成本+管理费用)×((1+利率)^(建设周期÷2)-1)")</f>
        <v>(建造成本+管理费用)×((1+利率)^(建设周期÷2)-1)</v>
      </c>
      <c r="E23" s="781" t="s">
        <v>1766</v>
      </c>
      <c r="F23" s="637">
        <f>'数据-取费表'!B20</f>
        <v>3</v>
      </c>
      <c r="G23" s="1590"/>
      <c r="H23" s="1646" t="s">
        <v>1886</v>
      </c>
      <c r="I23" s="781" t="s">
        <v>677</v>
      </c>
      <c r="J23" s="52">
        <f ca="1">ROUND(J13*M23,0)</f>
        <v>0</v>
      </c>
      <c r="K23" s="2504" t="s">
        <v>1767</v>
      </c>
      <c r="L23" s="781" t="s">
        <v>1743</v>
      </c>
      <c r="M23" s="815">
        <f ca="1">INDIRECT("'数据-取费表'!Al"&amp;$G$1)</f>
        <v>1.5E-3</v>
      </c>
      <c r="N23" s="2060"/>
      <c r="O23" s="2060"/>
      <c r="P23" s="2060"/>
      <c r="Q23" s="2413"/>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1828</v>
      </c>
      <c r="B24" s="781" t="s">
        <v>1768</v>
      </c>
      <c r="C24" s="52">
        <f ca="1">ROUND(IF('数据-取费表'!B22&lt;=1,F21*F24*F23/2,F21*(POWER((1+F24),F23/2)-1)),4)</f>
        <v>1.4E-3</v>
      </c>
      <c r="D24" s="2591" t="str">
        <f>IF(F23&lt;=1,"销售费用×利率×(建设周期÷2)","销售费用×((1+利率)^(建设周期÷2)-1)")</f>
        <v>销售费用×((1+利率)^(建设周期÷2)-1)</v>
      </c>
      <c r="E24" s="781" t="s">
        <v>1769</v>
      </c>
      <c r="F24" s="816">
        <f ca="1">'数据-取费表'!B40</f>
        <v>4.7500000000000001E-2</v>
      </c>
      <c r="G24" s="1590"/>
      <c r="H24" s="2571" t="s">
        <v>1887</v>
      </c>
      <c r="I24" s="2566" t="s">
        <v>664</v>
      </c>
      <c r="J24" s="2564">
        <f ca="1">ROUND(J5*M24,0)</f>
        <v>0</v>
      </c>
      <c r="K24" s="2565" t="s">
        <v>1770</v>
      </c>
      <c r="L24" s="2566" t="s">
        <v>1743</v>
      </c>
      <c r="M24" s="2562">
        <f ca="1">INDIRECT("'数据-取费表'!Am"&amp;$G$1)</f>
        <v>0.01</v>
      </c>
      <c r="N24" s="2060"/>
      <c r="O24" s="2060"/>
      <c r="P24" s="2060"/>
      <c r="Q24" s="2413"/>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1836</v>
      </c>
      <c r="B25" s="781" t="s">
        <v>682</v>
      </c>
      <c r="C25" s="52"/>
      <c r="D25" s="259" t="s">
        <v>1771</v>
      </c>
      <c r="E25" s="1979"/>
      <c r="F25" s="55"/>
      <c r="G25" s="1589"/>
      <c r="H25" s="1827" t="s">
        <v>1772</v>
      </c>
      <c r="I25" s="3032" t="s">
        <v>2823</v>
      </c>
      <c r="J25" s="789">
        <f ca="1">J5-J16</f>
        <v>-305</v>
      </c>
      <c r="K25" s="2568" t="s">
        <v>1773</v>
      </c>
      <c r="L25" s="2569"/>
      <c r="M25" s="2570"/>
    </row>
    <row r="26" spans="1:33" ht="18" customHeight="1">
      <c r="A26" s="1645" t="s">
        <v>1827</v>
      </c>
      <c r="B26" s="781" t="s">
        <v>2437</v>
      </c>
      <c r="C26" s="52">
        <f ca="1">ROUND((C19+C20)*F26,0)</f>
        <v>442</v>
      </c>
      <c r="D26" s="809" t="s">
        <v>1774</v>
      </c>
      <c r="E26" s="792" t="s">
        <v>1775</v>
      </c>
      <c r="F26" s="791">
        <f ca="1">INDIRECT("'数据-取费表'!q"&amp;$G$1)</f>
        <v>0.2</v>
      </c>
      <c r="G26" s="1589"/>
      <c r="H26" s="2522" t="s">
        <v>1776</v>
      </c>
      <c r="I26" s="2229" t="s">
        <v>2828</v>
      </c>
      <c r="J26" s="780">
        <f ca="1">IF(J5&lt;&gt;0,ROUND(J25*(1-((1+M28)/(1+M26))^M27)/(M26-M28),0),0)</f>
        <v>0</v>
      </c>
      <c r="K26" s="811" t="s">
        <v>1777</v>
      </c>
      <c r="L26" s="781" t="s">
        <v>2418</v>
      </c>
      <c r="M26" s="791">
        <f ca="1">INDIRECT("'数据-取费表'!I"&amp;$G$1)</f>
        <v>5.5E-2</v>
      </c>
    </row>
    <row r="27" spans="1:33" ht="18" customHeight="1">
      <c r="A27" s="1645" t="s">
        <v>1828</v>
      </c>
      <c r="B27" s="781" t="s">
        <v>684</v>
      </c>
      <c r="C27" s="52">
        <f ca="1">ROUND(F21*F26,4)</f>
        <v>4.0000000000000001E-3</v>
      </c>
      <c r="D27" s="809" t="s">
        <v>1778</v>
      </c>
      <c r="E27" s="803"/>
      <c r="F27" s="804"/>
      <c r="G27" s="1589"/>
      <c r="H27" s="2523"/>
      <c r="I27" s="784"/>
      <c r="J27" s="785"/>
      <c r="K27" s="818" t="s">
        <v>1779</v>
      </c>
      <c r="L27" s="781" t="s">
        <v>1780</v>
      </c>
      <c r="M27" s="819">
        <f ca="1">INDIRECT("'数据-取费表'!ag"&amp;$G$1)</f>
        <v>0</v>
      </c>
    </row>
    <row r="28" spans="1:33" s="2061" customFormat="1" ht="18" customHeight="1">
      <c r="A28" s="1647" t="s">
        <v>1837</v>
      </c>
      <c r="B28" s="781" t="s">
        <v>685</v>
      </c>
      <c r="C28" s="52">
        <f>ROUND(F28/(1+'数据-取费表'!C42),4)</f>
        <v>5.33E-2</v>
      </c>
      <c r="D28" s="809" t="s">
        <v>2297</v>
      </c>
      <c r="E28" s="781" t="s">
        <v>1781</v>
      </c>
      <c r="F28" s="806">
        <f>'数据-取费表'!B41</f>
        <v>5.6000000000000001E-2</v>
      </c>
      <c r="G28" s="1590"/>
      <c r="H28" s="1827"/>
      <c r="I28" s="788"/>
      <c r="J28" s="789"/>
      <c r="K28" s="813"/>
      <c r="L28" s="781" t="s">
        <v>1782</v>
      </c>
      <c r="M28" s="791">
        <f ca="1">INDIRECT("'数据-取费表'!aa"&amp;$G$1)</f>
        <v>0</v>
      </c>
      <c r="N28" s="2060"/>
      <c r="O28" s="2060"/>
      <c r="P28" s="2060"/>
      <c r="Q28" s="2413"/>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3" t="s">
        <v>1888</v>
      </c>
      <c r="B29" s="2561" t="s">
        <v>2298</v>
      </c>
      <c r="C29" s="2564">
        <f ca="1">ROUND((C19+C20+C23+C26)/(1-F21-C24-C27-C28),0)</f>
        <v>3050</v>
      </c>
      <c r="D29" s="2565"/>
      <c r="E29" s="2566"/>
      <c r="F29" s="2567"/>
      <c r="G29" s="1590"/>
      <c r="H29" s="820" t="s">
        <v>1783</v>
      </c>
      <c r="I29" s="821" t="s">
        <v>1784</v>
      </c>
      <c r="J29" s="822">
        <f ca="1">ROUND(J26/(1+F40)^F41,0)</f>
        <v>0</v>
      </c>
      <c r="K29" s="823" t="s">
        <v>1785</v>
      </c>
      <c r="L29" s="824"/>
      <c r="M29" s="825">
        <f ca="1">INDIRECT("'数据-取费表'!k"&amp;$G$1)</f>
        <v>7678.2</v>
      </c>
      <c r="N29" s="2060"/>
      <c r="O29" s="2060"/>
      <c r="P29" s="2060"/>
      <c r="Q29" s="2413"/>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1889</v>
      </c>
      <c r="B30" s="1825" t="s">
        <v>1786</v>
      </c>
      <c r="C30" s="789">
        <f ca="1">ROUND(C31+C36+C37+C38,0)</f>
        <v>193</v>
      </c>
      <c r="D30" s="1819" t="s">
        <v>1787</v>
      </c>
      <c r="E30" s="2506"/>
      <c r="F30" s="2511"/>
      <c r="G30" s="2059"/>
      <c r="H30" s="2062"/>
      <c r="I30" s="2063"/>
      <c r="J30" s="2064"/>
      <c r="K30" s="2065"/>
      <c r="L30" s="2066"/>
      <c r="M30" s="2067"/>
    </row>
    <row r="31" spans="1:33" ht="18" customHeight="1">
      <c r="A31" s="1646" t="s">
        <v>1826</v>
      </c>
      <c r="B31" s="781" t="s">
        <v>654</v>
      </c>
      <c r="C31" s="52">
        <f ca="1">ROUND(IF(项目基本情况!B11="自然人",C5*F31,C32+C33+C34),1)</f>
        <v>134.69999999999999</v>
      </c>
      <c r="D31" s="1976" t="s">
        <v>1788</v>
      </c>
      <c r="E31" s="1974" t="s">
        <v>1789</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5" t="s">
        <v>1827</v>
      </c>
      <c r="B32" s="781" t="s">
        <v>1790</v>
      </c>
      <c r="C32" s="52">
        <f ca="1">ROUND(C5*F32/1.05,1)</f>
        <v>40.5</v>
      </c>
      <c r="D32" s="1974" t="s">
        <v>1791</v>
      </c>
      <c r="E32" s="781" t="s">
        <v>1792</v>
      </c>
      <c r="F32" s="806">
        <f>'数据-取费表'!B41</f>
        <v>5.6000000000000001E-2</v>
      </c>
      <c r="G32" s="2059"/>
      <c r="H32" s="2068"/>
      <c r="I32" s="2069"/>
      <c r="J32" s="2070"/>
      <c r="K32" s="2071"/>
      <c r="L32" s="2072"/>
      <c r="M32" s="2073"/>
    </row>
    <row r="33" spans="1:18" ht="18" customHeight="1">
      <c r="A33" s="1645" t="s">
        <v>1828</v>
      </c>
      <c r="B33" s="781" t="s">
        <v>1793</v>
      </c>
      <c r="C33" s="52">
        <f ca="1">IF(D33="按租金收入计税",ROUND(C5*F33,1),IF(D33="按房产原值计税",ROUND(C29*F33*0.7,1),INDIRECT("'数据-取费表'!Aj"&amp;$G$1)))</f>
        <v>91.1</v>
      </c>
      <c r="D33" s="808" t="s">
        <v>3543</v>
      </c>
      <c r="E33" s="781" t="s">
        <v>1792</v>
      </c>
      <c r="F33" s="806">
        <f>IF(D33="按租金收入计税",'数据-取费表'!B51,'数据-取费表'!B50)</f>
        <v>0.12</v>
      </c>
      <c r="G33" s="2059"/>
      <c r="H33" s="2074"/>
      <c r="I33" s="2074"/>
      <c r="J33" s="2074"/>
      <c r="K33" s="2075"/>
      <c r="L33" s="2074"/>
      <c r="M33" s="2074"/>
    </row>
    <row r="34" spans="1:18" ht="18" customHeight="1">
      <c r="A34" s="1648" t="s">
        <v>1829</v>
      </c>
      <c r="B34" s="339" t="s">
        <v>1794</v>
      </c>
      <c r="C34" s="53">
        <f ca="1">ROUND(F34*F35/10000,1)</f>
        <v>3.1</v>
      </c>
      <c r="D34" s="811" t="s">
        <v>1795</v>
      </c>
      <c r="E34" s="781" t="s">
        <v>1796</v>
      </c>
      <c r="F34" s="637">
        <f>'数据-取费表'!B52</f>
        <v>14</v>
      </c>
      <c r="G34" s="2059"/>
      <c r="H34" s="2062"/>
      <c r="I34" s="832" t="s">
        <v>1809</v>
      </c>
      <c r="J34" s="833"/>
      <c r="K34" s="2077"/>
      <c r="L34" s="2076"/>
      <c r="M34" s="2076"/>
    </row>
    <row r="35" spans="1:18" ht="18" customHeight="1">
      <c r="A35" s="812"/>
      <c r="B35" s="790"/>
      <c r="C35" s="68"/>
      <c r="D35" s="813"/>
      <c r="E35" s="781" t="s">
        <v>1797</v>
      </c>
      <c r="F35" s="782">
        <f ca="1">INDIRECT("'数据-取费表'!r"&amp;$G$1)</f>
        <v>2181.1799999999998</v>
      </c>
      <c r="G35" s="2059"/>
      <c r="H35" s="2062"/>
      <c r="I35" s="834" t="s">
        <v>1810</v>
      </c>
      <c r="J35" s="835">
        <f ca="1">ROUND(C13*J36,0)</f>
        <v>259</v>
      </c>
      <c r="K35" s="2075"/>
      <c r="L35" s="2074"/>
      <c r="M35" s="2074"/>
    </row>
    <row r="36" spans="1:18" ht="18" customHeight="1">
      <c r="A36" s="1646" t="s">
        <v>1885</v>
      </c>
      <c r="B36" s="781" t="s">
        <v>1798</v>
      </c>
      <c r="C36" s="52">
        <f ca="1">ROUND(C29*F36,1)</f>
        <v>45.8</v>
      </c>
      <c r="D36" s="1974" t="s">
        <v>1799</v>
      </c>
      <c r="E36" s="781" t="s">
        <v>1792</v>
      </c>
      <c r="F36" s="814">
        <f ca="1">INDIRECT("'数据-取费表'!Ak"&amp;$G$1)</f>
        <v>1.4999999999999999E-2</v>
      </c>
      <c r="G36" s="2059"/>
      <c r="H36" s="2074"/>
      <c r="I36" s="836" t="s">
        <v>1811</v>
      </c>
      <c r="J36" s="837">
        <f ca="1">INDIRECT("'数据-取费表'!j"&amp;$G$1)</f>
        <v>8.5000000000000006E-2</v>
      </c>
      <c r="K36" s="2079"/>
      <c r="L36" s="2074"/>
      <c r="M36" s="2074"/>
    </row>
    <row r="37" spans="1:18" ht="18" customHeight="1">
      <c r="A37" s="1646" t="s">
        <v>1886</v>
      </c>
      <c r="B37" s="781" t="s">
        <v>677</v>
      </c>
      <c r="C37" s="52">
        <f ca="1">ROUND(C13*F37,1)</f>
        <v>4.5999999999999996</v>
      </c>
      <c r="D37" s="1974" t="s">
        <v>1800</v>
      </c>
      <c r="E37" s="781" t="s">
        <v>1792</v>
      </c>
      <c r="F37" s="815">
        <f ca="1">INDIRECT("'数据-取费表'!Al"&amp;$G$1)</f>
        <v>1.5E-3</v>
      </c>
      <c r="G37" s="2059"/>
      <c r="H37" s="2074"/>
      <c r="I37" s="838" t="s">
        <v>1812</v>
      </c>
      <c r="J37" s="839"/>
      <c r="K37" s="2079"/>
      <c r="L37" s="2074"/>
      <c r="M37" s="2074"/>
    </row>
    <row r="38" spans="1:18" ht="18" customHeight="1" thickBot="1">
      <c r="A38" s="2571" t="s">
        <v>1887</v>
      </c>
      <c r="B38" s="2566" t="s">
        <v>664</v>
      </c>
      <c r="C38" s="2564">
        <f ca="1">ROUND(C5*F38,1)</f>
        <v>7.6</v>
      </c>
      <c r="D38" s="2565" t="s">
        <v>1801</v>
      </c>
      <c r="E38" s="2566" t="s">
        <v>1792</v>
      </c>
      <c r="F38" s="2562">
        <f ca="1">INDIRECT("'数据-取费表'!Am"&amp;$G$1)</f>
        <v>0.01</v>
      </c>
      <c r="G38" s="2059"/>
      <c r="H38" s="2074"/>
      <c r="I38" s="840" t="s">
        <v>1813</v>
      </c>
      <c r="J38" s="841"/>
      <c r="K38" s="2080"/>
      <c r="L38" s="2074"/>
      <c r="M38" s="2074"/>
    </row>
    <row r="39" spans="1:18" ht="24.6" customHeight="1" thickTop="1">
      <c r="A39" s="1827" t="s">
        <v>1890</v>
      </c>
      <c r="B39" s="3032" t="s">
        <v>2823</v>
      </c>
      <c r="C39" s="789">
        <f ca="1">C5-C30</f>
        <v>566</v>
      </c>
      <c r="D39" s="2568" t="s">
        <v>1802</v>
      </c>
      <c r="E39" s="2569"/>
      <c r="F39" s="2570"/>
      <c r="G39" s="2059"/>
      <c r="H39" s="2074"/>
      <c r="I39" s="834" t="s">
        <v>1814</v>
      </c>
      <c r="J39" s="842">
        <f ca="1">ROUND(J35/C39,3)</f>
        <v>0.45800000000000002</v>
      </c>
      <c r="K39" s="2080"/>
      <c r="L39" s="2074"/>
      <c r="M39" s="2074"/>
    </row>
    <row r="40" spans="1:18" ht="18" customHeight="1">
      <c r="A40" s="778" t="s">
        <v>1891</v>
      </c>
      <c r="B40" s="2229" t="s">
        <v>2299</v>
      </c>
      <c r="C40" s="780">
        <f ca="1">ROUND(C39*(1-((1+F42)/(1+F40))^F41)/(F40-F42),0)</f>
        <v>12208</v>
      </c>
      <c r="D40" s="811" t="s">
        <v>1803</v>
      </c>
      <c r="E40" s="781" t="s">
        <v>2418</v>
      </c>
      <c r="F40" s="791">
        <f ca="1">INDIRECT("'数据-取费表'!I"&amp;$G$1)</f>
        <v>5.5E-2</v>
      </c>
      <c r="G40" s="2059"/>
      <c r="H40" s="2059"/>
      <c r="I40" s="834" t="s">
        <v>1815</v>
      </c>
      <c r="J40" s="842">
        <f ca="1">1-J39</f>
        <v>0.54200000000000004</v>
      </c>
      <c r="K40" s="2080"/>
      <c r="L40" s="2059"/>
      <c r="M40" s="2059"/>
    </row>
    <row r="41" spans="1:18" ht="18" customHeight="1">
      <c r="A41" s="783"/>
      <c r="B41" s="784"/>
      <c r="C41" s="785"/>
      <c r="D41" s="818" t="s">
        <v>1804</v>
      </c>
      <c r="E41" s="781" t="s">
        <v>2969</v>
      </c>
      <c r="F41" s="819">
        <f ca="1">IF(INDIRECT("'数据-取费表'!af"&amp;$G$1)=0,INDIRECT("'数据-取费表'!ae"&amp;$G$1),INDIRECT("'数据-取费表'!af"&amp;$G$1))</f>
        <v>32.31</v>
      </c>
      <c r="G41" s="2059"/>
      <c r="H41" s="1985"/>
      <c r="I41" s="840" t="s">
        <v>1816</v>
      </c>
      <c r="J41" s="843"/>
      <c r="K41" s="2079"/>
      <c r="L41" s="1985"/>
      <c r="M41" s="1985"/>
    </row>
    <row r="42" spans="1:18" ht="18" customHeight="1">
      <c r="A42" s="787"/>
      <c r="B42" s="788"/>
      <c r="C42" s="789"/>
      <c r="D42" s="813"/>
      <c r="E42" s="781" t="s">
        <v>1805</v>
      </c>
      <c r="F42" s="791">
        <f ca="1">INDIRECT("'数据-取费表'!v"&amp;$G$1)</f>
        <v>0.03</v>
      </c>
      <c r="G42" s="2059"/>
      <c r="H42" s="1985"/>
      <c r="I42" s="844" t="s">
        <v>1817</v>
      </c>
      <c r="J42" s="842">
        <f ca="1">ROUND(C13/C40,3)</f>
        <v>0.25</v>
      </c>
      <c r="K42" s="2079"/>
      <c r="L42" s="1985"/>
      <c r="M42" s="1985"/>
    </row>
    <row r="43" spans="1:18" ht="18" customHeight="1" thickBot="1">
      <c r="A43" s="820" t="s">
        <v>1783</v>
      </c>
      <c r="B43" s="821" t="s">
        <v>1806</v>
      </c>
      <c r="C43" s="822">
        <f ca="1">ROUND(C40*10000/F43,0)</f>
        <v>15900</v>
      </c>
      <c r="D43" s="823" t="s">
        <v>1807</v>
      </c>
      <c r="E43" s="824" t="s">
        <v>1808</v>
      </c>
      <c r="F43" s="825">
        <f ca="1">INDIRECT("'数据-取费表'!k"&amp;$G$1)</f>
        <v>7678.2</v>
      </c>
      <c r="G43" s="2059"/>
      <c r="H43" s="1985"/>
      <c r="I43" s="844" t="s">
        <v>1818</v>
      </c>
      <c r="J43" s="845">
        <f ca="1">1-J42</f>
        <v>0.75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2293</v>
      </c>
      <c r="B46" s="2082"/>
      <c r="C46" s="2594">
        <f ca="1">C67-C40</f>
        <v>-13016</v>
      </c>
      <c r="D46" s="2082"/>
      <c r="E46" s="2082"/>
      <c r="F46" s="2082"/>
      <c r="I46" s="2374" t="s">
        <v>2341</v>
      </c>
      <c r="J46" s="2375"/>
      <c r="K46" s="2376"/>
      <c r="L46" s="2377" t="str">
        <f ca="1">IF(M47="住宅",0,IF(L48&gt;J51,L60,J60))</f>
        <v>0</v>
      </c>
      <c r="O46" s="2414" t="s">
        <v>2409</v>
      </c>
      <c r="P46" s="1589"/>
      <c r="Q46" s="1601"/>
      <c r="R46" s="1589"/>
    </row>
    <row r="47" spans="1:18" s="2056" customFormat="1" ht="18" customHeight="1" thickBot="1">
      <c r="A47" s="2368">
        <v>1</v>
      </c>
      <c r="B47" s="2369" t="s">
        <v>633</v>
      </c>
      <c r="C47" s="2594">
        <f ca="1">C48+C52+C54</f>
        <v>0</v>
      </c>
      <c r="D47" s="2082"/>
      <c r="E47" s="2082"/>
      <c r="F47" s="2082"/>
      <c r="I47" s="2378" t="s">
        <v>2342</v>
      </c>
      <c r="J47" s="2383" t="s">
        <v>3374</v>
      </c>
      <c r="K47" s="2384" t="s">
        <v>2348</v>
      </c>
      <c r="L47" s="2385">
        <f ca="1">INDIRECT("'数据-取费表'!d"&amp;$G$1)</f>
        <v>40</v>
      </c>
      <c r="M47" s="1601" t="str">
        <f>IF(ISNUMBER(FIND("住宅",C1)),"住宅","非住宅")</f>
        <v>非住宅</v>
      </c>
      <c r="O47" s="2415" t="s">
        <v>2374</v>
      </c>
      <c r="P47" s="2416" t="s">
        <v>2375</v>
      </c>
      <c r="Q47" s="2417" t="s">
        <v>2376</v>
      </c>
      <c r="R47" s="2416" t="s">
        <v>2377</v>
      </c>
    </row>
    <row r="48" spans="1:18" s="2056" customFormat="1" ht="18" customHeight="1" thickBot="1">
      <c r="A48" s="2663" t="s">
        <v>2536</v>
      </c>
      <c r="B48" s="2664" t="s">
        <v>2537</v>
      </c>
      <c r="C48" s="2370">
        <f ca="1">ROUND(F48*F50*F49*(1-F51)/10000,0)</f>
        <v>0</v>
      </c>
      <c r="D48" s="2371" t="s">
        <v>634</v>
      </c>
      <c r="E48" s="2372" t="s">
        <v>2294</v>
      </c>
      <c r="F48" s="2373"/>
      <c r="G48" s="2087"/>
      <c r="I48" s="2379" t="s">
        <v>2343</v>
      </c>
      <c r="J48" s="2386" t="s">
        <v>2349</v>
      </c>
      <c r="K48" s="2387" t="s">
        <v>2350</v>
      </c>
      <c r="L48" s="2388">
        <f ca="1">INDIRECT("'数据-取费表'!f"&amp;$G$1)</f>
        <v>35.31</v>
      </c>
      <c r="O48" s="2418" t="s">
        <v>2378</v>
      </c>
      <c r="P48" s="2419" t="s">
        <v>2404</v>
      </c>
      <c r="Q48" s="2420">
        <f ca="1">C40+J29</f>
        <v>12208</v>
      </c>
      <c r="R48" s="2419" t="s">
        <v>2379</v>
      </c>
    </row>
    <row r="49" spans="1:18" s="2056" customFormat="1" ht="18" customHeight="1" thickBot="1">
      <c r="A49" s="783"/>
      <c r="B49" s="784"/>
      <c r="C49" s="785"/>
      <c r="D49" s="786"/>
      <c r="E49" s="781" t="s">
        <v>1735</v>
      </c>
      <c r="F49" s="782">
        <f ca="1">F7</f>
        <v>7678.2</v>
      </c>
      <c r="G49" s="2087"/>
      <c r="H49" s="2090"/>
      <c r="I49" s="2379" t="s">
        <v>2344</v>
      </c>
      <c r="J49" s="2389">
        <v>2021</v>
      </c>
      <c r="K49" s="2390" t="s">
        <v>2351</v>
      </c>
      <c r="L49" s="2391"/>
      <c r="O49" s="2418" t="s">
        <v>2380</v>
      </c>
      <c r="P49" s="2419" t="s">
        <v>2405</v>
      </c>
      <c r="Q49" s="2420" t="str">
        <f ca="1">J60</f>
        <v>0</v>
      </c>
      <c r="R49" s="2419" t="s">
        <v>2381</v>
      </c>
    </row>
    <row r="50" spans="1:18" s="2056" customFormat="1" ht="18" customHeight="1" thickBot="1">
      <c r="A50" s="783"/>
      <c r="B50" s="784"/>
      <c r="C50" s="785"/>
      <c r="D50" s="786"/>
      <c r="E50" s="781" t="s">
        <v>1736</v>
      </c>
      <c r="F50" s="782">
        <f ca="1">F8</f>
        <v>365</v>
      </c>
      <c r="G50" s="2092"/>
      <c r="H50" s="2090"/>
      <c r="I50" s="2379" t="s">
        <v>2345</v>
      </c>
      <c r="J50" s="2392">
        <f>SUMPRODUCT((I63:I65=J47)*(J62:L62=J48)*(J63:L65))</f>
        <v>60</v>
      </c>
      <c r="K50" s="2390" t="s">
        <v>2352</v>
      </c>
      <c r="L50" s="2391"/>
      <c r="O50" s="2421" t="s">
        <v>2382</v>
      </c>
      <c r="P50" s="2419" t="s">
        <v>2406</v>
      </c>
      <c r="Q50" s="2420">
        <f ca="1">C29</f>
        <v>3050</v>
      </c>
      <c r="R50" s="2419" t="s">
        <v>2379</v>
      </c>
    </row>
    <row r="51" spans="1:18" s="2056" customFormat="1" ht="18" customHeight="1" thickBot="1">
      <c r="A51" s="783"/>
      <c r="B51" s="784"/>
      <c r="C51" s="785"/>
      <c r="D51" s="786"/>
      <c r="E51" s="781" t="s">
        <v>638</v>
      </c>
      <c r="F51" s="2367"/>
      <c r="H51" s="2090"/>
      <c r="I51" s="2380" t="s">
        <v>2346</v>
      </c>
      <c r="J51" s="2393">
        <f>IF(J49="",J50,J49+J50-YEAR('数据-取费表'!B2))</f>
        <v>63</v>
      </c>
      <c r="K51" s="2379" t="s">
        <v>2353</v>
      </c>
      <c r="L51" s="2394">
        <f ca="1">ROUND(-PV(INDIRECT("'数据-取费表'!h"&amp;$G$1),L48,(C39-C13*J36),0),0)</f>
        <v>5039</v>
      </c>
      <c r="O51" s="2421" t="s">
        <v>2383</v>
      </c>
      <c r="P51" s="2419" t="s">
        <v>2384</v>
      </c>
      <c r="Q51" s="2422" t="e">
        <f ca="1">J58</f>
        <v>#VALUE!</v>
      </c>
      <c r="R51" s="2423"/>
    </row>
    <row r="52" spans="1:18" s="2056" customFormat="1" ht="18" customHeight="1" thickBot="1">
      <c r="A52" s="778" t="s">
        <v>2535</v>
      </c>
      <c r="B52" s="2514" t="s">
        <v>2457</v>
      </c>
      <c r="C52" s="796">
        <f ca="1">ROUND(IF(F52="押一",F48*F50*F49/12*F11,IF(F52="押二",F48*F50*F49/12*2*F11,IF(F52="押三",F48*F50*F49/12*3*F11,C53*F11)))/10000,0)</f>
        <v>0</v>
      </c>
      <c r="D52" s="2521" t="s">
        <v>2464</v>
      </c>
      <c r="E52" s="2518" t="s">
        <v>2462</v>
      </c>
      <c r="F52" s="2641"/>
      <c r="I52" s="2381" t="s">
        <v>2420</v>
      </c>
      <c r="J52" s="2395">
        <v>0.09</v>
      </c>
      <c r="K52" s="2381" t="s">
        <v>2419</v>
      </c>
      <c r="L52" s="2395"/>
      <c r="O52" s="2421" t="s">
        <v>2385</v>
      </c>
      <c r="P52" s="2419" t="s">
        <v>2386</v>
      </c>
      <c r="Q52" s="2422">
        <f>J52</f>
        <v>0.09</v>
      </c>
      <c r="R52" s="2423"/>
    </row>
    <row r="53" spans="1:18" s="2056" customFormat="1" ht="39.75" customHeight="1" thickBot="1">
      <c r="A53" s="783"/>
      <c r="B53" s="2515" t="s">
        <v>2572</v>
      </c>
      <c r="C53" s="2519"/>
      <c r="D53" s="2521"/>
      <c r="E53" s="2518"/>
      <c r="F53" s="797"/>
      <c r="I53" s="2382" t="s">
        <v>2347</v>
      </c>
      <c r="J53" s="2396">
        <f ca="1">IF(M47="住宅",J51,IF(D1="——",MIN(J51,L48),IF(D1="土地（套用方法）",MIN(J51,L48-'数据-取费表'!B20))))</f>
        <v>32.31</v>
      </c>
      <c r="K53" s="3517" t="s">
        <v>2971</v>
      </c>
      <c r="L53" s="3518"/>
      <c r="O53" s="2421" t="s">
        <v>2387</v>
      </c>
      <c r="P53" s="2419" t="s">
        <v>2388</v>
      </c>
      <c r="Q53" s="2420">
        <f ca="1">J53</f>
        <v>32.31</v>
      </c>
      <c r="R53" s="2419" t="s">
        <v>2389</v>
      </c>
    </row>
    <row r="54" spans="1:18" s="2056" customFormat="1" ht="18" customHeight="1" thickBot="1">
      <c r="A54" s="2557" t="s">
        <v>2466</v>
      </c>
      <c r="B54" s="2558" t="s">
        <v>2458</v>
      </c>
      <c r="C54" s="2559"/>
      <c r="D54" s="2521"/>
      <c r="E54" s="2518"/>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8" t="s">
        <v>2390</v>
      </c>
      <c r="P54" s="2419" t="s">
        <v>2407</v>
      </c>
      <c r="Q54" s="2420">
        <f ca="1">Q48+Q49</f>
        <v>12208</v>
      </c>
      <c r="R54" s="2423" t="s">
        <v>2391</v>
      </c>
    </row>
    <row r="55" spans="1:18" s="2056" customFormat="1" ht="18" customHeight="1" thickTop="1" thickBot="1">
      <c r="A55" s="794">
        <v>2</v>
      </c>
      <c r="B55" s="795" t="s">
        <v>642</v>
      </c>
      <c r="C55" s="796">
        <f ca="1">C13</f>
        <v>3050</v>
      </c>
      <c r="D55" s="792"/>
      <c r="E55" s="792"/>
      <c r="F55" s="797"/>
      <c r="I55" s="3125" t="s">
        <v>2354</v>
      </c>
      <c r="J55" s="3124" t="e">
        <f ca="1">ROUND(IF(J47="钢混",J57/J50,1-(1-2%)*(J50-J57)/J50),3)</f>
        <v>#VALUE!</v>
      </c>
      <c r="K55" s="2397" t="s">
        <v>2355</v>
      </c>
      <c r="L55" s="2398"/>
      <c r="O55" s="2424" t="s">
        <v>2410</v>
      </c>
      <c r="P55" s="1589"/>
      <c r="Q55" s="1601"/>
      <c r="R55" s="1589"/>
    </row>
    <row r="56" spans="1:18" s="2056" customFormat="1" ht="42.75" customHeight="1" thickBot="1">
      <c r="A56" s="1647"/>
      <c r="B56" s="2228" t="s">
        <v>2300</v>
      </c>
      <c r="C56" s="52">
        <f ca="1">C29</f>
        <v>3050</v>
      </c>
      <c r="D56" s="2660"/>
      <c r="E56" s="781"/>
      <c r="F56" s="806"/>
      <c r="I56" s="2399" t="s">
        <v>2356</v>
      </c>
      <c r="J56" s="3148" t="s">
        <v>1674</v>
      </c>
      <c r="K56" s="2379" t="s">
        <v>2361</v>
      </c>
      <c r="L56" s="2388" t="str">
        <f ca="1">IF(L48&lt;J51,"——",L48-J51)</f>
        <v>——</v>
      </c>
      <c r="O56" s="2415" t="s">
        <v>2374</v>
      </c>
      <c r="P56" s="2416" t="s">
        <v>2375</v>
      </c>
      <c r="Q56" s="2417" t="s">
        <v>2376</v>
      </c>
      <c r="R56" s="2416" t="s">
        <v>2377</v>
      </c>
    </row>
    <row r="57" spans="1:18" s="2056" customFormat="1" ht="28.5" customHeight="1" thickBot="1">
      <c r="A57" s="794" t="s">
        <v>1744</v>
      </c>
      <c r="B57" s="795" t="s">
        <v>649</v>
      </c>
      <c r="C57" s="796">
        <f ca="1">ROUND(C58+C63+C64+C65,0)</f>
        <v>54</v>
      </c>
      <c r="D57" s="25" t="s">
        <v>1746</v>
      </c>
      <c r="E57" s="2661"/>
      <c r="F57" s="55"/>
      <c r="I57" s="2400" t="s">
        <v>2357</v>
      </c>
      <c r="J57" s="2402" t="str">
        <f ca="1">IF(OR(M47="住宅",J51&lt;L48,J56="是"),"——",J51-L48)</f>
        <v>——</v>
      </c>
      <c r="K57" s="2379" t="s">
        <v>2362</v>
      </c>
      <c r="L57" s="2388" t="str">
        <f ca="1">IF(L48&lt;J51,"——",IF(L55="比较法",L49,IF(L55="基准地价",L50,L51)))</f>
        <v>——</v>
      </c>
      <c r="O57" s="2418" t="s">
        <v>2378</v>
      </c>
      <c r="P57" s="2419" t="s">
        <v>2408</v>
      </c>
      <c r="Q57" s="2420">
        <f ca="1">C40+J29</f>
        <v>12208</v>
      </c>
      <c r="R57" s="2419" t="s">
        <v>2379</v>
      </c>
    </row>
    <row r="58" spans="1:18" s="2056" customFormat="1" ht="28.5" customHeight="1" thickBot="1">
      <c r="A58" s="1646" t="s">
        <v>1820</v>
      </c>
      <c r="B58" s="781" t="s">
        <v>654</v>
      </c>
      <c r="C58" s="52">
        <f ca="1">ROUND(IF(项目基本情况!B11="自然人",C47*F58,C59+C60+C61),1)</f>
        <v>3.1</v>
      </c>
      <c r="D58" s="2659" t="s">
        <v>655</v>
      </c>
      <c r="E58" s="2660" t="s">
        <v>688</v>
      </c>
      <c r="F58" s="807" t="str">
        <f ca="1">IF(项目基本情况!B11="企业","",IF(INDIRECT("'数据-取费表'!c"&amp;$G$1)="住宅",5%,IF(F48*F49*F50/12/(1+'数据-取费表'!C42)&gt;20000,12%,7%)))</f>
        <v/>
      </c>
      <c r="I58" s="2400" t="s">
        <v>2358</v>
      </c>
      <c r="J58" s="3126" t="e">
        <f ca="1">IF(J55&lt;0.4,0.4,J55)</f>
        <v>#VALUE!</v>
      </c>
      <c r="K58" s="2379" t="s">
        <v>2363</v>
      </c>
      <c r="L58" s="2388" t="e">
        <f ca="1">ROUND(POWER(1+L52,L47-L48)*(POWER(1+L52,L48)-1)/(POWER(1+L52,L47)-1),4)</f>
        <v>#DIV/0!</v>
      </c>
      <c r="O58" s="2418" t="s">
        <v>2380</v>
      </c>
      <c r="P58" s="2419" t="s">
        <v>2411</v>
      </c>
      <c r="Q58" s="2420">
        <f ca="1">L60</f>
        <v>0</v>
      </c>
      <c r="R58" s="2423" t="s">
        <v>2413</v>
      </c>
    </row>
    <row r="59" spans="1:18" s="2056" customFormat="1" ht="28.5" customHeight="1" thickBot="1">
      <c r="A59" s="1645" t="s">
        <v>1827</v>
      </c>
      <c r="B59" s="781" t="s">
        <v>658</v>
      </c>
      <c r="C59" s="52">
        <f ca="1">ROUND(C47*F59/1.05,1)</f>
        <v>0</v>
      </c>
      <c r="D59" s="2660" t="s">
        <v>1752</v>
      </c>
      <c r="E59" s="781" t="s">
        <v>1743</v>
      </c>
      <c r="F59" s="806">
        <f t="shared" ref="F59:F65" si="0">F32</f>
        <v>5.6000000000000001E-2</v>
      </c>
      <c r="I59" s="2400" t="s">
        <v>2359</v>
      </c>
      <c r="J59" s="2402"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2382</v>
      </c>
      <c r="P59" s="2419" t="s">
        <v>2412</v>
      </c>
      <c r="Q59" s="2420">
        <f>IF(L55="比较法",L49,IF(L55="基准地价",L50,0))</f>
        <v>0</v>
      </c>
      <c r="R59" s="2419" t="s">
        <v>2379</v>
      </c>
    </row>
    <row r="60" spans="1:18" s="2056" customFormat="1" ht="18" customHeight="1" thickBot="1">
      <c r="A60" s="1645" t="s">
        <v>1828</v>
      </c>
      <c r="B60" s="781" t="s">
        <v>1754</v>
      </c>
      <c r="C60" s="52">
        <f ca="1">IF(D60="按租金收入计税",ROUND(C47*F60,1),IF(D60="按房产原值计税",ROUND(C56*F60*0.7,1),INDIRECT("'数据-取费表'!Aj"&amp;$G$1)))</f>
        <v>0</v>
      </c>
      <c r="D60" s="2660" t="str">
        <f>D33</f>
        <v>按租金收入计税</v>
      </c>
      <c r="E60" s="781" t="s">
        <v>1743</v>
      </c>
      <c r="F60" s="806">
        <f t="shared" si="0"/>
        <v>0.12</v>
      </c>
      <c r="I60" s="2401" t="s">
        <v>2360</v>
      </c>
      <c r="J60" s="2403" t="str">
        <f ca="1">IF(OR(M47="住宅",J51&lt;L48,J56="是"),"0",ROUND(J59/(1+J52)^J53,0))</f>
        <v>0</v>
      </c>
      <c r="K60" s="2404" t="s">
        <v>2365</v>
      </c>
      <c r="L60" s="2403">
        <f ca="1">IF(OR(M47="住宅",L48&lt;J51),0,ROUND(L57*(L58/L59-1),0))</f>
        <v>0</v>
      </c>
      <c r="O60" s="2421" t="s">
        <v>2383</v>
      </c>
      <c r="P60" s="2419" t="s">
        <v>2392</v>
      </c>
      <c r="Q60" s="2422">
        <f>L52</f>
        <v>0</v>
      </c>
      <c r="R60" s="2423"/>
    </row>
    <row r="61" spans="1:18" s="2056" customFormat="1" ht="18" customHeight="1" thickBot="1">
      <c r="A61" s="1648" t="s">
        <v>1829</v>
      </c>
      <c r="B61" s="339" t="s">
        <v>666</v>
      </c>
      <c r="C61" s="53">
        <f ca="1">ROUND(F61*F62/10000,1)</f>
        <v>3.1</v>
      </c>
      <c r="D61" s="811" t="s">
        <v>667</v>
      </c>
      <c r="E61" s="781" t="s">
        <v>668</v>
      </c>
      <c r="F61" s="637">
        <f t="shared" si="0"/>
        <v>14</v>
      </c>
      <c r="K61" s="2083"/>
      <c r="O61" s="2421" t="s">
        <v>2385</v>
      </c>
      <c r="P61" s="2419" t="s">
        <v>2393</v>
      </c>
      <c r="Q61" s="2420" t="e">
        <f ca="1">L58</f>
        <v>#DIV/0!</v>
      </c>
      <c r="R61" s="2423" t="s">
        <v>2394</v>
      </c>
    </row>
    <row r="62" spans="1:18" s="2056" customFormat="1" ht="15.75" thickBot="1">
      <c r="A62" s="812"/>
      <c r="B62" s="790"/>
      <c r="C62" s="68"/>
      <c r="D62" s="813"/>
      <c r="E62" s="781" t="s">
        <v>672</v>
      </c>
      <c r="F62" s="782">
        <f t="shared" ca="1" si="0"/>
        <v>2181.1799999999998</v>
      </c>
      <c r="I62" s="2405" t="s">
        <v>2366</v>
      </c>
      <c r="J62" s="2406" t="s">
        <v>2367</v>
      </c>
      <c r="K62" s="2406" t="s">
        <v>2368</v>
      </c>
      <c r="L62" s="2406" t="s">
        <v>2349</v>
      </c>
      <c r="M62" s="3127" t="s">
        <v>2946</v>
      </c>
      <c r="O62" s="2421" t="s">
        <v>2387</v>
      </c>
      <c r="P62" s="2419" t="str">
        <f>K59</f>
        <v>建设期及建筑物耐用年限下的土地年期修正系数Kn</v>
      </c>
      <c r="Q62" s="2420" t="e">
        <f ca="1">L59</f>
        <v>#DIV/0!</v>
      </c>
      <c r="R62" s="2423" t="s">
        <v>2396</v>
      </c>
    </row>
    <row r="63" spans="1:18" s="2056" customFormat="1" ht="15.75" thickBot="1">
      <c r="A63" s="1646" t="s">
        <v>1885</v>
      </c>
      <c r="B63" s="781" t="s">
        <v>674</v>
      </c>
      <c r="C63" s="52">
        <f ca="1">ROUND(C56*F63,1)</f>
        <v>45.8</v>
      </c>
      <c r="D63" s="2660" t="s">
        <v>1799</v>
      </c>
      <c r="E63" s="781" t="s">
        <v>1743</v>
      </c>
      <c r="F63" s="814">
        <f t="shared" ca="1" si="0"/>
        <v>1.4999999999999999E-2</v>
      </c>
      <c r="I63" s="2405" t="s">
        <v>2369</v>
      </c>
      <c r="J63" s="2406">
        <v>70</v>
      </c>
      <c r="K63" s="2406">
        <v>50</v>
      </c>
      <c r="L63" s="2406">
        <v>80</v>
      </c>
      <c r="M63" s="3128">
        <v>0.02</v>
      </c>
      <c r="O63" s="2418" t="s">
        <v>2390</v>
      </c>
      <c r="P63" s="2419" t="s">
        <v>2407</v>
      </c>
      <c r="Q63" s="2420">
        <f ca="1">Q57+Q58</f>
        <v>12208</v>
      </c>
      <c r="R63" s="2423" t="s">
        <v>2391</v>
      </c>
    </row>
    <row r="64" spans="1:18" s="2056" customFormat="1" ht="16.5" thickBot="1">
      <c r="A64" s="1646" t="s">
        <v>1886</v>
      </c>
      <c r="B64" s="781" t="s">
        <v>677</v>
      </c>
      <c r="C64" s="52">
        <f ca="1">ROUND(C55*F64,1)</f>
        <v>4.5999999999999996</v>
      </c>
      <c r="D64" s="2660" t="s">
        <v>678</v>
      </c>
      <c r="E64" s="781" t="s">
        <v>1743</v>
      </c>
      <c r="F64" s="815">
        <f t="shared" ca="1" si="0"/>
        <v>1.5E-3</v>
      </c>
      <c r="I64" s="2405" t="s">
        <v>2370</v>
      </c>
      <c r="J64" s="2406">
        <v>50</v>
      </c>
      <c r="K64" s="2406">
        <v>35</v>
      </c>
      <c r="L64" s="2406">
        <v>60</v>
      </c>
      <c r="M64" s="3129">
        <v>0</v>
      </c>
      <c r="O64" s="2424" t="s">
        <v>2414</v>
      </c>
      <c r="P64" s="1589"/>
      <c r="Q64" s="1601"/>
      <c r="R64" s="1589"/>
    </row>
    <row r="65" spans="1:18" s="2056" customFormat="1" ht="15.75" thickBot="1">
      <c r="A65" s="1646" t="s">
        <v>1887</v>
      </c>
      <c r="B65" s="781" t="s">
        <v>664</v>
      </c>
      <c r="C65" s="52">
        <f ca="1">ROUND(C47*F65,1)</f>
        <v>0</v>
      </c>
      <c r="D65" s="2660" t="s">
        <v>681</v>
      </c>
      <c r="E65" s="781" t="s">
        <v>1743</v>
      </c>
      <c r="F65" s="791">
        <f t="shared" ca="1" si="0"/>
        <v>0.01</v>
      </c>
      <c r="I65" s="2405" t="s">
        <v>2371</v>
      </c>
      <c r="J65" s="2406">
        <v>40</v>
      </c>
      <c r="K65" s="2406">
        <v>30</v>
      </c>
      <c r="L65" s="2406">
        <v>50</v>
      </c>
      <c r="M65" s="3128">
        <v>0.02</v>
      </c>
      <c r="O65" s="2415" t="s">
        <v>2374</v>
      </c>
      <c r="P65" s="2416" t="s">
        <v>2375</v>
      </c>
      <c r="Q65" s="2417" t="s">
        <v>2376</v>
      </c>
      <c r="R65" s="2416" t="s">
        <v>2377</v>
      </c>
    </row>
    <row r="66" spans="1:18" s="2056" customFormat="1" ht="24.75" thickBot="1">
      <c r="A66" s="794" t="s">
        <v>1772</v>
      </c>
      <c r="B66" s="3033" t="s">
        <v>2823</v>
      </c>
      <c r="C66" s="796">
        <f ca="1">C47-C57</f>
        <v>-54</v>
      </c>
      <c r="D66" s="2659" t="s">
        <v>698</v>
      </c>
      <c r="E66" s="2658"/>
      <c r="F66" s="817"/>
      <c r="K66" s="2083"/>
      <c r="O66" s="2418" t="s">
        <v>2378</v>
      </c>
      <c r="P66" s="2419" t="s">
        <v>2408</v>
      </c>
      <c r="Q66" s="2420">
        <f ca="1">C40+J29</f>
        <v>12208</v>
      </c>
      <c r="R66" s="2419" t="s">
        <v>2379</v>
      </c>
    </row>
    <row r="67" spans="1:18" s="2056" customFormat="1" ht="20.25" thickBot="1">
      <c r="A67" s="778" t="s">
        <v>1776</v>
      </c>
      <c r="B67" s="2229" t="s">
        <v>2299</v>
      </c>
      <c r="C67" s="780">
        <f ca="1">ROUND(C66*(1-((1+F69)/(1+F67))^F68)/(F67-F69),0)</f>
        <v>-808</v>
      </c>
      <c r="D67" s="811" t="s">
        <v>702</v>
      </c>
      <c r="E67" s="781" t="s">
        <v>703</v>
      </c>
      <c r="F67" s="791">
        <f ca="1">F40</f>
        <v>5.5E-2</v>
      </c>
      <c r="K67" s="2083"/>
      <c r="O67" s="2418" t="s">
        <v>2380</v>
      </c>
      <c r="P67" s="2419" t="s">
        <v>2411</v>
      </c>
      <c r="Q67" s="2420">
        <f ca="1">L60</f>
        <v>0</v>
      </c>
      <c r="R67" s="2423" t="s">
        <v>2413</v>
      </c>
    </row>
    <row r="68" spans="1:18" ht="21.75" thickBot="1">
      <c r="A68" s="783"/>
      <c r="B68" s="784"/>
      <c r="C68" s="785"/>
      <c r="D68" s="818" t="s">
        <v>1804</v>
      </c>
      <c r="E68" s="781" t="s">
        <v>1780</v>
      </c>
      <c r="F68" s="819">
        <f ca="1">F41</f>
        <v>32.31</v>
      </c>
      <c r="O68" s="2421" t="s">
        <v>2382</v>
      </c>
      <c r="P68" s="2419" t="s">
        <v>2412</v>
      </c>
      <c r="Q68" s="2425">
        <f ca="1">L51</f>
        <v>5039</v>
      </c>
      <c r="R68" s="2426" t="s">
        <v>2415</v>
      </c>
    </row>
    <row r="69" spans="1:18" ht="20.25" thickBot="1">
      <c r="A69" s="787"/>
      <c r="B69" s="788"/>
      <c r="C69" s="789"/>
      <c r="D69" s="813"/>
      <c r="E69" s="781" t="s">
        <v>708</v>
      </c>
      <c r="F69" s="2367"/>
      <c r="O69" s="2421" t="s">
        <v>2383</v>
      </c>
      <c r="P69" s="2427" t="s">
        <v>2397</v>
      </c>
      <c r="Q69" s="2420">
        <f ca="1">ROUND(Q70-Q71*Q72,0)</f>
        <v>307</v>
      </c>
      <c r="R69" s="2423"/>
    </row>
    <row r="70" spans="1:18" ht="15.75" thickBot="1">
      <c r="A70" s="820" t="s">
        <v>1783</v>
      </c>
      <c r="B70" s="821" t="s">
        <v>1806</v>
      </c>
      <c r="C70" s="822">
        <f ca="1">ROUND(C67*10000/F70,0)</f>
        <v>-1052</v>
      </c>
      <c r="D70" s="823" t="s">
        <v>1807</v>
      </c>
      <c r="E70" s="824" t="s">
        <v>1808</v>
      </c>
      <c r="F70" s="825">
        <f ca="1">F43</f>
        <v>7678.2</v>
      </c>
      <c r="O70" s="2421" t="s">
        <v>2398</v>
      </c>
      <c r="P70" s="2427" t="s">
        <v>2399</v>
      </c>
      <c r="Q70" s="2420">
        <f ca="1">C39</f>
        <v>566</v>
      </c>
      <c r="R70" s="2419" t="s">
        <v>2379</v>
      </c>
    </row>
    <row r="71" spans="1:18" ht="15.75" thickBot="1">
      <c r="O71" s="2421" t="s">
        <v>2400</v>
      </c>
      <c r="P71" s="2427" t="s">
        <v>2401</v>
      </c>
      <c r="Q71" s="2420">
        <f ca="1">C13</f>
        <v>3050</v>
      </c>
      <c r="R71" s="2419" t="s">
        <v>2379</v>
      </c>
    </row>
    <row r="72" spans="1:18" ht="15.75" thickBot="1">
      <c r="O72" s="2421" t="s">
        <v>2402</v>
      </c>
      <c r="P72" s="2427" t="s">
        <v>2403</v>
      </c>
      <c r="Q72" s="2422">
        <f ca="1">J36</f>
        <v>8.5000000000000006E-2</v>
      </c>
      <c r="R72" s="2423"/>
    </row>
    <row r="73" spans="1:18" ht="15.75" thickBot="1">
      <c r="O73" s="2421" t="s">
        <v>2385</v>
      </c>
      <c r="P73" s="2419" t="s">
        <v>2392</v>
      </c>
      <c r="Q73" s="2422">
        <f>L52</f>
        <v>0</v>
      </c>
      <c r="R73" s="2423"/>
    </row>
    <row r="74" spans="1:18" ht="20.25" thickBot="1">
      <c r="O74" s="2421" t="s">
        <v>2387</v>
      </c>
      <c r="P74" s="2419" t="s">
        <v>2393</v>
      </c>
      <c r="Q74" s="2420" t="e">
        <f ca="1">L58</f>
        <v>#DIV/0!</v>
      </c>
      <c r="R74" s="2423" t="s">
        <v>2394</v>
      </c>
    </row>
    <row r="75" spans="1:18" ht="15.75" thickBot="1">
      <c r="O75" s="2421" t="s">
        <v>2416</v>
      </c>
      <c r="P75" s="2419" t="str">
        <f>K59</f>
        <v>建设期及建筑物耐用年限下的土地年期修正系数Kn</v>
      </c>
      <c r="Q75" s="2420" t="e">
        <f ca="1">L59</f>
        <v>#DIV/0!</v>
      </c>
      <c r="R75" s="2423" t="s">
        <v>2396</v>
      </c>
    </row>
    <row r="76" spans="1:18" ht="15.75" thickBot="1">
      <c r="O76" s="2418" t="s">
        <v>2390</v>
      </c>
      <c r="P76" s="2419" t="s">
        <v>2407</v>
      </c>
      <c r="Q76" s="2420">
        <f ca="1">Q66+Q67</f>
        <v>12208</v>
      </c>
      <c r="R76" s="242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19" t="s">
        <v>2470</v>
      </c>
      <c r="B1" s="3520"/>
      <c r="C1" s="3521"/>
      <c r="D1" s="3522">
        <f>SUM(I10,I15,I20,I21,I23)</f>
        <v>0</v>
      </c>
      <c r="E1" s="3522"/>
      <c r="F1" s="3522"/>
      <c r="G1" s="3522"/>
      <c r="H1" s="3522"/>
      <c r="I1" s="3523"/>
    </row>
    <row r="2" spans="1:9">
      <c r="A2" s="3524" t="s">
        <v>2471</v>
      </c>
      <c r="B2" s="3525" t="s">
        <v>2472</v>
      </c>
      <c r="C2" s="3525"/>
      <c r="D2" s="2527" t="s">
        <v>2473</v>
      </c>
      <c r="E2" s="2527" t="s">
        <v>2474</v>
      </c>
      <c r="F2" s="2527" t="s">
        <v>2475</v>
      </c>
      <c r="G2" s="2527" t="s">
        <v>2476</v>
      </c>
      <c r="H2" s="2527" t="s">
        <v>2477</v>
      </c>
      <c r="I2" s="2528" t="s">
        <v>2478</v>
      </c>
    </row>
    <row r="3" spans="1:9">
      <c r="A3" s="3524"/>
      <c r="B3" s="3525" t="s">
        <v>2479</v>
      </c>
      <c r="C3" s="3525"/>
      <c r="D3" s="2529"/>
      <c r="E3" s="2527"/>
      <c r="F3" s="2530"/>
      <c r="G3" s="2530"/>
      <c r="H3" s="2531"/>
      <c r="I3" s="2532">
        <f>ROUND(D3*E3*F3*G3*H3/10000,0)</f>
        <v>0</v>
      </c>
    </row>
    <row r="4" spans="1:9">
      <c r="A4" s="3524"/>
      <c r="B4" s="3525" t="s">
        <v>2480</v>
      </c>
      <c r="C4" s="3525"/>
      <c r="D4" s="2529"/>
      <c r="E4" s="2527"/>
      <c r="F4" s="2530"/>
      <c r="G4" s="2530"/>
      <c r="H4" s="2531"/>
      <c r="I4" s="2532">
        <f t="shared" ref="I4:I9" si="0">ROUND(D4*E4*F4*G4*H4/10000,0)</f>
        <v>0</v>
      </c>
    </row>
    <row r="5" spans="1:9">
      <c r="A5" s="3524"/>
      <c r="B5" s="3525" t="s">
        <v>2481</v>
      </c>
      <c r="C5" s="3525"/>
      <c r="D5" s="2529"/>
      <c r="E5" s="2527"/>
      <c r="F5" s="2530"/>
      <c r="G5" s="2530"/>
      <c r="H5" s="2531"/>
      <c r="I5" s="2532">
        <f t="shared" si="0"/>
        <v>0</v>
      </c>
    </row>
    <row r="6" spans="1:9">
      <c r="A6" s="3524"/>
      <c r="B6" s="3525" t="s">
        <v>2482</v>
      </c>
      <c r="C6" s="3525"/>
      <c r="D6" s="2529"/>
      <c r="E6" s="2527"/>
      <c r="F6" s="2530"/>
      <c r="G6" s="2530"/>
      <c r="H6" s="2531"/>
      <c r="I6" s="2532">
        <f t="shared" si="0"/>
        <v>0</v>
      </c>
    </row>
    <row r="7" spans="1:9">
      <c r="A7" s="3524"/>
      <c r="B7" s="3525" t="s">
        <v>2483</v>
      </c>
      <c r="C7" s="3525"/>
      <c r="D7" s="2529"/>
      <c r="E7" s="2527"/>
      <c r="F7" s="2530"/>
      <c r="G7" s="2530"/>
      <c r="H7" s="2531"/>
      <c r="I7" s="2532">
        <f t="shared" si="0"/>
        <v>0</v>
      </c>
    </row>
    <row r="8" spans="1:9">
      <c r="A8" s="3524"/>
      <c r="B8" s="3525" t="s">
        <v>2484</v>
      </c>
      <c r="C8" s="3525"/>
      <c r="D8" s="2529"/>
      <c r="E8" s="2527"/>
      <c r="F8" s="2530"/>
      <c r="G8" s="2530"/>
      <c r="H8" s="2531"/>
      <c r="I8" s="2532">
        <f t="shared" si="0"/>
        <v>0</v>
      </c>
    </row>
    <row r="9" spans="1:9">
      <c r="A9" s="3524"/>
      <c r="B9" s="3525" t="s">
        <v>2485</v>
      </c>
      <c r="C9" s="3525"/>
      <c r="D9" s="2529"/>
      <c r="E9" s="2527"/>
      <c r="F9" s="2530"/>
      <c r="G9" s="2530"/>
      <c r="H9" s="2531"/>
      <c r="I9" s="2532">
        <f t="shared" si="0"/>
        <v>0</v>
      </c>
    </row>
    <row r="10" spans="1:9">
      <c r="A10" s="3524"/>
      <c r="B10" s="3526" t="s">
        <v>2486</v>
      </c>
      <c r="C10" s="3526"/>
      <c r="D10" s="2533">
        <v>527</v>
      </c>
      <c r="E10" s="2533" t="e">
        <f>ROUND(D1*10000/D10/H9,0)</f>
        <v>#DIV/0!</v>
      </c>
      <c r="F10" s="2534"/>
      <c r="G10" s="2534"/>
      <c r="H10" s="2535"/>
      <c r="I10" s="2536">
        <f>SUM(I3:I9)</f>
        <v>0</v>
      </c>
    </row>
    <row r="11" spans="1:9" ht="14.25">
      <c r="A11" s="3524" t="s">
        <v>2487</v>
      </c>
      <c r="B11" s="3525" t="s">
        <v>2488</v>
      </c>
      <c r="C11" s="3525"/>
      <c r="D11" s="2529" t="s">
        <v>2489</v>
      </c>
      <c r="E11" s="2529" t="s">
        <v>2490</v>
      </c>
      <c r="F11" s="2530" t="s">
        <v>2491</v>
      </c>
      <c r="G11" s="2530" t="s">
        <v>2492</v>
      </c>
      <c r="H11" s="2537" t="s">
        <v>2493</v>
      </c>
      <c r="I11" s="2528" t="s">
        <v>2494</v>
      </c>
    </row>
    <row r="12" spans="1:9">
      <c r="A12" s="3524"/>
      <c r="B12" s="3525" t="s">
        <v>2495</v>
      </c>
      <c r="C12" s="3525"/>
      <c r="D12" s="2529"/>
      <c r="E12" s="2529"/>
      <c r="F12" s="2530"/>
      <c r="G12" s="2531"/>
      <c r="H12" s="2538"/>
      <c r="I12" s="2528">
        <f>ROUND(D12*E12*F12*G12/10000,0)</f>
        <v>0</v>
      </c>
    </row>
    <row r="13" spans="1:9">
      <c r="A13" s="3524"/>
      <c r="B13" s="3525" t="s">
        <v>2496</v>
      </c>
      <c r="C13" s="3525"/>
      <c r="D13" s="2529"/>
      <c r="E13" s="2529"/>
      <c r="F13" s="2530"/>
      <c r="G13" s="2531"/>
      <c r="H13" s="2538"/>
      <c r="I13" s="2528">
        <f>ROUND(D13*E13*F13*G13/10000,0)</f>
        <v>0</v>
      </c>
    </row>
    <row r="14" spans="1:9">
      <c r="A14" s="3524"/>
      <c r="B14" s="3525" t="s">
        <v>2497</v>
      </c>
      <c r="C14" s="3525"/>
      <c r="D14" s="2529"/>
      <c r="E14" s="2529"/>
      <c r="F14" s="2530"/>
      <c r="G14" s="2531"/>
      <c r="H14" s="2538"/>
      <c r="I14" s="2528">
        <f>ROUND(D14*E14*F14*G14/10000,0)</f>
        <v>0</v>
      </c>
    </row>
    <row r="15" spans="1:9">
      <c r="A15" s="3524"/>
      <c r="B15" s="3526" t="s">
        <v>2486</v>
      </c>
      <c r="C15" s="3526"/>
      <c r="D15" s="2533"/>
      <c r="E15" s="2533">
        <f>SUM(E12:E14)</f>
        <v>0</v>
      </c>
      <c r="F15" s="2534"/>
      <c r="G15" s="2531"/>
      <c r="H15" s="2538"/>
      <c r="I15" s="2539">
        <f>SUM(I12:I14)</f>
        <v>0</v>
      </c>
    </row>
    <row r="16" spans="1:9" ht="24">
      <c r="A16" s="3524" t="s">
        <v>2498</v>
      </c>
      <c r="B16" s="3525" t="s">
        <v>2499</v>
      </c>
      <c r="C16" s="3525"/>
      <c r="D16" s="2529" t="s">
        <v>2500</v>
      </c>
      <c r="E16" s="2540" t="s">
        <v>2501</v>
      </c>
      <c r="F16" s="2530" t="s">
        <v>2502</v>
      </c>
      <c r="G16" s="2531" t="s">
        <v>2492</v>
      </c>
      <c r="H16" s="2537" t="s">
        <v>2493</v>
      </c>
      <c r="I16" s="2528" t="s">
        <v>2494</v>
      </c>
    </row>
    <row r="17" spans="1:9" ht="14.25">
      <c r="A17" s="3524"/>
      <c r="B17" s="3525" t="s">
        <v>2503</v>
      </c>
      <c r="C17" s="3525"/>
      <c r="D17" s="2529"/>
      <c r="E17" s="2529"/>
      <c r="F17" s="2530"/>
      <c r="G17" s="2531"/>
      <c r="H17" s="2541"/>
      <c r="I17" s="2542">
        <f>ROUND(D17*E17*F17*G17/10000,0)</f>
        <v>0</v>
      </c>
    </row>
    <row r="18" spans="1:9" ht="14.25">
      <c r="A18" s="3524"/>
      <c r="B18" s="3525" t="s">
        <v>2504</v>
      </c>
      <c r="C18" s="3525"/>
      <c r="D18" s="2529"/>
      <c r="E18" s="2529"/>
      <c r="F18" s="2530"/>
      <c r="G18" s="2531"/>
      <c r="H18" s="2541"/>
      <c r="I18" s="2542">
        <f>ROUND(D18*E18*F18*G18/10000,0)</f>
        <v>0</v>
      </c>
    </row>
    <row r="19" spans="1:9" ht="14.25">
      <c r="A19" s="3524"/>
      <c r="B19" s="3525" t="s">
        <v>2505</v>
      </c>
      <c r="C19" s="3525"/>
      <c r="D19" s="2529"/>
      <c r="E19" s="2529"/>
      <c r="F19" s="2530"/>
      <c r="G19" s="2531"/>
      <c r="H19" s="2541"/>
      <c r="I19" s="2542">
        <f>ROUND(D19*E19*F19*G19/10000,0)</f>
        <v>0</v>
      </c>
    </row>
    <row r="20" spans="1:9">
      <c r="A20" s="3524"/>
      <c r="B20" s="3526" t="s">
        <v>2486</v>
      </c>
      <c r="C20" s="3526"/>
      <c r="D20" s="2533">
        <f>SUM(D17:D19)</f>
        <v>0</v>
      </c>
      <c r="E20" s="2533"/>
      <c r="F20" s="2534"/>
      <c r="G20" s="2531"/>
      <c r="H20" s="2538"/>
      <c r="I20" s="2539">
        <f>SUM(I17:I19)</f>
        <v>0</v>
      </c>
    </row>
    <row r="21" spans="1:9">
      <c r="A21" s="3524" t="s">
        <v>2506</v>
      </c>
      <c r="B21" s="3528"/>
      <c r="C21" s="3528"/>
      <c r="D21" s="3528"/>
      <c r="E21" s="3528"/>
      <c r="F21" s="3528"/>
      <c r="G21" s="3528"/>
      <c r="H21" s="2543">
        <v>0.1</v>
      </c>
      <c r="I21" s="2536">
        <f>ROUND(I10*H21,0)</f>
        <v>0</v>
      </c>
    </row>
    <row r="22" spans="1:9" ht="14.25">
      <c r="A22" s="3529" t="s">
        <v>2507</v>
      </c>
      <c r="B22" s="3530"/>
      <c r="C22" s="3531"/>
      <c r="D22" s="2544" t="s">
        <v>2508</v>
      </c>
      <c r="E22" s="2544" t="s">
        <v>2509</v>
      </c>
      <c r="F22" s="2545" t="s">
        <v>2510</v>
      </c>
      <c r="G22" s="2545" t="s">
        <v>2511</v>
      </c>
      <c r="H22" s="2537" t="s">
        <v>2512</v>
      </c>
      <c r="I22" s="2528" t="s">
        <v>2513</v>
      </c>
    </row>
    <row r="23" spans="1:9" ht="14.25" thickBot="1">
      <c r="A23" s="3532"/>
      <c r="B23" s="3533"/>
      <c r="C23" s="3534"/>
      <c r="D23" s="2546"/>
      <c r="E23" s="2546"/>
      <c r="F23" s="2546"/>
      <c r="G23" s="2547"/>
      <c r="H23" s="2548"/>
      <c r="I23" s="2549">
        <f>ROUND(E23*D23*F23*(1-G23)/10000,0)</f>
        <v>0</v>
      </c>
    </row>
    <row r="26" spans="1:9">
      <c r="A26" s="2550" t="s">
        <v>2514</v>
      </c>
      <c r="B26" s="2550"/>
      <c r="C26" s="2550"/>
      <c r="D26" s="2550"/>
      <c r="E26" s="3535">
        <f>C27-C30-C31-C32</f>
        <v>0</v>
      </c>
      <c r="F26" s="3535"/>
      <c r="G26" s="3535"/>
      <c r="H26" s="3066" t="s">
        <v>2844</v>
      </c>
    </row>
    <row r="27" spans="1:9">
      <c r="A27" s="2551">
        <v>1</v>
      </c>
      <c r="B27" s="2552" t="s">
        <v>2515</v>
      </c>
      <c r="C27" s="2552"/>
      <c r="D27" s="2552"/>
      <c r="E27" s="3536"/>
      <c r="F27" s="3536"/>
      <c r="G27" s="3536"/>
    </row>
    <row r="28" spans="1:9">
      <c r="A28" s="2553" t="s">
        <v>2516</v>
      </c>
      <c r="B28" s="2552" t="s">
        <v>2517</v>
      </c>
      <c r="C28" s="2552"/>
      <c r="D28" s="2552"/>
      <c r="E28" s="3536"/>
      <c r="F28" s="3536"/>
      <c r="G28" s="3536"/>
    </row>
    <row r="29" spans="1:9">
      <c r="A29" s="2553" t="s">
        <v>2518</v>
      </c>
      <c r="B29" s="2552" t="s">
        <v>2458</v>
      </c>
      <c r="C29" s="2552"/>
      <c r="D29" s="2552"/>
      <c r="E29" s="2552" t="s">
        <v>2519</v>
      </c>
      <c r="F29" s="2552"/>
      <c r="G29" s="2552"/>
    </row>
    <row r="30" spans="1:9">
      <c r="A30" s="2551">
        <v>2</v>
      </c>
      <c r="B30" s="2552" t="s">
        <v>2520</v>
      </c>
      <c r="C30" s="2552">
        <f>C27*D30</f>
        <v>0</v>
      </c>
      <c r="D30" s="2554">
        <v>0.2</v>
      </c>
      <c r="E30" s="2552" t="s">
        <v>2521</v>
      </c>
      <c r="F30" s="2552"/>
      <c r="G30" s="2552"/>
    </row>
    <row r="31" spans="1:9">
      <c r="A31" s="2551">
        <v>3</v>
      </c>
      <c r="B31" s="2552" t="s">
        <v>2522</v>
      </c>
      <c r="C31" s="2552">
        <f>C25*D31</f>
        <v>0</v>
      </c>
      <c r="D31" s="2554">
        <v>0.15</v>
      </c>
      <c r="E31" s="2552" t="s">
        <v>2523</v>
      </c>
      <c r="F31" s="2552"/>
      <c r="G31" s="2552"/>
    </row>
    <row r="32" spans="1:9">
      <c r="A32" s="2551">
        <v>4</v>
      </c>
      <c r="B32" s="2552" t="s">
        <v>2524</v>
      </c>
      <c r="C32" s="2552">
        <f>C27*D32</f>
        <v>0</v>
      </c>
      <c r="D32" s="2554">
        <v>0.05</v>
      </c>
      <c r="E32" s="3527"/>
      <c r="F32" s="3527"/>
      <c r="G32" s="3527"/>
    </row>
    <row r="33" spans="1:7" hidden="1">
      <c r="A33" s="3537" t="s">
        <v>2525</v>
      </c>
      <c r="B33" s="3538"/>
      <c r="C33" s="3538"/>
      <c r="D33" s="3539"/>
      <c r="E33" s="3535"/>
      <c r="F33" s="3535"/>
      <c r="G33" s="3535"/>
    </row>
    <row r="34" spans="1:7" hidden="1">
      <c r="A34" s="2555">
        <v>1</v>
      </c>
      <c r="B34" s="2552" t="s">
        <v>2526</v>
      </c>
      <c r="C34" s="2552"/>
      <c r="D34" s="2552"/>
      <c r="E34" s="3536"/>
      <c r="F34" s="3536"/>
      <c r="G34" s="3536"/>
    </row>
    <row r="35" spans="1:7" hidden="1">
      <c r="A35" s="2555">
        <v>2</v>
      </c>
      <c r="B35" s="2552" t="s">
        <v>2527</v>
      </c>
      <c r="C35" s="2552"/>
      <c r="D35" s="2552"/>
      <c r="E35" s="3536"/>
      <c r="F35" s="3536"/>
      <c r="G35" s="3536"/>
    </row>
    <row r="36" spans="1:7" hidden="1">
      <c r="A36" s="2555">
        <v>3</v>
      </c>
      <c r="B36" s="2552" t="s">
        <v>2528</v>
      </c>
      <c r="C36" s="2552"/>
      <c r="D36" s="2552"/>
      <c r="E36" s="3536"/>
      <c r="F36" s="3536"/>
      <c r="G36" s="3536"/>
    </row>
    <row r="37" spans="1:7" hidden="1">
      <c r="A37" s="2555">
        <v>4</v>
      </c>
      <c r="B37" s="2552" t="s">
        <v>2529</v>
      </c>
      <c r="C37" s="2552"/>
      <c r="D37" s="2552"/>
      <c r="E37" s="3536"/>
      <c r="F37" s="3536"/>
      <c r="G37" s="3536"/>
    </row>
    <row r="38" spans="1:7" hidden="1">
      <c r="A38" s="3537" t="s">
        <v>2530</v>
      </c>
      <c r="B38" s="3538"/>
      <c r="C38" s="3538"/>
      <c r="D38" s="3539"/>
      <c r="E38" s="3535"/>
      <c r="F38" s="3535"/>
      <c r="G38" s="35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受贵公司委托，我公司对8号地块出让国有建设用地使用权抵押价格进行了预评估。</v>
      </c>
    </row>
    <row r="5" spans="1:4" ht="18.75">
      <c r="A5" s="1792" t="s">
        <v>1901</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93.75">
      <c r="A7" s="2895" t="s">
        <v>2749</v>
      </c>
    </row>
    <row r="8" spans="1:4" ht="18.75">
      <c r="A8" s="1792" t="s">
        <v>1902</v>
      </c>
    </row>
    <row r="9" spans="1:4" ht="75">
      <c r="A9" s="1794"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2018年1月9日（评估专业人员勘察现场之日）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97" t="s">
        <v>2750</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601</v>
      </c>
      <c r="B1" s="739"/>
      <c r="C1" s="2179"/>
      <c r="D1" s="2179"/>
      <c r="E1" s="2179"/>
      <c r="F1" s="2179"/>
      <c r="G1" s="2105"/>
    </row>
    <row r="2" spans="1:25" s="2056" customFormat="1" ht="18" customHeight="1">
      <c r="A2" s="421" t="s">
        <v>464</v>
      </c>
      <c r="B2" s="423">
        <f ca="1">C23</f>
        <v>0</v>
      </c>
      <c r="C2" s="2105"/>
      <c r="D2" s="2105"/>
      <c r="E2" s="2105"/>
      <c r="F2" s="2105"/>
      <c r="G2" s="2105"/>
    </row>
    <row r="3" spans="1:25" s="2056" customFormat="1" ht="18" customHeight="1">
      <c r="A3" s="1376" t="s">
        <v>1681</v>
      </c>
      <c r="B3" s="423">
        <f ca="1">ROUND(B2*10000/'数据-汇总表'!E3,0)</f>
        <v>0</v>
      </c>
      <c r="C3" s="2105"/>
      <c r="D3" s="2105"/>
      <c r="E3" s="2105"/>
      <c r="F3" s="2105"/>
      <c r="G3" s="2105"/>
    </row>
    <row r="4" spans="1:25" s="2056" customFormat="1" ht="18" customHeight="1">
      <c r="A4" s="424" t="s">
        <v>465</v>
      </c>
      <c r="B4" s="425">
        <f ca="1">ROUND(B2*10000/'数据-汇总表'!D3,0)</f>
        <v>0</v>
      </c>
      <c r="C4" s="2058"/>
      <c r="D4" s="2105"/>
      <c r="E4" s="2105"/>
      <c r="F4" s="2105"/>
      <c r="G4" s="2105"/>
    </row>
    <row r="5" spans="1:25" s="2056" customFormat="1" ht="18" customHeight="1" thickBot="1">
      <c r="A5" s="427"/>
      <c r="B5" s="428">
        <f ca="1">ROUND(B2/('数据-汇总表'!D3/666.67),0)</f>
        <v>0</v>
      </c>
      <c r="C5" s="429" t="s">
        <v>466</v>
      </c>
      <c r="D5" s="2105"/>
      <c r="E5" s="2105"/>
      <c r="F5" s="2105"/>
      <c r="G5" s="2105"/>
    </row>
    <row r="6" spans="1:25" s="2180" customFormat="1" ht="13.5" customHeight="1">
      <c r="A6" s="740"/>
      <c r="B6" s="741" t="s">
        <v>602</v>
      </c>
      <c r="C6" s="742" t="s">
        <v>603</v>
      </c>
      <c r="D6" s="742" t="s">
        <v>604</v>
      </c>
      <c r="E6" s="743" t="s">
        <v>605</v>
      </c>
      <c r="F6" s="743" t="s">
        <v>606</v>
      </c>
      <c r="G6" s="744"/>
    </row>
    <row r="7" spans="1:25" s="2180" customFormat="1" ht="13.5" customHeight="1">
      <c r="A7" s="2489">
        <v>1</v>
      </c>
      <c r="B7" s="745" t="s">
        <v>607</v>
      </c>
      <c r="C7" s="746">
        <f>C8+C9</f>
        <v>0</v>
      </c>
      <c r="D7" s="746"/>
      <c r="E7" s="747"/>
      <c r="F7" s="747"/>
      <c r="G7" s="2499"/>
    </row>
    <row r="8" spans="1:25" s="2180" customFormat="1" ht="13.5" customHeight="1">
      <c r="A8" s="2489" t="s">
        <v>2438</v>
      </c>
      <c r="B8" s="2492" t="s">
        <v>2440</v>
      </c>
      <c r="C8" s="2493"/>
      <c r="D8" s="746"/>
      <c r="E8" s="747"/>
      <c r="F8" s="747"/>
      <c r="G8" s="748"/>
    </row>
    <row r="9" spans="1:25" s="2180" customFormat="1" ht="13.5" customHeight="1">
      <c r="A9" s="2489" t="s">
        <v>2439</v>
      </c>
      <c r="B9" s="2492" t="s">
        <v>2441</v>
      </c>
      <c r="C9" s="2493"/>
      <c r="D9" s="746"/>
      <c r="E9" s="747"/>
      <c r="F9" s="747"/>
      <c r="G9" s="748"/>
    </row>
    <row r="10" spans="1:25" s="2180" customFormat="1" ht="36">
      <c r="A10" s="2489">
        <v>2</v>
      </c>
      <c r="B10" s="745" t="s">
        <v>611</v>
      </c>
      <c r="C10" s="746">
        <f>C11+C14+C15</f>
        <v>0</v>
      </c>
      <c r="D10" s="757">
        <f>'数据-汇总表'!E3</f>
        <v>320965.16000000003</v>
      </c>
      <c r="E10" s="746">
        <f>'数据-取费表'!B31</f>
        <v>200</v>
      </c>
      <c r="F10" s="758"/>
      <c r="G10" s="756" t="s">
        <v>612</v>
      </c>
    </row>
    <row r="11" spans="1:25" s="2180" customFormat="1" ht="13.5" customHeight="1">
      <c r="A11" s="2489" t="s">
        <v>2438</v>
      </c>
      <c r="B11" s="749" t="s">
        <v>608</v>
      </c>
      <c r="C11" s="750">
        <f>'数据-取费表'!B29</f>
        <v>0</v>
      </c>
      <c r="D11" s="751"/>
      <c r="E11" s="750"/>
      <c r="F11" s="752"/>
      <c r="G11" s="2498" t="s">
        <v>2449</v>
      </c>
    </row>
    <row r="12" spans="1:25" s="2180" customFormat="1" ht="13.5" customHeight="1">
      <c r="A12" s="2496" t="s">
        <v>2446</v>
      </c>
      <c r="B12" s="753" t="s">
        <v>609</v>
      </c>
      <c r="C12" s="754">
        <f>ROUND(D12*E12/10000,0)</f>
        <v>2896</v>
      </c>
      <c r="D12" s="755">
        <f>'数据-汇总表'!E5</f>
        <v>241349.54</v>
      </c>
      <c r="E12" s="754">
        <f>'数据-取费表'!B27</f>
        <v>120</v>
      </c>
      <c r="F12" s="752"/>
      <c r="G12" s="756"/>
    </row>
    <row r="13" spans="1:25" s="2180" customFormat="1" ht="13.5" customHeight="1">
      <c r="A13" s="2496" t="s">
        <v>2445</v>
      </c>
      <c r="B13" s="753" t="s">
        <v>610</v>
      </c>
      <c r="C13" s="754">
        <f>ROUND(D13*E13/10000,0)</f>
        <v>1274</v>
      </c>
      <c r="D13" s="755">
        <f>'数据-汇总表'!E6</f>
        <v>79615.620000000024</v>
      </c>
      <c r="E13" s="754">
        <f>'数据-取费表'!B28</f>
        <v>160</v>
      </c>
      <c r="F13" s="752"/>
      <c r="G13" s="756"/>
    </row>
    <row r="14" spans="1:25" s="2180" customFormat="1" ht="13.5" customHeight="1">
      <c r="A14" s="2489" t="s">
        <v>2439</v>
      </c>
      <c r="B14" s="2495" t="s">
        <v>2442</v>
      </c>
      <c r="C14" s="2493"/>
      <c r="D14" s="755"/>
      <c r="E14" s="754"/>
      <c r="F14" s="2494"/>
      <c r="G14" s="2497" t="s">
        <v>2447</v>
      </c>
    </row>
    <row r="15" spans="1:25" s="2180" customFormat="1" ht="13.5" customHeight="1">
      <c r="A15" s="2489" t="s">
        <v>2444</v>
      </c>
      <c r="B15" s="2495" t="s">
        <v>2443</v>
      </c>
      <c r="C15" s="2493"/>
      <c r="D15" s="755"/>
      <c r="E15" s="754"/>
      <c r="F15" s="2494"/>
      <c r="G15" s="2497" t="s">
        <v>2448</v>
      </c>
    </row>
    <row r="16" spans="1:25" s="2181" customFormat="1" ht="48">
      <c r="A16" s="2489">
        <v>3</v>
      </c>
      <c r="B16" s="745" t="s">
        <v>613</v>
      </c>
      <c r="C16" s="2493"/>
      <c r="D16" s="757"/>
      <c r="E16" s="746"/>
      <c r="F16" s="758"/>
      <c r="G16" s="756" t="s">
        <v>2450</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0">
        <v>4</v>
      </c>
      <c r="B17" s="745" t="s">
        <v>614</v>
      </c>
      <c r="C17" s="259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1"/>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0">
        <v>5</v>
      </c>
      <c r="B18" s="745" t="s">
        <v>615</v>
      </c>
      <c r="C18" s="746">
        <f>ROUND((C7+C10+C16)*F18,0)</f>
        <v>0</v>
      </c>
      <c r="D18" s="759"/>
      <c r="E18" s="760"/>
      <c r="F18" s="758">
        <f>'数据-取费表'!Q16</f>
        <v>0.15</v>
      </c>
      <c r="G18" s="762" t="s">
        <v>616</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89">
        <v>6</v>
      </c>
      <c r="B19" s="745" t="s">
        <v>617</v>
      </c>
      <c r="C19" s="746">
        <f ca="1">C7+C10+C16+C17+C18</f>
        <v>0</v>
      </c>
      <c r="D19" s="757"/>
      <c r="E19" s="746"/>
      <c r="F19" s="758"/>
      <c r="G19" s="762" t="s">
        <v>618</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89">
        <v>7</v>
      </c>
      <c r="B20" s="745" t="s">
        <v>619</v>
      </c>
      <c r="C20" s="746">
        <f ca="1">ROUND(C19*F20,0)</f>
        <v>0</v>
      </c>
      <c r="D20" s="757"/>
      <c r="E20" s="746"/>
      <c r="F20" s="1346"/>
      <c r="G20" s="762" t="s">
        <v>620</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89">
        <v>8</v>
      </c>
      <c r="B21" s="745" t="s">
        <v>621</v>
      </c>
      <c r="C21" s="746">
        <f ca="1">C19+C20</f>
        <v>0</v>
      </c>
      <c r="D21" s="757"/>
      <c r="E21" s="746"/>
      <c r="F21" s="758"/>
      <c r="G21" s="762" t="s">
        <v>622</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89">
        <v>9</v>
      </c>
      <c r="B22" s="745" t="s">
        <v>623</v>
      </c>
      <c r="C22" s="746">
        <f ca="1">ROUND(C21*F22,0)</f>
        <v>0</v>
      </c>
      <c r="D22" s="757"/>
      <c r="E22" s="746"/>
      <c r="F22" s="763">
        <f>'数据-取费表'!AP16</f>
        <v>0.94</v>
      </c>
      <c r="G22" s="762" t="s">
        <v>624</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1">
        <v>10</v>
      </c>
      <c r="B23" s="764" t="s">
        <v>625</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755</v>
      </c>
      <c r="C1" s="502" t="s">
        <v>718</v>
      </c>
      <c r="D1" s="2366"/>
      <c r="E1" s="504"/>
      <c r="F1" s="2829"/>
      <c r="G1" s="1598" t="s">
        <v>719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464</v>
      </c>
      <c r="B2" s="847"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thickBot="1">
      <c r="A3" s="507" t="s">
        <v>517</v>
      </c>
      <c r="B3" s="508" t="e">
        <f>C49</f>
        <v>#DIV/0!</v>
      </c>
      <c r="C3" s="849" t="s">
        <v>720</v>
      </c>
      <c r="D3" s="848">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519</v>
      </c>
      <c r="B4" s="511"/>
      <c r="C4" s="3427" t="s">
        <v>520</v>
      </c>
      <c r="D4" s="3428"/>
      <c r="E4" s="3461" t="s">
        <v>521</v>
      </c>
      <c r="F4" s="3462"/>
      <c r="G4" s="3427" t="s">
        <v>522</v>
      </c>
      <c r="H4" s="3428"/>
      <c r="I4" s="3427" t="s">
        <v>523</v>
      </c>
      <c r="J4" s="3428"/>
      <c r="K4" s="512" t="s">
        <v>524</v>
      </c>
      <c r="L4" s="2130"/>
      <c r="M4" s="2131"/>
      <c r="N4" s="2131"/>
      <c r="O4" s="2131"/>
      <c r="P4" s="3429" t="s">
        <v>525</v>
      </c>
      <c r="Q4" s="3430"/>
      <c r="R4" s="3435" t="s">
        <v>521</v>
      </c>
      <c r="S4" s="3436"/>
      <c r="T4" s="3435" t="s">
        <v>522</v>
      </c>
      <c r="U4" s="3436"/>
      <c r="V4" s="3422" t="s">
        <v>523</v>
      </c>
      <c r="W4" s="3422"/>
      <c r="X4" s="1564"/>
      <c r="Y4" s="3435" t="s">
        <v>525</v>
      </c>
      <c r="Z4" s="3436"/>
      <c r="AA4" s="3424" t="s">
        <v>521</v>
      </c>
      <c r="AB4" s="3422" t="s">
        <v>522</v>
      </c>
      <c r="AC4" s="3424" t="s">
        <v>523</v>
      </c>
    </row>
    <row r="5" spans="1:29" ht="15">
      <c r="A5" s="513"/>
      <c r="B5" s="514"/>
      <c r="C5" s="3443" t="s">
        <v>2931</v>
      </c>
      <c r="D5" s="3444"/>
      <c r="E5" s="3463" t="s">
        <v>2932</v>
      </c>
      <c r="F5" s="3464"/>
      <c r="G5" s="3443" t="s">
        <v>2933</v>
      </c>
      <c r="H5" s="3444"/>
      <c r="I5" s="3443" t="s">
        <v>2934</v>
      </c>
      <c r="J5" s="3444"/>
      <c r="K5" s="512"/>
      <c r="L5" s="2130"/>
      <c r="M5" s="2131"/>
      <c r="N5" s="2131"/>
      <c r="O5" s="2131"/>
      <c r="P5" s="3431"/>
      <c r="Q5" s="3432"/>
      <c r="R5" s="3437"/>
      <c r="S5" s="3438"/>
      <c r="T5" s="3437"/>
      <c r="U5" s="3438"/>
      <c r="V5" s="3422"/>
      <c r="W5" s="3422"/>
      <c r="X5" s="1564"/>
      <c r="Y5" s="3437"/>
      <c r="Z5" s="3438"/>
      <c r="AA5" s="3425"/>
      <c r="AB5" s="3422"/>
      <c r="AC5" s="3425"/>
    </row>
    <row r="6" spans="1:29" ht="15.75" thickBot="1">
      <c r="A6" s="515"/>
      <c r="B6" s="516"/>
      <c r="C6" s="3441" t="s">
        <v>2935</v>
      </c>
      <c r="D6" s="3442"/>
      <c r="E6" s="3459" t="s">
        <v>2935</v>
      </c>
      <c r="F6" s="3460"/>
      <c r="G6" s="3441" t="s">
        <v>2935</v>
      </c>
      <c r="H6" s="3442"/>
      <c r="I6" s="3441" t="s">
        <v>2935</v>
      </c>
      <c r="J6" s="3442"/>
      <c r="K6" s="512" t="s">
        <v>526</v>
      </c>
      <c r="L6" s="2130"/>
      <c r="M6" s="2131"/>
      <c r="N6" s="2131"/>
      <c r="O6" s="2131"/>
      <c r="P6" s="3433"/>
      <c r="Q6" s="3434"/>
      <c r="R6" s="3437"/>
      <c r="S6" s="3438"/>
      <c r="T6" s="3439"/>
      <c r="U6" s="3440"/>
      <c r="V6" s="3422"/>
      <c r="W6" s="3422"/>
      <c r="X6" s="1564"/>
      <c r="Y6" s="3439"/>
      <c r="Z6" s="3440"/>
      <c r="AA6" s="3426"/>
      <c r="AB6" s="3422"/>
      <c r="AC6" s="3426"/>
    </row>
    <row r="7" spans="1:29" s="1217" customFormat="1" ht="15.75" thickBot="1">
      <c r="A7" s="2934"/>
      <c r="B7" s="2941" t="s">
        <v>527</v>
      </c>
      <c r="C7" s="517">
        <f>'数据-取费表'!B2</f>
        <v>43109</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52" t="s">
        <v>528</v>
      </c>
      <c r="Q7" s="3454"/>
      <c r="R7" s="1565" t="s">
        <v>8</v>
      </c>
      <c r="S7" s="1566">
        <f t="shared" ref="S7:S15" si="0">F7</f>
        <v>0</v>
      </c>
      <c r="T7" s="1565" t="s">
        <v>8</v>
      </c>
      <c r="U7" s="1566">
        <f t="shared" ref="U7:U15" si="1">H7</f>
        <v>0</v>
      </c>
      <c r="V7" s="1565" t="s">
        <v>8</v>
      </c>
      <c r="W7" s="1566">
        <f t="shared" ref="W7:W15" si="2">J7</f>
        <v>0</v>
      </c>
      <c r="X7" s="1567"/>
      <c r="Y7" s="3452" t="s">
        <v>528</v>
      </c>
      <c r="Z7" s="3453"/>
      <c r="AA7" s="1568" t="e">
        <f>D7/F7</f>
        <v>#DIV/0!</v>
      </c>
      <c r="AB7" s="1568" t="e">
        <f>D7/H7</f>
        <v>#DIV/0!</v>
      </c>
      <c r="AC7" s="1568" t="e">
        <f>D7/J7</f>
        <v>#DIV/0!</v>
      </c>
    </row>
    <row r="8" spans="1:29" s="1217" customFormat="1" ht="15.75" thickBot="1">
      <c r="A8" s="2935"/>
      <c r="B8" s="2942" t="s">
        <v>529</v>
      </c>
      <c r="C8" s="523" t="s">
        <v>574</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52" t="s">
        <v>531</v>
      </c>
      <c r="Q8" s="3453"/>
      <c r="R8" s="1565" t="s">
        <v>8</v>
      </c>
      <c r="S8" s="1566">
        <f t="shared" si="0"/>
        <v>0</v>
      </c>
      <c r="T8" s="1565" t="s">
        <v>8</v>
      </c>
      <c r="U8" s="1566">
        <f t="shared" si="1"/>
        <v>0</v>
      </c>
      <c r="V8" s="1565" t="s">
        <v>8</v>
      </c>
      <c r="W8" s="1566">
        <f t="shared" si="2"/>
        <v>0</v>
      </c>
      <c r="X8" s="1567"/>
      <c r="Y8" s="3452" t="s">
        <v>531</v>
      </c>
      <c r="Z8" s="3453"/>
      <c r="AA8" s="1568" t="e">
        <f t="shared" ref="AA8:AA46" si="3">D8/F8</f>
        <v>#DIV/0!</v>
      </c>
      <c r="AB8" s="1568" t="e">
        <f t="shared" ref="AB8:AB46" si="4">D8/H8</f>
        <v>#DIV/0!</v>
      </c>
      <c r="AC8" s="1568" t="e">
        <f t="shared" ref="AC8:AC46" si="5">D8/J8</f>
        <v>#DIV/0!</v>
      </c>
    </row>
    <row r="9" spans="1:29" s="1217" customFormat="1" ht="15">
      <c r="A9" s="2936"/>
      <c r="B9" s="2943" t="s">
        <v>2757</v>
      </c>
      <c r="C9" s="854"/>
      <c r="D9" s="252">
        <v>100</v>
      </c>
      <c r="E9" s="857"/>
      <c r="F9" s="252">
        <f>SUMIF(63:63,E9,64:64)-SUMIF(63:63,C9,64:64)+100</f>
        <v>100</v>
      </c>
      <c r="G9" s="855"/>
      <c r="H9" s="252">
        <f>SUMIF(63:63,G9,64:64)-SUMIF(63:63,C9,64:64)+100</f>
        <v>100</v>
      </c>
      <c r="I9" s="855"/>
      <c r="J9" s="252">
        <f>SUMIF(63:63,I9,64:64)-SUMIF(63:63,C9,64:64)+100</f>
        <v>100</v>
      </c>
      <c r="K9" s="522"/>
      <c r="L9" s="2132"/>
      <c r="M9" s="2133"/>
      <c r="N9" s="2133"/>
      <c r="O9" s="2134"/>
      <c r="P9" s="3421" t="s">
        <v>533</v>
      </c>
      <c r="Q9" s="1148" t="str">
        <f t="shared" ref="Q9:Q15" si="6">B9</f>
        <v>用途</v>
      </c>
      <c r="R9" s="1565" t="s">
        <v>8</v>
      </c>
      <c r="S9" s="1566">
        <f t="shared" si="0"/>
        <v>100</v>
      </c>
      <c r="T9" s="1565" t="s">
        <v>8</v>
      </c>
      <c r="U9" s="1566">
        <f t="shared" si="1"/>
        <v>100</v>
      </c>
      <c r="V9" s="1565" t="s">
        <v>8</v>
      </c>
      <c r="W9" s="1566">
        <f t="shared" si="2"/>
        <v>100</v>
      </c>
      <c r="X9" s="1567"/>
      <c r="Y9" s="3367" t="s">
        <v>534</v>
      </c>
      <c r="Z9" s="1147" t="str">
        <f t="shared" ref="Z9:Z15" si="7">Q9</f>
        <v>用途</v>
      </c>
      <c r="AA9" s="1568">
        <f t="shared" si="3"/>
        <v>1</v>
      </c>
      <c r="AB9" s="1568">
        <f t="shared" si="4"/>
        <v>1</v>
      </c>
      <c r="AC9" s="1568">
        <f t="shared" si="5"/>
        <v>1</v>
      </c>
    </row>
    <row r="10" spans="1:29" s="1335" customFormat="1" ht="27">
      <c r="A10" s="2937"/>
      <c r="B10" s="2942" t="s">
        <v>2758</v>
      </c>
      <c r="C10" s="858"/>
      <c r="D10" s="253">
        <v>100</v>
      </c>
      <c r="E10" s="858"/>
      <c r="F10" s="253">
        <f>SUMIF(65:65,E10,66:66)-SUMIF(65:65,C10,66:66)+100</f>
        <v>100</v>
      </c>
      <c r="G10" s="859"/>
      <c r="H10" s="253">
        <f>SUMIF(65:65,G10,66:66)-SUMIF(65:65,C10,66:66)+100</f>
        <v>100</v>
      </c>
      <c r="I10" s="858"/>
      <c r="J10" s="253">
        <f>SUMIF(65:65,I10,66:66)-SUMIF(65:65,C10,66:66)+100</f>
        <v>100</v>
      </c>
      <c r="K10" s="581"/>
      <c r="L10" s="2135"/>
      <c r="M10" s="2175"/>
      <c r="N10" s="2175"/>
      <c r="O10" s="2136"/>
      <c r="P10" s="3421"/>
      <c r="Q10" s="1148" t="str">
        <f t="shared" si="6"/>
        <v>土地使用年限（年）</v>
      </c>
      <c r="R10" s="1565" t="s">
        <v>8</v>
      </c>
      <c r="S10" s="1566">
        <f t="shared" si="0"/>
        <v>100</v>
      </c>
      <c r="T10" s="1565" t="s">
        <v>8</v>
      </c>
      <c r="U10" s="1566">
        <f t="shared" si="1"/>
        <v>100</v>
      </c>
      <c r="V10" s="1565" t="s">
        <v>8</v>
      </c>
      <c r="W10" s="1566">
        <f t="shared" si="2"/>
        <v>100</v>
      </c>
      <c r="X10" s="1567"/>
      <c r="Y10" s="3367"/>
      <c r="Z10" s="1147" t="str">
        <f t="shared" si="7"/>
        <v>土地使用年限（年）</v>
      </c>
      <c r="AA10" s="1568">
        <f t="shared" si="3"/>
        <v>1</v>
      </c>
      <c r="AB10" s="1568">
        <f t="shared" si="4"/>
        <v>1</v>
      </c>
      <c r="AC10" s="1568">
        <f t="shared" si="5"/>
        <v>1</v>
      </c>
    </row>
    <row r="11" spans="1:29" ht="15">
      <c r="A11" s="2938"/>
      <c r="B11" s="2942" t="s">
        <v>2759</v>
      </c>
      <c r="C11" s="530"/>
      <c r="D11" s="253">
        <v>100</v>
      </c>
      <c r="E11" s="530"/>
      <c r="F11" s="253" t="e">
        <f>LOOKUP(E11,68:68,69:69)-LOOKUP(C11,68:68,69:69)+100</f>
        <v>#N/A</v>
      </c>
      <c r="G11" s="531"/>
      <c r="H11" s="253" t="e">
        <f>LOOKUP(G11,68:68,69:69)-LOOKUP(C11,68:68,69:69)+100</f>
        <v>#N/A</v>
      </c>
      <c r="I11" s="530"/>
      <c r="J11" s="253" t="e">
        <f>LOOKUP(I11,68:68,69:69)-LOOKUP(C11,68:68,69:69)+100</f>
        <v>#N/A</v>
      </c>
      <c r="K11" s="581"/>
      <c r="L11" s="2137"/>
      <c r="M11" s="2131"/>
      <c r="N11" s="2131"/>
      <c r="O11" s="2138"/>
      <c r="P11" s="3421"/>
      <c r="Q11" s="1148" t="str">
        <f t="shared" si="6"/>
        <v>容积率</v>
      </c>
      <c r="R11" s="1565" t="s">
        <v>8</v>
      </c>
      <c r="S11" s="1566" t="e">
        <f t="shared" si="0"/>
        <v>#N/A</v>
      </c>
      <c r="T11" s="1565" t="s">
        <v>8</v>
      </c>
      <c r="U11" s="1566" t="e">
        <f t="shared" si="1"/>
        <v>#N/A</v>
      </c>
      <c r="V11" s="1565" t="s">
        <v>8</v>
      </c>
      <c r="W11" s="1566" t="e">
        <f t="shared" si="2"/>
        <v>#N/A</v>
      </c>
      <c r="X11" s="1567"/>
      <c r="Y11" s="3367"/>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3">
        <f>SUMIF(70:70,E12,71:71)-SUMIF(70:70,C12,71:71)+100</f>
        <v>100</v>
      </c>
      <c r="G12" s="909"/>
      <c r="H12" s="253">
        <f>SUMIF(70:70,G12,71:71)-SUMIF(70:70,C12,71:71)+100</f>
        <v>100</v>
      </c>
      <c r="I12" s="536"/>
      <c r="J12" s="253">
        <f>SUMIF(70:70,I12,71:71)-SUMIF(70:70,C12,71:71)+100</f>
        <v>100</v>
      </c>
      <c r="K12" s="578"/>
      <c r="L12" s="2132"/>
      <c r="M12" s="2133"/>
      <c r="N12" s="2133"/>
      <c r="O12" s="2134"/>
      <c r="P12" s="3421"/>
      <c r="Q12" s="1148">
        <f t="shared" si="6"/>
        <v>111</v>
      </c>
      <c r="R12" s="1565" t="s">
        <v>8</v>
      </c>
      <c r="S12" s="1566">
        <f t="shared" si="0"/>
        <v>100</v>
      </c>
      <c r="T12" s="1565" t="s">
        <v>8</v>
      </c>
      <c r="U12" s="1566">
        <f t="shared" si="1"/>
        <v>100</v>
      </c>
      <c r="V12" s="1565" t="s">
        <v>8</v>
      </c>
      <c r="W12" s="1566">
        <f t="shared" si="2"/>
        <v>100</v>
      </c>
      <c r="X12" s="1567"/>
      <c r="Y12" s="3367"/>
      <c r="Z12" s="1147">
        <f t="shared" si="7"/>
        <v>111</v>
      </c>
      <c r="AA12" s="1568">
        <f>D12/F12</f>
        <v>1</v>
      </c>
      <c r="AB12" s="1568">
        <f>D12/H12</f>
        <v>1</v>
      </c>
      <c r="AC12" s="1568">
        <f>D12/J12</f>
        <v>1</v>
      </c>
    </row>
    <row r="13" spans="1:29" ht="15">
      <c r="A13" s="2939"/>
      <c r="B13" s="2945">
        <v>111</v>
      </c>
      <c r="C13" s="536"/>
      <c r="D13" s="537">
        <v>100</v>
      </c>
      <c r="E13" s="536"/>
      <c r="F13" s="253">
        <f>SUMIF(72:72,E13,73:73)-SUMIF(72:72,C13,73:73)+100</f>
        <v>100</v>
      </c>
      <c r="G13" s="909"/>
      <c r="H13" s="537">
        <f>SUMIF(72:72,G13,73:73)-SUMIF(72:72,C13,73:73)+100</f>
        <v>100</v>
      </c>
      <c r="I13" s="536"/>
      <c r="J13" s="537">
        <f>SUMIF(72:72,I13,73:73)-SUMIF(72:72,C13,73:73)+100</f>
        <v>100</v>
      </c>
      <c r="K13" s="578"/>
      <c r="L13" s="2139"/>
      <c r="M13" s="2131"/>
      <c r="N13" s="2131"/>
      <c r="O13" s="2138"/>
      <c r="P13" s="3421"/>
      <c r="Q13" s="1148">
        <f t="shared" si="6"/>
        <v>111</v>
      </c>
      <c r="R13" s="1565" t="s">
        <v>8</v>
      </c>
      <c r="S13" s="1566">
        <f t="shared" si="0"/>
        <v>100</v>
      </c>
      <c r="T13" s="1565" t="s">
        <v>8</v>
      </c>
      <c r="U13" s="1566">
        <f t="shared" si="1"/>
        <v>100</v>
      </c>
      <c r="V13" s="1565" t="s">
        <v>8</v>
      </c>
      <c r="W13" s="1566">
        <f t="shared" si="2"/>
        <v>100</v>
      </c>
      <c r="X13" s="1567"/>
      <c r="Y13" s="3367"/>
      <c r="Z13" s="1147">
        <f t="shared" si="7"/>
        <v>111</v>
      </c>
      <c r="AA13" s="1568">
        <f t="shared" si="3"/>
        <v>1</v>
      </c>
      <c r="AB13" s="1568">
        <f t="shared" si="4"/>
        <v>1</v>
      </c>
      <c r="AC13" s="1568">
        <f t="shared" si="5"/>
        <v>1</v>
      </c>
    </row>
    <row r="14" spans="1:29" ht="15.75" thickBot="1">
      <c r="A14" s="2940"/>
      <c r="B14" s="2946">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421"/>
      <c r="Q14" s="1148">
        <f t="shared" si="6"/>
        <v>111</v>
      </c>
      <c r="R14" s="1565" t="s">
        <v>8</v>
      </c>
      <c r="S14" s="1566">
        <f t="shared" si="0"/>
        <v>100</v>
      </c>
      <c r="T14" s="1565" t="s">
        <v>8</v>
      </c>
      <c r="U14" s="1566">
        <f t="shared" si="1"/>
        <v>100</v>
      </c>
      <c r="V14" s="1565" t="s">
        <v>8</v>
      </c>
      <c r="W14" s="1566">
        <f t="shared" si="2"/>
        <v>100</v>
      </c>
      <c r="X14" s="1567"/>
      <c r="Y14" s="3367"/>
      <c r="Z14" s="1147">
        <f t="shared" si="7"/>
        <v>111</v>
      </c>
      <c r="AA14" s="1568">
        <f t="shared" si="3"/>
        <v>1</v>
      </c>
      <c r="AB14" s="1568">
        <f t="shared" si="4"/>
        <v>1</v>
      </c>
      <c r="AC14" s="1568">
        <f t="shared" si="5"/>
        <v>1</v>
      </c>
    </row>
    <row r="15" spans="1:29" ht="71.25">
      <c r="A15" s="2932" t="s">
        <v>2755</v>
      </c>
      <c r="B15" s="164" t="s">
        <v>539</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455" t="s">
        <v>538</v>
      </c>
      <c r="Q15" s="1569" t="str">
        <f t="shared" si="6"/>
        <v>商业繁华度</v>
      </c>
      <c r="R15" s="1570" t="s">
        <v>8</v>
      </c>
      <c r="S15" s="1571">
        <f t="shared" si="0"/>
        <v>100</v>
      </c>
      <c r="T15" s="1570" t="s">
        <v>8</v>
      </c>
      <c r="U15" s="1571">
        <f t="shared" si="1"/>
        <v>100</v>
      </c>
      <c r="V15" s="1570" t="s">
        <v>8</v>
      </c>
      <c r="W15" s="1571">
        <f t="shared" si="2"/>
        <v>100</v>
      </c>
      <c r="X15" s="1564"/>
      <c r="Y15" s="3455" t="s">
        <v>538</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39"/>
      <c r="M16" s="2131"/>
      <c r="N16" s="2131"/>
      <c r="O16" s="2138"/>
      <c r="P16" s="3456"/>
      <c r="Q16" s="1569"/>
      <c r="R16" s="1570"/>
      <c r="S16" s="1571"/>
      <c r="T16" s="1570"/>
      <c r="U16" s="1571"/>
      <c r="V16" s="1570"/>
      <c r="W16" s="1571"/>
      <c r="X16" s="1564"/>
      <c r="Y16" s="3456"/>
      <c r="Z16" s="1572"/>
      <c r="AA16" s="1573">
        <v>1</v>
      </c>
      <c r="AB16" s="1573">
        <v>1</v>
      </c>
      <c r="AC16" s="1573">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456"/>
      <c r="Q17" s="1569" t="str">
        <f>B17</f>
        <v>交通便捷度</v>
      </c>
      <c r="R17" s="1570" t="s">
        <v>8</v>
      </c>
      <c r="S17" s="1571">
        <f>F17</f>
        <v>100</v>
      </c>
      <c r="T17" s="1570" t="s">
        <v>8</v>
      </c>
      <c r="U17" s="1571">
        <f>H17</f>
        <v>100</v>
      </c>
      <c r="V17" s="1570" t="s">
        <v>8</v>
      </c>
      <c r="W17" s="1571">
        <f>J17</f>
        <v>100</v>
      </c>
      <c r="X17" s="1564"/>
      <c r="Y17" s="345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9"/>
      <c r="M18" s="2131"/>
      <c r="N18" s="2131"/>
      <c r="O18" s="2138"/>
      <c r="P18" s="3456"/>
      <c r="Q18" s="1569"/>
      <c r="R18" s="1570"/>
      <c r="S18" s="1571"/>
      <c r="T18" s="1570"/>
      <c r="U18" s="1571"/>
      <c r="V18" s="1570"/>
      <c r="W18" s="1571"/>
      <c r="X18" s="1564"/>
      <c r="Y18" s="3456"/>
      <c r="Z18" s="1572"/>
      <c r="AA18" s="1573">
        <v>1</v>
      </c>
      <c r="AB18" s="1573">
        <v>1</v>
      </c>
      <c r="AC18" s="1573">
        <v>1</v>
      </c>
    </row>
    <row r="19" spans="1:29" ht="42.75">
      <c r="A19" s="529"/>
      <c r="B19" s="2620"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456"/>
      <c r="Q19" s="1569" t="str">
        <f>B19</f>
        <v>公共配套设施</v>
      </c>
      <c r="R19" s="1570" t="s">
        <v>8</v>
      </c>
      <c r="S19" s="1571">
        <f>F19</f>
        <v>100</v>
      </c>
      <c r="T19" s="1570" t="s">
        <v>8</v>
      </c>
      <c r="U19" s="1571">
        <f>H19</f>
        <v>100</v>
      </c>
      <c r="V19" s="1570" t="s">
        <v>8</v>
      </c>
      <c r="W19" s="1571">
        <f>J19</f>
        <v>100</v>
      </c>
      <c r="X19" s="1564"/>
      <c r="Y19" s="345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39"/>
      <c r="M20" s="2131"/>
      <c r="N20" s="2131"/>
      <c r="O20" s="2138"/>
      <c r="P20" s="3456"/>
      <c r="Q20" s="1569"/>
      <c r="R20" s="1570"/>
      <c r="S20" s="1571"/>
      <c r="T20" s="1570"/>
      <c r="U20" s="1571"/>
      <c r="V20" s="1570"/>
      <c r="W20" s="1571"/>
      <c r="X20" s="1564"/>
      <c r="Y20" s="3456"/>
      <c r="Z20" s="1572"/>
      <c r="AA20" s="1573">
        <v>1</v>
      </c>
      <c r="AB20" s="1573">
        <v>1</v>
      </c>
      <c r="AC20" s="1573">
        <v>1</v>
      </c>
    </row>
    <row r="21" spans="1:29" ht="28.5">
      <c r="A21" s="529"/>
      <c r="B21" s="2613"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456"/>
      <c r="Q21" s="2599" t="str">
        <f>B21</f>
        <v>基础设施水平</v>
      </c>
      <c r="R21" s="1570" t="s">
        <v>8</v>
      </c>
      <c r="S21" s="1571">
        <f>F21</f>
        <v>100</v>
      </c>
      <c r="T21" s="1570" t="s">
        <v>8</v>
      </c>
      <c r="U21" s="1571">
        <f>H21</f>
        <v>100</v>
      </c>
      <c r="V21" s="1570" t="s">
        <v>8</v>
      </c>
      <c r="W21" s="1571">
        <f>J21</f>
        <v>100</v>
      </c>
      <c r="X21" s="2601"/>
      <c r="Y21" s="3456"/>
      <c r="Z21" s="2600"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2"/>
      <c r="L22" s="2139"/>
      <c r="M22" s="2131"/>
      <c r="N22" s="2131"/>
      <c r="O22" s="2138"/>
      <c r="P22" s="3456"/>
      <c r="Q22" s="2599"/>
      <c r="R22" s="1570"/>
      <c r="S22" s="1571"/>
      <c r="T22" s="1570"/>
      <c r="U22" s="1571"/>
      <c r="V22" s="1570"/>
      <c r="W22" s="1571"/>
      <c r="X22" s="2601"/>
      <c r="Y22" s="3456"/>
      <c r="Z22" s="2600"/>
      <c r="AA22" s="1573">
        <v>1</v>
      </c>
      <c r="AB22" s="1573">
        <v>1</v>
      </c>
      <c r="AC22" s="1573">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456"/>
      <c r="Q23" s="1569" t="str">
        <f>B23</f>
        <v>自然及人文环境</v>
      </c>
      <c r="R23" s="1570" t="s">
        <v>8</v>
      </c>
      <c r="S23" s="1571">
        <f>F23</f>
        <v>100</v>
      </c>
      <c r="T23" s="1570" t="s">
        <v>8</v>
      </c>
      <c r="U23" s="1571">
        <f>H23</f>
        <v>100</v>
      </c>
      <c r="V23" s="1570" t="s">
        <v>8</v>
      </c>
      <c r="W23" s="1571">
        <f>J23</f>
        <v>100</v>
      </c>
      <c r="X23" s="1564"/>
      <c r="Y23" s="345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39"/>
      <c r="M24" s="2131"/>
      <c r="N24" s="2131"/>
      <c r="O24" s="2138"/>
      <c r="P24" s="3456"/>
      <c r="Q24" s="1569"/>
      <c r="R24" s="1570"/>
      <c r="S24" s="1571"/>
      <c r="T24" s="1570"/>
      <c r="U24" s="1571"/>
      <c r="V24" s="1570"/>
      <c r="W24" s="1571"/>
      <c r="X24" s="1564"/>
      <c r="Y24" s="3456"/>
      <c r="Z24" s="1572"/>
      <c r="AA24" s="1573">
        <v>1</v>
      </c>
      <c r="AB24" s="1573">
        <v>1</v>
      </c>
      <c r="AC24" s="1573">
        <v>1</v>
      </c>
    </row>
    <row r="25" spans="1:29" ht="15">
      <c r="A25" s="529"/>
      <c r="B25" s="525" t="s">
        <v>545</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456"/>
      <c r="Q25" s="1569" t="str">
        <f t="shared" ref="Q25:Q46" si="11">B25</f>
        <v>临街状况</v>
      </c>
      <c r="R25" s="1570" t="s">
        <v>8</v>
      </c>
      <c r="S25" s="1571">
        <f>F25</f>
        <v>100</v>
      </c>
      <c r="T25" s="1570" t="s">
        <v>8</v>
      </c>
      <c r="U25" s="1571">
        <f>H25</f>
        <v>100</v>
      </c>
      <c r="V25" s="1570" t="s">
        <v>8</v>
      </c>
      <c r="W25" s="1571">
        <f>J25</f>
        <v>100</v>
      </c>
      <c r="X25" s="1564"/>
      <c r="Y25" s="3456"/>
      <c r="Z25" s="1572" t="str">
        <f>Q25</f>
        <v>临街状况</v>
      </c>
      <c r="AA25" s="1573">
        <f t="shared" si="3"/>
        <v>1</v>
      </c>
      <c r="AB25" s="1573">
        <f t="shared" si="4"/>
        <v>1</v>
      </c>
      <c r="AC25" s="1573">
        <f t="shared" si="5"/>
        <v>1</v>
      </c>
    </row>
    <row r="26" spans="1:29" ht="15">
      <c r="A26" s="529"/>
      <c r="B26" s="874" t="s">
        <v>756</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456"/>
      <c r="Q26" s="1569" t="str">
        <f t="shared" si="11"/>
        <v>平面位置/可视性</v>
      </c>
      <c r="R26" s="1570" t="s">
        <v>8</v>
      </c>
      <c r="S26" s="1571">
        <f>F26</f>
        <v>100</v>
      </c>
      <c r="T26" s="1570" t="s">
        <v>8</v>
      </c>
      <c r="U26" s="1571">
        <f>H26</f>
        <v>100</v>
      </c>
      <c r="V26" s="1570" t="s">
        <v>8</v>
      </c>
      <c r="W26" s="1571">
        <f>J26</f>
        <v>100</v>
      </c>
      <c r="X26" s="1564"/>
      <c r="Y26" s="3456"/>
      <c r="Z26" s="1572" t="str">
        <f>Q26</f>
        <v>平面位置/可视性</v>
      </c>
      <c r="AA26" s="1573">
        <f t="shared" si="3"/>
        <v>1</v>
      </c>
      <c r="AB26" s="1573">
        <f t="shared" si="4"/>
        <v>1</v>
      </c>
      <c r="AC26" s="1573">
        <f t="shared" si="5"/>
        <v>1</v>
      </c>
    </row>
    <row r="27" spans="1:29" s="1217" customFormat="1" ht="15">
      <c r="A27" s="533"/>
      <c r="B27" s="868" t="s">
        <v>757</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456"/>
      <c r="Q27" s="1148" t="str">
        <f t="shared" si="11"/>
        <v>人流量</v>
      </c>
      <c r="R27" s="1565" t="s">
        <v>8</v>
      </c>
      <c r="S27" s="1566">
        <f>F27</f>
        <v>100</v>
      </c>
      <c r="T27" s="1565" t="s">
        <v>8</v>
      </c>
      <c r="U27" s="1566">
        <f>H27</f>
        <v>100</v>
      </c>
      <c r="V27" s="1565" t="s">
        <v>8</v>
      </c>
      <c r="W27" s="1566">
        <f>J27</f>
        <v>100</v>
      </c>
      <c r="X27" s="1567"/>
      <c r="Y27" s="3456"/>
      <c r="Z27" s="1147" t="str">
        <f>Q27</f>
        <v>人流量</v>
      </c>
      <c r="AA27" s="1573">
        <f>D27/F27</f>
        <v>1</v>
      </c>
      <c r="AB27" s="1573">
        <f>D27/H27</f>
        <v>1</v>
      </c>
      <c r="AC27" s="1573">
        <f>D27/J27</f>
        <v>1</v>
      </c>
    </row>
    <row r="28" spans="1:29" ht="15">
      <c r="A28" s="529"/>
      <c r="B28" s="525" t="s">
        <v>759</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45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5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456"/>
      <c r="Q29" s="1569">
        <f t="shared" si="11"/>
        <v>111</v>
      </c>
      <c r="R29" s="1570" t="s">
        <v>8</v>
      </c>
      <c r="S29" s="1571">
        <f t="shared" si="12"/>
        <v>100</v>
      </c>
      <c r="T29" s="1570" t="s">
        <v>8</v>
      </c>
      <c r="U29" s="1571">
        <f t="shared" si="13"/>
        <v>100</v>
      </c>
      <c r="V29" s="1570" t="s">
        <v>8</v>
      </c>
      <c r="W29" s="1571">
        <f t="shared" si="14"/>
        <v>100</v>
      </c>
      <c r="X29" s="1564"/>
      <c r="Y29" s="345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456"/>
      <c r="Q30" s="1569">
        <f t="shared" si="11"/>
        <v>111</v>
      </c>
      <c r="R30" s="1570" t="s">
        <v>8</v>
      </c>
      <c r="S30" s="1571">
        <f t="shared" si="12"/>
        <v>100</v>
      </c>
      <c r="T30" s="1570" t="s">
        <v>8</v>
      </c>
      <c r="U30" s="1571">
        <f t="shared" si="13"/>
        <v>100</v>
      </c>
      <c r="V30" s="1570" t="s">
        <v>8</v>
      </c>
      <c r="W30" s="1571">
        <f t="shared" si="14"/>
        <v>100</v>
      </c>
      <c r="X30" s="1564"/>
      <c r="Y30" s="345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456"/>
      <c r="Q31" s="1569">
        <f t="shared" si="11"/>
        <v>111</v>
      </c>
      <c r="R31" s="1570" t="s">
        <v>8</v>
      </c>
      <c r="S31" s="1571">
        <f t="shared" si="12"/>
        <v>100</v>
      </c>
      <c r="T31" s="1570" t="s">
        <v>8</v>
      </c>
      <c r="U31" s="1571">
        <f t="shared" si="13"/>
        <v>100</v>
      </c>
      <c r="V31" s="1570" t="s">
        <v>8</v>
      </c>
      <c r="W31" s="1571">
        <f t="shared" si="14"/>
        <v>100</v>
      </c>
      <c r="X31" s="1564"/>
      <c r="Y31" s="3456"/>
      <c r="Z31" s="1572">
        <f t="shared" si="15"/>
        <v>111</v>
      </c>
      <c r="AA31" s="1573">
        <f t="shared" si="3"/>
        <v>1</v>
      </c>
      <c r="AB31" s="1573">
        <f t="shared" si="4"/>
        <v>1</v>
      </c>
      <c r="AC31" s="1573">
        <f t="shared" si="5"/>
        <v>1</v>
      </c>
    </row>
    <row r="32" spans="1:29" ht="15">
      <c r="A32" s="2929" t="s">
        <v>2756</v>
      </c>
      <c r="B32" s="170" t="s">
        <v>760</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457" t="s">
        <v>548</v>
      </c>
      <c r="Q32" s="1569" t="str">
        <f t="shared" si="11"/>
        <v>商业类型</v>
      </c>
      <c r="R32" s="1570" t="s">
        <v>8</v>
      </c>
      <c r="S32" s="1571">
        <f t="shared" si="12"/>
        <v>100</v>
      </c>
      <c r="T32" s="1570" t="s">
        <v>8</v>
      </c>
      <c r="U32" s="1571">
        <f t="shared" si="13"/>
        <v>100</v>
      </c>
      <c r="V32" s="1570" t="s">
        <v>8</v>
      </c>
      <c r="W32" s="1571">
        <f t="shared" si="14"/>
        <v>100</v>
      </c>
      <c r="X32" s="1564"/>
      <c r="Y32" s="3458" t="s">
        <v>548</v>
      </c>
      <c r="Z32" s="1572" t="str">
        <f t="shared" si="15"/>
        <v>商业类型</v>
      </c>
      <c r="AA32" s="1573">
        <f t="shared" si="3"/>
        <v>1</v>
      </c>
      <c r="AB32" s="1573">
        <f t="shared" si="4"/>
        <v>1</v>
      </c>
      <c r="AC32" s="1573">
        <f t="shared" si="5"/>
        <v>1</v>
      </c>
    </row>
    <row r="33" spans="1:29" s="1336" customFormat="1" ht="15">
      <c r="A33" s="600"/>
      <c r="B33" s="525" t="s">
        <v>724</v>
      </c>
      <c r="C33" s="877"/>
      <c r="D33" s="253">
        <v>100</v>
      </c>
      <c r="E33" s="531"/>
      <c r="F33" s="860" t="e">
        <f>LOOKUP(E33,103:103,104:104)-LOOKUP(C33,103:103,104:104)+100</f>
        <v>#N/A</v>
      </c>
      <c r="G33" s="530"/>
      <c r="H33" s="253" t="e">
        <f>LOOKUP(G33,103:103,104:104)-LOOKUP(C33,103:103,104:104)+100</f>
        <v>#N/A</v>
      </c>
      <c r="I33" s="530"/>
      <c r="J33" s="253" t="e">
        <f>LOOKUP(I33,103:103,104:104)-LOOKUP(C33,103:103,104:104)+100</f>
        <v>#N/A</v>
      </c>
      <c r="K33" s="578"/>
      <c r="L33" s="2137"/>
      <c r="M33" s="2168"/>
      <c r="N33" s="2168"/>
      <c r="O33" s="2140"/>
      <c r="P33" s="3458"/>
      <c r="Q33" s="1602" t="str">
        <f t="shared" si="11"/>
        <v>项目建筑规模</v>
      </c>
      <c r="R33" s="1574" t="s">
        <v>8</v>
      </c>
      <c r="S33" s="1575" t="e">
        <f t="shared" si="12"/>
        <v>#N/A</v>
      </c>
      <c r="T33" s="1574" t="s">
        <v>8</v>
      </c>
      <c r="U33" s="1575" t="e">
        <f t="shared" si="13"/>
        <v>#N/A</v>
      </c>
      <c r="V33" s="1574" t="s">
        <v>8</v>
      </c>
      <c r="W33" s="1575" t="e">
        <f t="shared" si="14"/>
        <v>#N/A</v>
      </c>
      <c r="X33" s="1576"/>
      <c r="Y33" s="3458"/>
      <c r="Z33" s="1577" t="str">
        <f t="shared" si="15"/>
        <v>项目建筑规模</v>
      </c>
      <c r="AA33" s="1573" t="e">
        <f t="shared" si="3"/>
        <v>#N/A</v>
      </c>
      <c r="AB33" s="1573" t="e">
        <f t="shared" si="4"/>
        <v>#N/A</v>
      </c>
      <c r="AC33" s="1573" t="e">
        <f t="shared" si="5"/>
        <v>#N/A</v>
      </c>
    </row>
    <row r="34" spans="1:29" ht="15">
      <c r="A34" s="591"/>
      <c r="B34" s="525" t="s">
        <v>725</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458"/>
      <c r="Q34" s="1569" t="str">
        <f t="shared" si="11"/>
        <v>建筑结构</v>
      </c>
      <c r="R34" s="1570" t="s">
        <v>8</v>
      </c>
      <c r="S34" s="1571">
        <f t="shared" si="12"/>
        <v>100</v>
      </c>
      <c r="T34" s="1570" t="s">
        <v>8</v>
      </c>
      <c r="U34" s="1571">
        <f t="shared" si="13"/>
        <v>100</v>
      </c>
      <c r="V34" s="1570" t="s">
        <v>8</v>
      </c>
      <c r="W34" s="1571">
        <f t="shared" si="14"/>
        <v>100</v>
      </c>
      <c r="X34" s="1564"/>
      <c r="Y34" s="3458"/>
      <c r="Z34" s="1572" t="str">
        <f t="shared" si="15"/>
        <v>建筑结构</v>
      </c>
      <c r="AA34" s="1573">
        <f t="shared" si="3"/>
        <v>1</v>
      </c>
      <c r="AB34" s="1573">
        <f t="shared" si="4"/>
        <v>1</v>
      </c>
      <c r="AC34" s="1573">
        <f t="shared" si="5"/>
        <v>1</v>
      </c>
    </row>
    <row r="35" spans="1:29" ht="15">
      <c r="A35" s="591"/>
      <c r="B35" s="525" t="s">
        <v>761</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458"/>
      <c r="Q35" s="1569" t="str">
        <f t="shared" si="11"/>
        <v>公共部分装修</v>
      </c>
      <c r="R35" s="1570" t="s">
        <v>8</v>
      </c>
      <c r="S35" s="1571">
        <f t="shared" si="12"/>
        <v>100</v>
      </c>
      <c r="T35" s="1570" t="s">
        <v>8</v>
      </c>
      <c r="U35" s="1571">
        <f t="shared" si="13"/>
        <v>100</v>
      </c>
      <c r="V35" s="1570" t="s">
        <v>8</v>
      </c>
      <c r="W35" s="1571">
        <f t="shared" si="14"/>
        <v>100</v>
      </c>
      <c r="X35" s="1564"/>
      <c r="Y35" s="3458"/>
      <c r="Z35" s="1572" t="str">
        <f t="shared" si="15"/>
        <v>公共部分装修</v>
      </c>
      <c r="AA35" s="1573">
        <f t="shared" si="3"/>
        <v>1</v>
      </c>
      <c r="AB35" s="1573">
        <f t="shared" si="4"/>
        <v>1</v>
      </c>
      <c r="AC35" s="1573">
        <f t="shared" si="5"/>
        <v>1</v>
      </c>
    </row>
    <row r="36" spans="1:29" ht="15">
      <c r="A36" s="591"/>
      <c r="B36" s="525" t="s">
        <v>762</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458"/>
      <c r="Q36" s="1569" t="str">
        <f t="shared" si="11"/>
        <v>成新度</v>
      </c>
      <c r="R36" s="1570" t="s">
        <v>8</v>
      </c>
      <c r="S36" s="1571" t="e">
        <f t="shared" si="12"/>
        <v>#N/A</v>
      </c>
      <c r="T36" s="1570" t="s">
        <v>8</v>
      </c>
      <c r="U36" s="1571" t="e">
        <f t="shared" si="13"/>
        <v>#N/A</v>
      </c>
      <c r="V36" s="1570" t="s">
        <v>8</v>
      </c>
      <c r="W36" s="1571" t="e">
        <f t="shared" si="14"/>
        <v>#N/A</v>
      </c>
      <c r="X36" s="1564"/>
      <c r="Y36" s="3458"/>
      <c r="Z36" s="1572" t="str">
        <f t="shared" si="15"/>
        <v>成新度</v>
      </c>
      <c r="AA36" s="1573" t="e">
        <f t="shared" si="3"/>
        <v>#N/A</v>
      </c>
      <c r="AB36" s="1573" t="e">
        <f t="shared" si="4"/>
        <v>#N/A</v>
      </c>
      <c r="AC36" s="1573" t="e">
        <f t="shared" si="5"/>
        <v>#N/A</v>
      </c>
    </row>
    <row r="37" spans="1:29" s="1217" customFormat="1" ht="15">
      <c r="A37" s="597"/>
      <c r="B37" s="1892" t="s">
        <v>2564</v>
      </c>
      <c r="C37" s="596"/>
      <c r="D37" s="253">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458"/>
      <c r="Q37" s="1148" t="str">
        <f t="shared" si="11"/>
        <v>市政基础设施</v>
      </c>
      <c r="R37" s="1565" t="s">
        <v>8</v>
      </c>
      <c r="S37" s="1566">
        <f t="shared" si="12"/>
        <v>100</v>
      </c>
      <c r="T37" s="1565" t="s">
        <v>8</v>
      </c>
      <c r="U37" s="1566">
        <f t="shared" si="13"/>
        <v>100</v>
      </c>
      <c r="V37" s="1565" t="s">
        <v>8</v>
      </c>
      <c r="W37" s="1566">
        <f t="shared" si="14"/>
        <v>100</v>
      </c>
      <c r="X37" s="1567"/>
      <c r="Y37" s="3458"/>
      <c r="Z37" s="1147" t="str">
        <f t="shared" si="15"/>
        <v>市政基础设施</v>
      </c>
      <c r="AA37" s="1568">
        <f t="shared" si="3"/>
        <v>1</v>
      </c>
      <c r="AB37" s="1568">
        <f t="shared" si="4"/>
        <v>1</v>
      </c>
      <c r="AC37" s="1568">
        <f t="shared" si="5"/>
        <v>1</v>
      </c>
    </row>
    <row r="38" spans="1:29" ht="15">
      <c r="A38" s="591"/>
      <c r="B38" s="525" t="s">
        <v>763</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458" t="s">
        <v>764</v>
      </c>
      <c r="Q38" s="1569" t="str">
        <f t="shared" si="11"/>
        <v>业态</v>
      </c>
      <c r="R38" s="1570" t="s">
        <v>8</v>
      </c>
      <c r="S38" s="1571">
        <f t="shared" si="12"/>
        <v>100</v>
      </c>
      <c r="T38" s="1570" t="s">
        <v>8</v>
      </c>
      <c r="U38" s="1571">
        <f t="shared" si="13"/>
        <v>100</v>
      </c>
      <c r="V38" s="1570" t="s">
        <v>8</v>
      </c>
      <c r="W38" s="1571">
        <f t="shared" si="14"/>
        <v>100</v>
      </c>
      <c r="X38" s="1564"/>
      <c r="Y38" s="3458" t="s">
        <v>764</v>
      </c>
      <c r="Z38" s="1572" t="str">
        <f t="shared" si="15"/>
        <v>业态</v>
      </c>
      <c r="AA38" s="1573">
        <f t="shared" si="3"/>
        <v>1</v>
      </c>
      <c r="AB38" s="1573">
        <f t="shared" si="4"/>
        <v>1</v>
      </c>
      <c r="AC38" s="1573">
        <f t="shared" si="5"/>
        <v>1</v>
      </c>
    </row>
    <row r="39" spans="1:29" ht="15">
      <c r="A39" s="591"/>
      <c r="B39" s="525" t="s">
        <v>765</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58"/>
      <c r="Q39" s="1569" t="str">
        <f t="shared" si="11"/>
        <v>层高</v>
      </c>
      <c r="R39" s="1570" t="s">
        <v>8</v>
      </c>
      <c r="S39" s="1571">
        <f t="shared" si="12"/>
        <v>100</v>
      </c>
      <c r="T39" s="1570" t="s">
        <v>8</v>
      </c>
      <c r="U39" s="1571">
        <f t="shared" si="13"/>
        <v>100</v>
      </c>
      <c r="V39" s="1570" t="s">
        <v>8</v>
      </c>
      <c r="W39" s="1571">
        <f t="shared" si="14"/>
        <v>100</v>
      </c>
      <c r="X39" s="1564"/>
      <c r="Y39" s="3458"/>
      <c r="Z39" s="1572" t="str">
        <f t="shared" si="15"/>
        <v>层高</v>
      </c>
      <c r="AA39" s="1573">
        <f t="shared" si="3"/>
        <v>1</v>
      </c>
      <c r="AB39" s="1573">
        <f t="shared" si="4"/>
        <v>1</v>
      </c>
      <c r="AC39" s="1573">
        <f t="shared" si="5"/>
        <v>1</v>
      </c>
    </row>
    <row r="40" spans="1:29" ht="15">
      <c r="A40" s="591"/>
      <c r="B40" s="525" t="s">
        <v>766</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458"/>
      <c r="Q40" s="1569" t="str">
        <f t="shared" si="11"/>
        <v>单套建筑面积</v>
      </c>
      <c r="R40" s="1570" t="s">
        <v>8</v>
      </c>
      <c r="S40" s="1571">
        <f t="shared" si="12"/>
        <v>100</v>
      </c>
      <c r="T40" s="1570" t="s">
        <v>8</v>
      </c>
      <c r="U40" s="1571">
        <f t="shared" si="13"/>
        <v>100</v>
      </c>
      <c r="V40" s="1570" t="s">
        <v>8</v>
      </c>
      <c r="W40" s="1571">
        <f t="shared" si="14"/>
        <v>100</v>
      </c>
      <c r="X40" s="1564"/>
      <c r="Y40" s="3458"/>
      <c r="Z40" s="1572" t="str">
        <f t="shared" si="15"/>
        <v>单套建筑面积</v>
      </c>
      <c r="AA40" s="1573">
        <f t="shared" si="3"/>
        <v>1</v>
      </c>
      <c r="AB40" s="1573">
        <f t="shared" si="4"/>
        <v>1</v>
      </c>
      <c r="AC40" s="1573">
        <f t="shared" si="5"/>
        <v>1</v>
      </c>
    </row>
    <row r="41" spans="1:29" s="1336" customFormat="1" ht="15">
      <c r="A41" s="600"/>
      <c r="B41" s="901" t="s">
        <v>767</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458"/>
      <c r="Q41" s="1602" t="str">
        <f t="shared" si="11"/>
        <v>进深比</v>
      </c>
      <c r="R41" s="1574" t="s">
        <v>8</v>
      </c>
      <c r="S41" s="1575">
        <f t="shared" si="12"/>
        <v>100</v>
      </c>
      <c r="T41" s="1574" t="s">
        <v>8</v>
      </c>
      <c r="U41" s="1575">
        <f t="shared" si="13"/>
        <v>100</v>
      </c>
      <c r="V41" s="1574" t="s">
        <v>8</v>
      </c>
      <c r="W41" s="1575">
        <f t="shared" si="14"/>
        <v>100</v>
      </c>
      <c r="X41" s="1576"/>
      <c r="Y41" s="3458"/>
      <c r="Z41" s="1577" t="str">
        <f t="shared" si="15"/>
        <v>进深比</v>
      </c>
      <c r="AA41" s="1573">
        <f t="shared" si="3"/>
        <v>1</v>
      </c>
      <c r="AB41" s="1573">
        <f t="shared" si="4"/>
        <v>1</v>
      </c>
      <c r="AC41" s="1573">
        <f t="shared" si="5"/>
        <v>1</v>
      </c>
    </row>
    <row r="42" spans="1:29" ht="15">
      <c r="A42" s="591"/>
      <c r="B42" s="525" t="s">
        <v>768</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458"/>
      <c r="Q42" s="1569" t="str">
        <f t="shared" si="11"/>
        <v>内部装修</v>
      </c>
      <c r="R42" s="1570" t="s">
        <v>8</v>
      </c>
      <c r="S42" s="1571">
        <f t="shared" si="12"/>
        <v>100</v>
      </c>
      <c r="T42" s="1570" t="s">
        <v>8</v>
      </c>
      <c r="U42" s="1571">
        <f t="shared" si="13"/>
        <v>100</v>
      </c>
      <c r="V42" s="1570" t="s">
        <v>8</v>
      </c>
      <c r="W42" s="1571">
        <f t="shared" si="14"/>
        <v>100</v>
      </c>
      <c r="X42" s="1564"/>
      <c r="Y42" s="3458"/>
      <c r="Z42" s="1572" t="str">
        <f t="shared" si="15"/>
        <v>内部装修</v>
      </c>
      <c r="AA42" s="1573">
        <f t="shared" si="3"/>
        <v>1</v>
      </c>
      <c r="AB42" s="1573">
        <f t="shared" si="4"/>
        <v>1</v>
      </c>
      <c r="AC42" s="1573">
        <f t="shared" si="5"/>
        <v>1</v>
      </c>
    </row>
    <row r="43" spans="1:29" ht="27">
      <c r="A43" s="591"/>
      <c r="B43" s="525" t="s">
        <v>733</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458"/>
      <c r="Q43" s="1569" t="str">
        <f t="shared" si="11"/>
        <v>内部装修维护情况</v>
      </c>
      <c r="R43" s="1570" t="s">
        <v>8</v>
      </c>
      <c r="S43" s="1571">
        <f t="shared" si="12"/>
        <v>100</v>
      </c>
      <c r="T43" s="1570" t="s">
        <v>8</v>
      </c>
      <c r="U43" s="1571">
        <f t="shared" si="13"/>
        <v>100</v>
      </c>
      <c r="V43" s="1570" t="s">
        <v>8</v>
      </c>
      <c r="W43" s="1571">
        <f t="shared" si="14"/>
        <v>100</v>
      </c>
      <c r="X43" s="1564"/>
      <c r="Y43" s="3458"/>
      <c r="Z43" s="1572" t="str">
        <f t="shared" si="15"/>
        <v>内部装修维护情况</v>
      </c>
      <c r="AA43" s="1573">
        <f t="shared" si="3"/>
        <v>1</v>
      </c>
      <c r="AB43" s="1573">
        <f t="shared" si="4"/>
        <v>1</v>
      </c>
      <c r="AC43" s="1573">
        <f t="shared" si="5"/>
        <v>1</v>
      </c>
    </row>
    <row r="44" spans="1:29" s="1217" customFormat="1" ht="15">
      <c r="A44" s="597"/>
      <c r="B44" s="874">
        <v>111</v>
      </c>
      <c r="C44" s="877"/>
      <c r="D44" s="253">
        <v>100</v>
      </c>
      <c r="E44" s="536"/>
      <c r="F44" s="860">
        <f>SUMIF(126:126,E44,127:127)-SUMIF(126:126,C44,127:127)+100</f>
        <v>100</v>
      </c>
      <c r="G44" s="536"/>
      <c r="H44" s="253">
        <f>SUMIF(126:126,G44,127:127)-SUMIF(126:126,C44,127:127)+100</f>
        <v>100</v>
      </c>
      <c r="I44" s="536"/>
      <c r="J44" s="253">
        <f>SUMIF(126:126,I44,127:127)-SUMIF(126:126,C44,127:127)+100</f>
        <v>100</v>
      </c>
      <c r="K44" s="578"/>
      <c r="L44" s="2132"/>
      <c r="M44" s="2133"/>
      <c r="N44" s="2133"/>
      <c r="O44" s="2134"/>
      <c r="P44" s="3458"/>
      <c r="Q44" s="1148">
        <f t="shared" si="11"/>
        <v>111</v>
      </c>
      <c r="R44" s="1565" t="s">
        <v>8</v>
      </c>
      <c r="S44" s="1566">
        <f t="shared" si="12"/>
        <v>100</v>
      </c>
      <c r="T44" s="1565" t="s">
        <v>8</v>
      </c>
      <c r="U44" s="1566">
        <f t="shared" si="13"/>
        <v>100</v>
      </c>
      <c r="V44" s="1565" t="s">
        <v>8</v>
      </c>
      <c r="W44" s="1566">
        <f t="shared" si="14"/>
        <v>100</v>
      </c>
      <c r="X44" s="1567"/>
      <c r="Y44" s="3458"/>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458"/>
      <c r="Q45" s="1569">
        <f t="shared" si="11"/>
        <v>111</v>
      </c>
      <c r="R45" s="1570" t="s">
        <v>8</v>
      </c>
      <c r="S45" s="1571">
        <f t="shared" si="12"/>
        <v>100</v>
      </c>
      <c r="T45" s="1570" t="s">
        <v>8</v>
      </c>
      <c r="U45" s="1571">
        <f t="shared" si="13"/>
        <v>100</v>
      </c>
      <c r="V45" s="1570" t="s">
        <v>8</v>
      </c>
      <c r="W45" s="1571">
        <f t="shared" si="14"/>
        <v>100</v>
      </c>
      <c r="X45" s="1564"/>
      <c r="Y45" s="3458"/>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512"/>
      <c r="Q46" s="1569">
        <f t="shared" si="11"/>
        <v>111</v>
      </c>
      <c r="R46" s="1570" t="s">
        <v>8</v>
      </c>
      <c r="S46" s="1571">
        <f t="shared" si="12"/>
        <v>100</v>
      </c>
      <c r="T46" s="1570" t="s">
        <v>8</v>
      </c>
      <c r="U46" s="1571">
        <f t="shared" si="13"/>
        <v>100</v>
      </c>
      <c r="V46" s="1570" t="s">
        <v>8</v>
      </c>
      <c r="W46" s="1571">
        <f t="shared" si="14"/>
        <v>100</v>
      </c>
      <c r="X46" s="1564"/>
      <c r="Y46" s="3512"/>
      <c r="Z46" s="1572">
        <f t="shared" si="15"/>
        <v>111</v>
      </c>
      <c r="AA46" s="1573">
        <f t="shared" si="3"/>
        <v>1</v>
      </c>
      <c r="AB46" s="1573">
        <f t="shared" si="4"/>
        <v>1</v>
      </c>
      <c r="AC46" s="1573">
        <f t="shared" si="5"/>
        <v>1</v>
      </c>
    </row>
    <row r="47" spans="1:29" ht="15">
      <c r="A47" s="604" t="s">
        <v>734</v>
      </c>
      <c r="B47" s="884"/>
      <c r="C47" s="2647" t="s">
        <v>1</v>
      </c>
      <c r="D47" s="2648"/>
      <c r="E47" s="2649"/>
      <c r="F47" s="2650"/>
      <c r="G47" s="2651"/>
      <c r="H47" s="2652"/>
      <c r="I47" s="2649"/>
      <c r="J47" s="2652"/>
      <c r="K47" s="1608"/>
      <c r="L47" s="2141"/>
      <c r="M47" s="2142"/>
      <c r="N47" s="2131"/>
      <c r="O47" s="2142"/>
      <c r="P47" s="3421" t="str">
        <f>A47</f>
        <v>成交单价（元/平方米）</v>
      </c>
      <c r="Q47" s="3421"/>
      <c r="R47" s="3511">
        <f>E47</f>
        <v>0</v>
      </c>
      <c r="S47" s="3511"/>
      <c r="T47" s="3511">
        <f>G47</f>
        <v>0</v>
      </c>
      <c r="U47" s="3511"/>
      <c r="V47" s="3511">
        <f>I47</f>
        <v>0</v>
      </c>
      <c r="W47" s="3511"/>
      <c r="X47" s="1556"/>
      <c r="Y47" s="1578"/>
      <c r="Z47" s="1556"/>
      <c r="AA47" s="1556"/>
      <c r="AB47" s="1556"/>
      <c r="AC47" s="1556"/>
    </row>
    <row r="48" spans="1:29" ht="15.75" thickBot="1">
      <c r="A48" s="612" t="s">
        <v>2761</v>
      </c>
      <c r="B48" s="885"/>
      <c r="C48" s="2653" t="e">
        <f>R49</f>
        <v>#DIV/0!</v>
      </c>
      <c r="D48" s="2654"/>
      <c r="E48" s="2655" t="e">
        <f>R48</f>
        <v>#DIV/0!</v>
      </c>
      <c r="F48" s="2655"/>
      <c r="G48" s="2653" t="e">
        <f>T48</f>
        <v>#DIV/0!</v>
      </c>
      <c r="H48" s="2654"/>
      <c r="I48" s="2655" t="e">
        <f>V48</f>
        <v>#DIV/0!</v>
      </c>
      <c r="J48" s="2654"/>
      <c r="K48" s="1609"/>
      <c r="L48" s="2141"/>
      <c r="M48" s="2142"/>
      <c r="N48" s="2131"/>
      <c r="O48" s="2142"/>
      <c r="P48" s="3421" t="str">
        <f>A48</f>
        <v>比较价格（元/平方米）</v>
      </c>
      <c r="Q48" s="3421"/>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6"/>
      <c r="Y48" s="1556"/>
      <c r="Z48" s="1556"/>
      <c r="AA48" s="1556"/>
      <c r="AB48" s="1556"/>
      <c r="AC48" s="1556"/>
    </row>
    <row r="49" spans="1:29" ht="15.75" thickBot="1">
      <c r="A49" s="618" t="s">
        <v>2937</v>
      </c>
      <c r="B49" s="619"/>
      <c r="C49" s="2656" t="e">
        <f>R49</f>
        <v>#DIV/0!</v>
      </c>
      <c r="D49" s="2656"/>
      <c r="E49" s="2656"/>
      <c r="F49" s="2656"/>
      <c r="G49" s="2656"/>
      <c r="H49" s="2656"/>
      <c r="I49" s="2656"/>
      <c r="J49" s="2656"/>
      <c r="K49" s="1610"/>
      <c r="L49" s="2141"/>
      <c r="M49" s="2142"/>
      <c r="N49" s="2131"/>
      <c r="O49" s="2142"/>
      <c r="P49" s="3418" t="str">
        <f>A49</f>
        <v>估价对象XX用房的比较价格（楼面单价，元/平方米）</v>
      </c>
      <c r="Q49" s="3419"/>
      <c r="R49" s="3510" t="e">
        <f>IF(F1="售价",ROUND(AVERAGE(R48:V48),0),ROUND(AVERAGE(R48:V48),1))</f>
        <v>#DIV/0!</v>
      </c>
      <c r="S49" s="3510"/>
      <c r="T49" s="3510"/>
      <c r="U49" s="3510"/>
      <c r="V49" s="3510"/>
      <c r="W49" s="351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555</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556</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557</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572</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4" customFormat="1" ht="15">
      <c r="A58" s="642" t="s">
        <v>527</v>
      </c>
      <c r="B58" s="643"/>
      <c r="C58" s="2824" t="str">
        <f>YEAR(C7)&amp;"-"&amp;MONTH(C7)</f>
        <v>2018-1</v>
      </c>
      <c r="D58" s="2826">
        <f>EDATE(C58,-1)</f>
        <v>43070</v>
      </c>
      <c r="E58" s="2826">
        <f t="shared" ref="E58:O58" si="16">EDATE(D58,-1)</f>
        <v>43040</v>
      </c>
      <c r="F58" s="2826">
        <f t="shared" si="16"/>
        <v>43009</v>
      </c>
      <c r="G58" s="2826">
        <f t="shared" si="16"/>
        <v>42979</v>
      </c>
      <c r="H58" s="2826">
        <f t="shared" si="16"/>
        <v>42948</v>
      </c>
      <c r="I58" s="2826">
        <f t="shared" si="16"/>
        <v>42917</v>
      </c>
      <c r="J58" s="2826">
        <f t="shared" si="16"/>
        <v>42887</v>
      </c>
      <c r="K58" s="2826">
        <f t="shared" si="16"/>
        <v>42856</v>
      </c>
      <c r="L58" s="2826">
        <f t="shared" si="16"/>
        <v>42826</v>
      </c>
      <c r="M58" s="2826">
        <f t="shared" si="16"/>
        <v>42795</v>
      </c>
      <c r="N58" s="2826">
        <f t="shared" si="16"/>
        <v>42767</v>
      </c>
      <c r="O58" s="2826">
        <f t="shared" si="16"/>
        <v>42736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573</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529</v>
      </c>
      <c r="B61" s="645"/>
      <c r="C61" s="657" t="s">
        <v>574</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575</v>
      </c>
      <c r="B63" s="662" t="s">
        <v>532</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536</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537</v>
      </c>
      <c r="B76" s="662" t="s">
        <v>576</v>
      </c>
      <c r="C76" s="700" t="s">
        <v>577</v>
      </c>
      <c r="D76" s="700" t="s">
        <v>578</v>
      </c>
      <c r="E76" s="700" t="s">
        <v>579</v>
      </c>
      <c r="F76" s="700" t="s">
        <v>580</v>
      </c>
      <c r="G76" s="700" t="s">
        <v>581</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584</v>
      </c>
      <c r="C78" s="705" t="s">
        <v>577</v>
      </c>
      <c r="D78" s="705" t="s">
        <v>578</v>
      </c>
      <c r="E78" s="705" t="s">
        <v>579</v>
      </c>
      <c r="F78" s="705" t="s">
        <v>580</v>
      </c>
      <c r="G78" s="705" t="s">
        <v>581</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2556</v>
      </c>
      <c r="C80" s="705" t="s">
        <v>577</v>
      </c>
      <c r="D80" s="705" t="s">
        <v>578</v>
      </c>
      <c r="E80" s="705" t="s">
        <v>579</v>
      </c>
      <c r="F80" s="705" t="s">
        <v>580</v>
      </c>
      <c r="G80" s="705" t="s">
        <v>581</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7" t="s">
        <v>2557</v>
      </c>
      <c r="C82" s="2618" t="s">
        <v>2558</v>
      </c>
      <c r="D82" s="2618" t="s">
        <v>2559</v>
      </c>
      <c r="E82" s="2618" t="s">
        <v>2560</v>
      </c>
      <c r="F82" s="2618" t="s">
        <v>2561</v>
      </c>
      <c r="G82" s="2618" t="s">
        <v>2562</v>
      </c>
      <c r="H82" s="671"/>
      <c r="I82" s="671"/>
      <c r="J82" s="671"/>
      <c r="K82" s="671"/>
      <c r="L82" s="671"/>
      <c r="M82" s="2621"/>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742</v>
      </c>
      <c r="C84" s="705" t="s">
        <v>577</v>
      </c>
      <c r="D84" s="705" t="s">
        <v>578</v>
      </c>
      <c r="E84" s="705" t="s">
        <v>579</v>
      </c>
      <c r="F84" s="705" t="s">
        <v>580</v>
      </c>
      <c r="G84" s="705" t="s">
        <v>581</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769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549</v>
      </c>
      <c r="B100" s="662" t="s">
        <v>770</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746</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747</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2555</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771</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772</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773</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774</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753</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775</v>
      </c>
      <c r="C1" s="502" t="s">
        <v>718</v>
      </c>
      <c r="D1" s="846"/>
      <c r="E1" s="504"/>
      <c r="F1" s="2829"/>
      <c r="G1" s="1598" t="s">
        <v>719</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3" customFormat="1" ht="28.5" customHeight="1">
      <c r="A2" s="421" t="s">
        <v>464</v>
      </c>
      <c r="B2" s="847"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3" customFormat="1" ht="28.5" customHeight="1" thickBot="1">
      <c r="A3" s="507" t="s">
        <v>517</v>
      </c>
      <c r="B3" s="508" t="e">
        <f>C50</f>
        <v>#DIV/0!</v>
      </c>
      <c r="C3" s="849" t="s">
        <v>720</v>
      </c>
      <c r="D3" s="848">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519</v>
      </c>
      <c r="B4" s="511"/>
      <c r="C4" s="3427" t="s">
        <v>520</v>
      </c>
      <c r="D4" s="3428"/>
      <c r="E4" s="3461" t="s">
        <v>521</v>
      </c>
      <c r="F4" s="3462"/>
      <c r="G4" s="3427" t="s">
        <v>522</v>
      </c>
      <c r="H4" s="3428"/>
      <c r="I4" s="3427" t="s">
        <v>523</v>
      </c>
      <c r="J4" s="3428"/>
      <c r="K4" s="512" t="s">
        <v>524</v>
      </c>
      <c r="L4" s="2130"/>
      <c r="M4" s="2131"/>
      <c r="N4" s="2131"/>
      <c r="O4" s="2131"/>
      <c r="P4" s="3541" t="s">
        <v>525</v>
      </c>
      <c r="Q4" s="3430"/>
      <c r="R4" s="3435" t="s">
        <v>521</v>
      </c>
      <c r="S4" s="3436"/>
      <c r="T4" s="3435" t="s">
        <v>522</v>
      </c>
      <c r="U4" s="3436"/>
      <c r="V4" s="3422" t="s">
        <v>523</v>
      </c>
      <c r="W4" s="3422"/>
      <c r="X4" s="1564"/>
      <c r="Y4" s="3435" t="s">
        <v>525</v>
      </c>
      <c r="Z4" s="3436"/>
      <c r="AA4" s="3424" t="s">
        <v>521</v>
      </c>
      <c r="AB4" s="3424" t="s">
        <v>522</v>
      </c>
      <c r="AC4" s="3424" t="s">
        <v>523</v>
      </c>
    </row>
    <row r="5" spans="1:29" ht="15">
      <c r="A5" s="513"/>
      <c r="B5" s="514"/>
      <c r="C5" s="3443" t="s">
        <v>2931</v>
      </c>
      <c r="D5" s="3444"/>
      <c r="E5" s="3463" t="s">
        <v>2932</v>
      </c>
      <c r="F5" s="3464"/>
      <c r="G5" s="3443" t="s">
        <v>2933</v>
      </c>
      <c r="H5" s="3444"/>
      <c r="I5" s="3443" t="s">
        <v>2934</v>
      </c>
      <c r="J5" s="3444"/>
      <c r="K5" s="512"/>
      <c r="L5" s="2130"/>
      <c r="M5" s="2131"/>
      <c r="N5" s="2131"/>
      <c r="O5" s="2131"/>
      <c r="P5" s="3542"/>
      <c r="Q5" s="3432"/>
      <c r="R5" s="3437"/>
      <c r="S5" s="3438"/>
      <c r="T5" s="3437"/>
      <c r="U5" s="3438"/>
      <c r="V5" s="3422"/>
      <c r="W5" s="3422"/>
      <c r="X5" s="1564"/>
      <c r="Y5" s="3437"/>
      <c r="Z5" s="3438"/>
      <c r="AA5" s="3425"/>
      <c r="AB5" s="3425"/>
      <c r="AC5" s="3425"/>
    </row>
    <row r="6" spans="1:29" ht="15.75" thickBot="1">
      <c r="A6" s="515"/>
      <c r="B6" s="516"/>
      <c r="C6" s="3441" t="s">
        <v>2935</v>
      </c>
      <c r="D6" s="3442"/>
      <c r="E6" s="3459" t="s">
        <v>2935</v>
      </c>
      <c r="F6" s="3460"/>
      <c r="G6" s="3441" t="s">
        <v>2935</v>
      </c>
      <c r="H6" s="3442"/>
      <c r="I6" s="3441" t="s">
        <v>2935</v>
      </c>
      <c r="J6" s="3442"/>
      <c r="K6" s="512" t="s">
        <v>526</v>
      </c>
      <c r="L6" s="2130"/>
      <c r="M6" s="2131"/>
      <c r="N6" s="2131"/>
      <c r="O6" s="2131"/>
      <c r="P6" s="3543"/>
      <c r="Q6" s="3434"/>
      <c r="R6" s="3437"/>
      <c r="S6" s="3438"/>
      <c r="T6" s="3439"/>
      <c r="U6" s="3440"/>
      <c r="V6" s="3422"/>
      <c r="W6" s="3422"/>
      <c r="X6" s="1564"/>
      <c r="Y6" s="3439"/>
      <c r="Z6" s="3440"/>
      <c r="AA6" s="3426"/>
      <c r="AB6" s="3426"/>
      <c r="AC6" s="3426"/>
    </row>
    <row r="7" spans="1:29" s="1217" customFormat="1" ht="15.75" thickBot="1">
      <c r="A7" s="2934"/>
      <c r="B7" s="2941" t="s">
        <v>527</v>
      </c>
      <c r="C7" s="517">
        <f>'数据-取费表'!B2</f>
        <v>43109</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54" t="s">
        <v>528</v>
      </c>
      <c r="Q7" s="3454"/>
      <c r="R7" s="1565" t="s">
        <v>8</v>
      </c>
      <c r="S7" s="1566">
        <f t="shared" ref="S7:S15" si="0">F7</f>
        <v>0</v>
      </c>
      <c r="T7" s="1565" t="s">
        <v>8</v>
      </c>
      <c r="U7" s="1566">
        <f t="shared" ref="U7:U15" si="1">H7</f>
        <v>0</v>
      </c>
      <c r="V7" s="1565" t="s">
        <v>8</v>
      </c>
      <c r="W7" s="1566">
        <f t="shared" ref="W7:W15" si="2">J7</f>
        <v>0</v>
      </c>
      <c r="X7" s="1567"/>
      <c r="Y7" s="3452" t="s">
        <v>528</v>
      </c>
      <c r="Z7" s="3453"/>
      <c r="AA7" s="1568" t="e">
        <f>D7/F7</f>
        <v>#DIV/0!</v>
      </c>
      <c r="AB7" s="1568" t="e">
        <f>D7/H7</f>
        <v>#DIV/0!</v>
      </c>
      <c r="AC7" s="1568" t="e">
        <f>D7/J7</f>
        <v>#DIV/0!</v>
      </c>
    </row>
    <row r="8" spans="1:29" s="1217" customFormat="1" ht="15.75" thickBot="1">
      <c r="A8" s="2935"/>
      <c r="B8" s="2942" t="s">
        <v>529</v>
      </c>
      <c r="C8" s="523" t="s">
        <v>574</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54" t="s">
        <v>531</v>
      </c>
      <c r="Q8" s="3453"/>
      <c r="R8" s="1565" t="s">
        <v>8</v>
      </c>
      <c r="S8" s="1566">
        <f t="shared" si="0"/>
        <v>0</v>
      </c>
      <c r="T8" s="1565" t="s">
        <v>8</v>
      </c>
      <c r="U8" s="1566">
        <f t="shared" si="1"/>
        <v>0</v>
      </c>
      <c r="V8" s="1565" t="s">
        <v>8</v>
      </c>
      <c r="W8" s="1566">
        <f t="shared" si="2"/>
        <v>0</v>
      </c>
      <c r="X8" s="1567"/>
      <c r="Y8" s="3452" t="s">
        <v>531</v>
      </c>
      <c r="Z8" s="3453"/>
      <c r="AA8" s="1568" t="e">
        <f t="shared" ref="AA8:AA47" si="3">D8/F8</f>
        <v>#DIV/0!</v>
      </c>
      <c r="AB8" s="1568" t="e">
        <f t="shared" ref="AB8:AB47" si="4">D8/H8</f>
        <v>#DIV/0!</v>
      </c>
      <c r="AC8" s="1568" t="e">
        <f t="shared" ref="AC8:AC47" si="5">D8/J8</f>
        <v>#DIV/0!</v>
      </c>
    </row>
    <row r="9" spans="1:29" s="1217" customFormat="1" ht="15">
      <c r="A9" s="2936"/>
      <c r="B9" s="2943" t="s">
        <v>2757</v>
      </c>
      <c r="C9" s="854"/>
      <c r="D9" s="252">
        <v>100</v>
      </c>
      <c r="E9" s="857"/>
      <c r="F9" s="252">
        <f>SUMIF(64:64,E9,65:65)-SUMIF(64:64,C9,65:65)+100</f>
        <v>100</v>
      </c>
      <c r="G9" s="855"/>
      <c r="H9" s="252">
        <f>SUMIF(64:64,G9,65:65)-SUMIF(64:64,C9,65:65)+100</f>
        <v>100</v>
      </c>
      <c r="I9" s="855"/>
      <c r="J9" s="252">
        <f>SUMIF(64:64,I9,65:65)-SUMIF(64:64,C9,65:65)+100</f>
        <v>100</v>
      </c>
      <c r="K9" s="522"/>
      <c r="L9" s="2132"/>
      <c r="M9" s="2133"/>
      <c r="N9" s="2133"/>
      <c r="O9" s="2133"/>
      <c r="P9" s="3421" t="s">
        <v>533</v>
      </c>
      <c r="Q9" s="1148" t="str">
        <f t="shared" ref="Q9:Q15" si="6">B9</f>
        <v>用途</v>
      </c>
      <c r="R9" s="1565" t="s">
        <v>8</v>
      </c>
      <c r="S9" s="1566">
        <f t="shared" si="0"/>
        <v>100</v>
      </c>
      <c r="T9" s="1565" t="s">
        <v>8</v>
      </c>
      <c r="U9" s="1566">
        <f t="shared" si="1"/>
        <v>100</v>
      </c>
      <c r="V9" s="1565" t="s">
        <v>8</v>
      </c>
      <c r="W9" s="1566">
        <f t="shared" si="2"/>
        <v>100</v>
      </c>
      <c r="X9" s="1567"/>
      <c r="Y9" s="3367" t="s">
        <v>534</v>
      </c>
      <c r="Z9" s="1147" t="str">
        <f t="shared" ref="Z9:Z15" si="7">Q9</f>
        <v>用途</v>
      </c>
      <c r="AA9" s="1568">
        <f t="shared" si="3"/>
        <v>1</v>
      </c>
      <c r="AB9" s="1568">
        <f t="shared" si="4"/>
        <v>1</v>
      </c>
      <c r="AC9" s="1568">
        <f t="shared" si="5"/>
        <v>1</v>
      </c>
    </row>
    <row r="10" spans="1:29" s="1335" customFormat="1" ht="27">
      <c r="A10" s="2937"/>
      <c r="B10" s="2942" t="s">
        <v>2758</v>
      </c>
      <c r="C10" s="858"/>
      <c r="D10" s="253">
        <v>100</v>
      </c>
      <c r="E10" s="858"/>
      <c r="F10" s="253">
        <f>SUMIF(66:66,E10,67:67)-SUMIF(66:66,C10,67:67)+100</f>
        <v>100</v>
      </c>
      <c r="G10" s="859"/>
      <c r="H10" s="253">
        <f>SUMIF(66:66,G10,67:67)-SUMIF(66:66,C10,67:67)+100</f>
        <v>100</v>
      </c>
      <c r="I10" s="858"/>
      <c r="J10" s="253">
        <f>SUMIF(66:66,I10,67:67)-SUMIF(66:66,C10,67:67)+100</f>
        <v>100</v>
      </c>
      <c r="K10" s="581"/>
      <c r="L10" s="2135"/>
      <c r="M10" s="2175"/>
      <c r="N10" s="2175"/>
      <c r="O10" s="2175"/>
      <c r="P10" s="3421"/>
      <c r="Q10" s="1148" t="str">
        <f t="shared" si="6"/>
        <v>土地使用年限（年）</v>
      </c>
      <c r="R10" s="1565" t="s">
        <v>8</v>
      </c>
      <c r="S10" s="1566">
        <f t="shared" si="0"/>
        <v>100</v>
      </c>
      <c r="T10" s="1565" t="s">
        <v>8</v>
      </c>
      <c r="U10" s="1566">
        <f t="shared" si="1"/>
        <v>100</v>
      </c>
      <c r="V10" s="1565" t="s">
        <v>8</v>
      </c>
      <c r="W10" s="1566">
        <f t="shared" si="2"/>
        <v>100</v>
      </c>
      <c r="X10" s="1567"/>
      <c r="Y10" s="3367"/>
      <c r="Z10" s="1147" t="str">
        <f t="shared" si="7"/>
        <v>土地使用年限（年）</v>
      </c>
      <c r="AA10" s="1568">
        <f t="shared" si="3"/>
        <v>1</v>
      </c>
      <c r="AB10" s="1568">
        <f t="shared" si="4"/>
        <v>1</v>
      </c>
      <c r="AC10" s="1568">
        <f t="shared" si="5"/>
        <v>1</v>
      </c>
    </row>
    <row r="11" spans="1:29" ht="15">
      <c r="A11" s="2938"/>
      <c r="B11" s="2942" t="s">
        <v>2759</v>
      </c>
      <c r="C11" s="530"/>
      <c r="D11" s="253">
        <v>100</v>
      </c>
      <c r="E11" s="530"/>
      <c r="F11" s="253" t="e">
        <f>LOOKUP(E11,69:69,70:70)-LOOKUP(C11,69:69,70:70)+100</f>
        <v>#N/A</v>
      </c>
      <c r="G11" s="531"/>
      <c r="H11" s="253" t="e">
        <f>LOOKUP(G11,69:69,70:70)-LOOKUP(C11,69:69,70:70)+100</f>
        <v>#N/A</v>
      </c>
      <c r="I11" s="530"/>
      <c r="J11" s="253" t="e">
        <f>LOOKUP(I11,69:69,70:70)-LOOKUP(C11,69:69,70:70)+100</f>
        <v>#N/A</v>
      </c>
      <c r="K11" s="581"/>
      <c r="L11" s="2137"/>
      <c r="M11" s="2131"/>
      <c r="N11" s="2131"/>
      <c r="O11" s="2131"/>
      <c r="P11" s="3421"/>
      <c r="Q11" s="1148" t="str">
        <f t="shared" si="6"/>
        <v>容积率</v>
      </c>
      <c r="R11" s="1565" t="s">
        <v>8</v>
      </c>
      <c r="S11" s="1566" t="e">
        <f t="shared" si="0"/>
        <v>#N/A</v>
      </c>
      <c r="T11" s="1565" t="s">
        <v>8</v>
      </c>
      <c r="U11" s="1566" t="e">
        <f t="shared" si="1"/>
        <v>#N/A</v>
      </c>
      <c r="V11" s="1565" t="s">
        <v>8</v>
      </c>
      <c r="W11" s="1566" t="e">
        <f t="shared" si="2"/>
        <v>#N/A</v>
      </c>
      <c r="X11" s="1567"/>
      <c r="Y11" s="3367"/>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26"/>
      <c r="F12" s="253">
        <f>SUMIF(71:71,E12,72:72)-SUMIF(71:71,C12,72:72)+100</f>
        <v>100</v>
      </c>
      <c r="G12" s="907"/>
      <c r="H12" s="253">
        <f>SUMIF(71:71,G12,72:72)-SUMIF(71:71,C12,72:72)+100</f>
        <v>100</v>
      </c>
      <c r="I12" s="526"/>
      <c r="J12" s="253">
        <f>SUMIF(71:71,I12,72:72)-SUMIF(71:71,C12,72:72)+100</f>
        <v>100</v>
      </c>
      <c r="K12" s="578"/>
      <c r="L12" s="2132"/>
      <c r="M12" s="2133"/>
      <c r="N12" s="2133"/>
      <c r="O12" s="2133"/>
      <c r="P12" s="3421"/>
      <c r="Q12" s="1148">
        <f t="shared" si="6"/>
        <v>111</v>
      </c>
      <c r="R12" s="1565" t="s">
        <v>8</v>
      </c>
      <c r="S12" s="1566">
        <f t="shared" si="0"/>
        <v>100</v>
      </c>
      <c r="T12" s="1565" t="s">
        <v>8</v>
      </c>
      <c r="U12" s="1566">
        <f t="shared" si="1"/>
        <v>100</v>
      </c>
      <c r="V12" s="1565" t="s">
        <v>8</v>
      </c>
      <c r="W12" s="1566">
        <f t="shared" si="2"/>
        <v>100</v>
      </c>
      <c r="X12" s="1567"/>
      <c r="Y12" s="3367"/>
      <c r="Z12" s="1147">
        <f t="shared" si="7"/>
        <v>111</v>
      </c>
      <c r="AA12" s="1568">
        <f>D12/F12</f>
        <v>1</v>
      </c>
      <c r="AB12" s="1568">
        <f>D12/H12</f>
        <v>1</v>
      </c>
      <c r="AC12" s="1568">
        <f>D12/J12</f>
        <v>1</v>
      </c>
    </row>
    <row r="13" spans="1:29" ht="15">
      <c r="A13" s="2939"/>
      <c r="B13" s="2945">
        <v>111</v>
      </c>
      <c r="C13" s="536"/>
      <c r="D13" s="537">
        <v>100</v>
      </c>
      <c r="E13" s="526"/>
      <c r="F13" s="253">
        <f>SUMIF(73:73,E13,74:74)-SUMIF(73:73,C13,74:74)+100</f>
        <v>100</v>
      </c>
      <c r="G13" s="907"/>
      <c r="H13" s="537">
        <f>SUMIF(73:73,G13,74:74)-SUMIF(73:73,C13,74:74)+100</f>
        <v>100</v>
      </c>
      <c r="I13" s="526"/>
      <c r="J13" s="537">
        <f>SUMIF(73:73,I13,74:74)-SUMIF(73:73,C13,74:74)+100</f>
        <v>100</v>
      </c>
      <c r="K13" s="578"/>
      <c r="L13" s="2139"/>
      <c r="M13" s="2131"/>
      <c r="N13" s="2131"/>
      <c r="O13" s="2131"/>
      <c r="P13" s="3421"/>
      <c r="Q13" s="1148">
        <f t="shared" si="6"/>
        <v>111</v>
      </c>
      <c r="R13" s="1565" t="s">
        <v>8</v>
      </c>
      <c r="S13" s="1566">
        <f t="shared" si="0"/>
        <v>100</v>
      </c>
      <c r="T13" s="1565" t="s">
        <v>8</v>
      </c>
      <c r="U13" s="1566">
        <f t="shared" si="1"/>
        <v>100</v>
      </c>
      <c r="V13" s="1565" t="s">
        <v>8</v>
      </c>
      <c r="W13" s="1566">
        <f t="shared" si="2"/>
        <v>100</v>
      </c>
      <c r="X13" s="1567"/>
      <c r="Y13" s="3367"/>
      <c r="Z13" s="1147">
        <f t="shared" si="7"/>
        <v>111</v>
      </c>
      <c r="AA13" s="1568">
        <f t="shared" si="3"/>
        <v>1</v>
      </c>
      <c r="AB13" s="1568">
        <f t="shared" si="4"/>
        <v>1</v>
      </c>
      <c r="AC13" s="1568">
        <f t="shared" si="5"/>
        <v>1</v>
      </c>
    </row>
    <row r="14" spans="1:29" ht="15.75" thickBot="1">
      <c r="A14" s="2940"/>
      <c r="B14" s="2946">
        <v>111</v>
      </c>
      <c r="C14" s="542"/>
      <c r="D14" s="543">
        <v>100</v>
      </c>
      <c r="E14" s="908"/>
      <c r="F14" s="543">
        <f>SUMIF(75:75,E14,76:76)-SUMIF(75:75,C14,76:76)+100</f>
        <v>100</v>
      </c>
      <c r="G14" s="907"/>
      <c r="H14" s="543">
        <f>SUMIF(75:75,G14,76:76)-SUMIF(75:75,C14,76:76)+100</f>
        <v>100</v>
      </c>
      <c r="I14" s="526"/>
      <c r="J14" s="543">
        <f>SUMIF(75:75,I14,76:76)-SUMIF(75:75,C14,76:76)+100</f>
        <v>100</v>
      </c>
      <c r="K14" s="578"/>
      <c r="L14" s="2139"/>
      <c r="M14" s="2131"/>
      <c r="N14" s="2131"/>
      <c r="O14" s="2131"/>
      <c r="P14" s="3421"/>
      <c r="Q14" s="1148">
        <f t="shared" si="6"/>
        <v>111</v>
      </c>
      <c r="R14" s="1565" t="s">
        <v>8</v>
      </c>
      <c r="S14" s="1566">
        <f t="shared" si="0"/>
        <v>100</v>
      </c>
      <c r="T14" s="1565" t="s">
        <v>8</v>
      </c>
      <c r="U14" s="1566">
        <f t="shared" si="1"/>
        <v>100</v>
      </c>
      <c r="V14" s="1565" t="s">
        <v>8</v>
      </c>
      <c r="W14" s="1566">
        <f t="shared" si="2"/>
        <v>100</v>
      </c>
      <c r="X14" s="1567"/>
      <c r="Y14" s="3367"/>
      <c r="Z14" s="1147">
        <f t="shared" si="7"/>
        <v>111</v>
      </c>
      <c r="AA14" s="1568">
        <f t="shared" si="3"/>
        <v>1</v>
      </c>
      <c r="AB14" s="1568">
        <f t="shared" si="4"/>
        <v>1</v>
      </c>
      <c r="AC14" s="1568">
        <f t="shared" si="5"/>
        <v>1</v>
      </c>
    </row>
    <row r="15" spans="1:29" ht="71.25">
      <c r="A15" s="2932" t="s">
        <v>2755</v>
      </c>
      <c r="B15" s="544" t="s">
        <v>540</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455" t="s">
        <v>538</v>
      </c>
      <c r="Q15" s="1569" t="str">
        <f t="shared" si="6"/>
        <v>办公集聚程度</v>
      </c>
      <c r="R15" s="1570" t="s">
        <v>8</v>
      </c>
      <c r="S15" s="1571">
        <f t="shared" si="0"/>
        <v>100</v>
      </c>
      <c r="T15" s="1570" t="s">
        <v>8</v>
      </c>
      <c r="U15" s="1571">
        <f t="shared" si="1"/>
        <v>100</v>
      </c>
      <c r="V15" s="1570" t="s">
        <v>8</v>
      </c>
      <c r="W15" s="1571">
        <f t="shared" si="2"/>
        <v>100</v>
      </c>
      <c r="X15" s="1564"/>
      <c r="Y15" s="3455" t="s">
        <v>538</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39"/>
      <c r="M16" s="2131"/>
      <c r="N16" s="2131"/>
      <c r="O16" s="2131"/>
      <c r="P16" s="3456"/>
      <c r="Q16" s="1569"/>
      <c r="R16" s="1570"/>
      <c r="S16" s="1571"/>
      <c r="T16" s="1570"/>
      <c r="U16" s="1571"/>
      <c r="V16" s="1570"/>
      <c r="W16" s="1571"/>
      <c r="X16" s="1564"/>
      <c r="Y16" s="3456"/>
      <c r="Z16" s="1572"/>
      <c r="AA16" s="1573">
        <v>1</v>
      </c>
      <c r="AB16" s="1573">
        <v>1</v>
      </c>
      <c r="AC16" s="1573">
        <v>1</v>
      </c>
    </row>
    <row r="17" spans="1:29" ht="114">
      <c r="A17" s="529"/>
      <c r="B17" s="557" t="s">
        <v>296</v>
      </c>
      <c r="C17" s="570" t="str">
        <f>估价对象房地状况!C6</f>
        <v>估价对象周边道路状况、公共交通通达情况、停车便捷程度，综合评价交通便捷度较好148.208、212、215、348、503、912</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456"/>
      <c r="Q17" s="1569" t="str">
        <f>B17</f>
        <v>交通便捷度</v>
      </c>
      <c r="R17" s="1570" t="s">
        <v>8</v>
      </c>
      <c r="S17" s="1571">
        <f>F17</f>
        <v>100</v>
      </c>
      <c r="T17" s="1570" t="s">
        <v>8</v>
      </c>
      <c r="U17" s="1571">
        <f>H17</f>
        <v>100</v>
      </c>
      <c r="V17" s="1570" t="s">
        <v>8</v>
      </c>
      <c r="W17" s="1571">
        <f>J17</f>
        <v>100</v>
      </c>
      <c r="X17" s="1564"/>
      <c r="Y17" s="3456"/>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39"/>
      <c r="M18" s="2131"/>
      <c r="N18" s="2131"/>
      <c r="O18" s="2131"/>
      <c r="P18" s="3456"/>
      <c r="Q18" s="1569"/>
      <c r="R18" s="1570"/>
      <c r="S18" s="1571"/>
      <c r="T18" s="1570"/>
      <c r="U18" s="1571"/>
      <c r="V18" s="1570"/>
      <c r="W18" s="1571"/>
      <c r="X18" s="1564"/>
      <c r="Y18" s="3456"/>
      <c r="Z18" s="1572"/>
      <c r="AA18" s="1573">
        <v>1</v>
      </c>
      <c r="AB18" s="1573">
        <v>1</v>
      </c>
      <c r="AC18" s="1573">
        <v>1</v>
      </c>
    </row>
    <row r="19" spans="1:29" ht="42.75">
      <c r="A19" s="529"/>
      <c r="B19" s="2623"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456"/>
      <c r="Q19" s="1569" t="str">
        <f>B19</f>
        <v>公共配套设施</v>
      </c>
      <c r="R19" s="1570" t="s">
        <v>8</v>
      </c>
      <c r="S19" s="1571">
        <f>F19</f>
        <v>100</v>
      </c>
      <c r="T19" s="1570" t="s">
        <v>8</v>
      </c>
      <c r="U19" s="1571">
        <f>H19</f>
        <v>100</v>
      </c>
      <c r="V19" s="1570" t="s">
        <v>8</v>
      </c>
      <c r="W19" s="1571">
        <f>J19</f>
        <v>100</v>
      </c>
      <c r="X19" s="1564"/>
      <c r="Y19" s="3456"/>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39"/>
      <c r="M20" s="2131"/>
      <c r="N20" s="2131"/>
      <c r="O20" s="2131"/>
      <c r="P20" s="3456"/>
      <c r="Q20" s="1569"/>
      <c r="R20" s="1570"/>
      <c r="S20" s="1571"/>
      <c r="T20" s="1570"/>
      <c r="U20" s="1571"/>
      <c r="V20" s="1570"/>
      <c r="W20" s="1571"/>
      <c r="X20" s="1564"/>
      <c r="Y20" s="3456"/>
      <c r="Z20" s="1572"/>
      <c r="AA20" s="1573">
        <v>1</v>
      </c>
      <c r="AB20" s="1573">
        <v>1</v>
      </c>
      <c r="AC20" s="1573">
        <v>1</v>
      </c>
    </row>
    <row r="21" spans="1:29" ht="28.5">
      <c r="A21" s="529"/>
      <c r="B21" s="2611"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456"/>
      <c r="Q21" s="2599" t="str">
        <f>B21</f>
        <v>基础设施水平</v>
      </c>
      <c r="R21" s="1570" t="s">
        <v>8</v>
      </c>
      <c r="S21" s="1571">
        <f>F21</f>
        <v>100</v>
      </c>
      <c r="T21" s="1570" t="s">
        <v>8</v>
      </c>
      <c r="U21" s="1571">
        <f>H21</f>
        <v>100</v>
      </c>
      <c r="V21" s="1570" t="s">
        <v>8</v>
      </c>
      <c r="W21" s="1571">
        <f>J21</f>
        <v>100</v>
      </c>
      <c r="X21" s="2601"/>
      <c r="Y21" s="3456"/>
      <c r="Z21" s="2600"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2"/>
      <c r="L22" s="2139"/>
      <c r="M22" s="2131"/>
      <c r="N22" s="2131"/>
      <c r="O22" s="2131"/>
      <c r="P22" s="3456"/>
      <c r="Q22" s="2599"/>
      <c r="R22" s="1570"/>
      <c r="S22" s="1571"/>
      <c r="T22" s="1570"/>
      <c r="U22" s="1571"/>
      <c r="V22" s="1570"/>
      <c r="W22" s="1571"/>
      <c r="X22" s="2601"/>
      <c r="Y22" s="3456"/>
      <c r="Z22" s="2600"/>
      <c r="AA22" s="1573">
        <v>1</v>
      </c>
      <c r="AB22" s="1573">
        <v>1</v>
      </c>
      <c r="AC22" s="1573">
        <v>1</v>
      </c>
    </row>
    <row r="23" spans="1:29" ht="57">
      <c r="A23" s="529"/>
      <c r="B23" s="557" t="s">
        <v>776</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456"/>
      <c r="Q23" s="1569" t="str">
        <f>B23</f>
        <v>环境质量</v>
      </c>
      <c r="R23" s="1570" t="s">
        <v>8</v>
      </c>
      <c r="S23" s="1571">
        <f>F23</f>
        <v>100</v>
      </c>
      <c r="T23" s="1570" t="s">
        <v>8</v>
      </c>
      <c r="U23" s="1571">
        <f>H23</f>
        <v>100</v>
      </c>
      <c r="V23" s="1570" t="s">
        <v>8</v>
      </c>
      <c r="W23" s="1571">
        <f>J23</f>
        <v>100</v>
      </c>
      <c r="X23" s="1564"/>
      <c r="Y23" s="3456"/>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39"/>
      <c r="M24" s="2131"/>
      <c r="N24" s="2131"/>
      <c r="O24" s="2131"/>
      <c r="P24" s="3456"/>
      <c r="Q24" s="1569"/>
      <c r="R24" s="1570"/>
      <c r="S24" s="1571"/>
      <c r="T24" s="1570"/>
      <c r="U24" s="1571"/>
      <c r="V24" s="1570"/>
      <c r="W24" s="1571"/>
      <c r="X24" s="1564"/>
      <c r="Y24" s="3456"/>
      <c r="Z24" s="1572"/>
      <c r="AA24" s="1573">
        <v>1</v>
      </c>
      <c r="AB24" s="1573">
        <v>1</v>
      </c>
      <c r="AC24" s="1573">
        <v>1</v>
      </c>
    </row>
    <row r="25" spans="1:29" ht="27">
      <c r="A25" s="513"/>
      <c r="B25" s="557" t="s">
        <v>546</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456"/>
      <c r="Q25" s="1569" t="str">
        <f>B25</f>
        <v>毗邻道路的类型与等级</v>
      </c>
      <c r="R25" s="1570" t="s">
        <v>8</v>
      </c>
      <c r="S25" s="1571">
        <f>F25</f>
        <v>100</v>
      </c>
      <c r="T25" s="1570" t="s">
        <v>8</v>
      </c>
      <c r="U25" s="1571">
        <f>H25</f>
        <v>100</v>
      </c>
      <c r="V25" s="1570" t="s">
        <v>8</v>
      </c>
      <c r="W25" s="1571">
        <f>J25</f>
        <v>100</v>
      </c>
      <c r="X25" s="1564"/>
      <c r="Y25" s="3456"/>
      <c r="Z25" s="1572" t="str">
        <f>Q25</f>
        <v>毗邻道路的类型与等级</v>
      </c>
      <c r="AA25" s="1573">
        <f t="shared" si="3"/>
        <v>1</v>
      </c>
      <c r="AB25" s="1573">
        <f t="shared" si="4"/>
        <v>1</v>
      </c>
      <c r="AC25" s="1573">
        <f t="shared" si="5"/>
        <v>1</v>
      </c>
    </row>
    <row r="26" spans="1:29" ht="15">
      <c r="A26" s="513"/>
      <c r="B26" s="563"/>
      <c r="C26" s="577"/>
      <c r="D26" s="537"/>
      <c r="E26" s="580"/>
      <c r="F26" s="537"/>
      <c r="G26" s="577"/>
      <c r="H26" s="537"/>
      <c r="I26" s="580"/>
      <c r="J26" s="537"/>
      <c r="K26" s="896"/>
      <c r="L26" s="2139"/>
      <c r="M26" s="2131"/>
      <c r="N26" s="2131"/>
      <c r="O26" s="2131"/>
      <c r="P26" s="3456"/>
      <c r="Q26" s="1569"/>
      <c r="R26" s="1570"/>
      <c r="S26" s="1571"/>
      <c r="T26" s="1570"/>
      <c r="U26" s="1571"/>
      <c r="V26" s="1570"/>
      <c r="W26" s="1571"/>
      <c r="X26" s="1564"/>
      <c r="Y26" s="3456"/>
      <c r="Z26" s="1572"/>
      <c r="AA26" s="1573">
        <v>1</v>
      </c>
      <c r="AB26" s="1573">
        <v>1</v>
      </c>
      <c r="AC26" s="1573">
        <v>1</v>
      </c>
    </row>
    <row r="27" spans="1:29" ht="15">
      <c r="A27" s="529"/>
      <c r="B27" s="563" t="s">
        <v>759</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456"/>
      <c r="Q27" s="1569" t="str">
        <f t="shared" ref="Q27:Q47" si="11">B27</f>
        <v>楼层</v>
      </c>
      <c r="R27" s="1570" t="s">
        <v>8</v>
      </c>
      <c r="S27" s="1571">
        <f>F27</f>
        <v>100</v>
      </c>
      <c r="T27" s="1570" t="s">
        <v>8</v>
      </c>
      <c r="U27" s="1571">
        <f>H27</f>
        <v>100</v>
      </c>
      <c r="V27" s="1570" t="s">
        <v>8</v>
      </c>
      <c r="W27" s="1571">
        <f>J27</f>
        <v>100</v>
      </c>
      <c r="X27" s="1564"/>
      <c r="Y27" s="3456"/>
      <c r="Z27" s="1572" t="str">
        <f>Q27</f>
        <v>楼层</v>
      </c>
      <c r="AA27" s="1573">
        <f t="shared" si="3"/>
        <v>1</v>
      </c>
      <c r="AB27" s="1573">
        <f t="shared" si="4"/>
        <v>1</v>
      </c>
      <c r="AC27" s="1573">
        <f t="shared" si="5"/>
        <v>1</v>
      </c>
    </row>
    <row r="28" spans="1:29" s="1217" customFormat="1" ht="15">
      <c r="A28" s="533"/>
      <c r="B28" s="557" t="s">
        <v>777</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456"/>
      <c r="Q28" s="1148" t="str">
        <f t="shared" si="11"/>
        <v>朝向</v>
      </c>
      <c r="R28" s="1565" t="s">
        <v>8</v>
      </c>
      <c r="S28" s="1566">
        <f>F28</f>
        <v>100</v>
      </c>
      <c r="T28" s="1565" t="s">
        <v>8</v>
      </c>
      <c r="U28" s="1566">
        <f>H28</f>
        <v>100</v>
      </c>
      <c r="V28" s="1565" t="s">
        <v>8</v>
      </c>
      <c r="W28" s="1566">
        <f>J28</f>
        <v>100</v>
      </c>
      <c r="X28" s="1567"/>
      <c r="Y28" s="3456"/>
      <c r="Z28" s="1147" t="str">
        <f>Q28</f>
        <v>朝向</v>
      </c>
      <c r="AA28" s="1573">
        <f>D28/F28</f>
        <v>1</v>
      </c>
      <c r="AB28" s="1573">
        <f>D28/H28</f>
        <v>1</v>
      </c>
      <c r="AC28" s="1573">
        <f>D28/J28</f>
        <v>1</v>
      </c>
    </row>
    <row r="29" spans="1:29" ht="15">
      <c r="A29" s="529"/>
      <c r="B29" s="582">
        <v>111</v>
      </c>
      <c r="C29" s="909"/>
      <c r="D29" s="537">
        <v>100</v>
      </c>
      <c r="E29" s="526"/>
      <c r="F29" s="537">
        <f>SUMIF(93:93,E29,94:94)-SUMIF(93:93,C29,94:94)+100</f>
        <v>100</v>
      </c>
      <c r="G29" s="907"/>
      <c r="H29" s="537">
        <f>SUMIF(93:93,G29,94:94)-SUMIF(93:93,C29,94:94)+100</f>
        <v>100</v>
      </c>
      <c r="I29" s="526"/>
      <c r="J29" s="537">
        <f>SUMIF(93:93,I29,94:94)-SUMIF(93:93,C29,94:94)+100</f>
        <v>100</v>
      </c>
      <c r="K29" s="578"/>
      <c r="L29" s="2139"/>
      <c r="M29" s="2131"/>
      <c r="N29" s="2131"/>
      <c r="O29" s="2131"/>
      <c r="P29" s="3456"/>
      <c r="Q29" s="1569">
        <f t="shared" si="11"/>
        <v>111</v>
      </c>
      <c r="R29" s="1570" t="s">
        <v>8</v>
      </c>
      <c r="S29" s="1571">
        <f t="shared" ref="S29:S47" si="12">F29</f>
        <v>100</v>
      </c>
      <c r="T29" s="1570" t="s">
        <v>8</v>
      </c>
      <c r="U29" s="1571">
        <f t="shared" ref="U29:U47" si="13">H29</f>
        <v>100</v>
      </c>
      <c r="V29" s="1570" t="s">
        <v>8</v>
      </c>
      <c r="W29" s="1571">
        <f t="shared" ref="W29:W47" si="14">J29</f>
        <v>100</v>
      </c>
      <c r="X29" s="1564"/>
      <c r="Y29" s="3456"/>
      <c r="Z29" s="1572">
        <f t="shared" ref="Z29:Z47" si="15">Q29</f>
        <v>111</v>
      </c>
      <c r="AA29" s="1573">
        <f t="shared" si="3"/>
        <v>1</v>
      </c>
      <c r="AB29" s="1573">
        <f t="shared" si="4"/>
        <v>1</v>
      </c>
      <c r="AC29" s="1573">
        <f t="shared" si="5"/>
        <v>1</v>
      </c>
    </row>
    <row r="30" spans="1:29" ht="15">
      <c r="A30" s="529"/>
      <c r="B30" s="582">
        <v>111</v>
      </c>
      <c r="C30" s="909"/>
      <c r="D30" s="537">
        <v>100</v>
      </c>
      <c r="E30" s="526"/>
      <c r="F30" s="537">
        <f>SUMIF(95:95,E30,96:96)-SUMIF(95:95,C30,96:96)+100</f>
        <v>100</v>
      </c>
      <c r="G30" s="907"/>
      <c r="H30" s="537">
        <f>SUMIF(95:95,G30,96:96)-SUMIF(95:95,C30,96:96)+100</f>
        <v>100</v>
      </c>
      <c r="I30" s="526"/>
      <c r="J30" s="537">
        <f>SUMIF(95:95,I30,96:96)-SUMIF(95:95,C30,96:96)+100</f>
        <v>100</v>
      </c>
      <c r="K30" s="578"/>
      <c r="L30" s="2139"/>
      <c r="M30" s="2131"/>
      <c r="N30" s="2131"/>
      <c r="O30" s="2131"/>
      <c r="P30" s="3456"/>
      <c r="Q30" s="1569">
        <f t="shared" si="11"/>
        <v>111</v>
      </c>
      <c r="R30" s="1570" t="s">
        <v>8</v>
      </c>
      <c r="S30" s="1571">
        <f t="shared" si="12"/>
        <v>100</v>
      </c>
      <c r="T30" s="1570" t="s">
        <v>8</v>
      </c>
      <c r="U30" s="1571">
        <f t="shared" si="13"/>
        <v>100</v>
      </c>
      <c r="V30" s="1570" t="s">
        <v>8</v>
      </c>
      <c r="W30" s="1571">
        <f t="shared" si="14"/>
        <v>100</v>
      </c>
      <c r="X30" s="1564"/>
      <c r="Y30" s="3456"/>
      <c r="Z30" s="1572">
        <f t="shared" si="15"/>
        <v>111</v>
      </c>
      <c r="AA30" s="1573">
        <f t="shared" si="3"/>
        <v>1</v>
      </c>
      <c r="AB30" s="1573">
        <f t="shared" si="4"/>
        <v>1</v>
      </c>
      <c r="AC30" s="1573">
        <f t="shared" si="5"/>
        <v>1</v>
      </c>
    </row>
    <row r="31" spans="1:29" ht="15">
      <c r="A31" s="529"/>
      <c r="B31" s="582">
        <v>111</v>
      </c>
      <c r="C31" s="909"/>
      <c r="D31" s="537">
        <v>100</v>
      </c>
      <c r="E31" s="526"/>
      <c r="F31" s="537">
        <f>SUMIF(97:97,E31,98:98)-SUMIF(97:97,C31,98:98)+100</f>
        <v>100</v>
      </c>
      <c r="G31" s="907"/>
      <c r="H31" s="537">
        <f>SUMIF(97:97,G31,98:98)-SUMIF(97:97,C31,98:98)+100</f>
        <v>100</v>
      </c>
      <c r="I31" s="526"/>
      <c r="J31" s="537">
        <f>SUMIF(97:97,I31,98:98)-SUMIF(97:97,C31,98:98)+100</f>
        <v>100</v>
      </c>
      <c r="K31" s="578"/>
      <c r="L31" s="2139"/>
      <c r="M31" s="2131"/>
      <c r="N31" s="2131"/>
      <c r="O31" s="2131"/>
      <c r="P31" s="3456"/>
      <c r="Q31" s="1569">
        <f t="shared" si="11"/>
        <v>111</v>
      </c>
      <c r="R31" s="1570" t="s">
        <v>8</v>
      </c>
      <c r="S31" s="1571">
        <f t="shared" si="12"/>
        <v>100</v>
      </c>
      <c r="T31" s="1570" t="s">
        <v>8</v>
      </c>
      <c r="U31" s="1571">
        <f t="shared" si="13"/>
        <v>100</v>
      </c>
      <c r="V31" s="1570" t="s">
        <v>8</v>
      </c>
      <c r="W31" s="1571">
        <f t="shared" si="14"/>
        <v>100</v>
      </c>
      <c r="X31" s="1564"/>
      <c r="Y31" s="3456"/>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6"/>
      <c r="J32" s="543">
        <f>SUMIF(99:99,I32,100:100)-SUMIF(99:99,C32,100:100)+100</f>
        <v>100</v>
      </c>
      <c r="K32" s="578"/>
      <c r="L32" s="2139"/>
      <c r="M32" s="2131"/>
      <c r="N32" s="2131"/>
      <c r="O32" s="2131"/>
      <c r="P32" s="3456"/>
      <c r="Q32" s="1569">
        <f t="shared" si="11"/>
        <v>111</v>
      </c>
      <c r="R32" s="1570" t="s">
        <v>8</v>
      </c>
      <c r="S32" s="1571">
        <f t="shared" si="12"/>
        <v>100</v>
      </c>
      <c r="T32" s="1570" t="s">
        <v>8</v>
      </c>
      <c r="U32" s="1571">
        <f t="shared" si="13"/>
        <v>100</v>
      </c>
      <c r="V32" s="1570" t="s">
        <v>8</v>
      </c>
      <c r="W32" s="1571">
        <f t="shared" si="14"/>
        <v>100</v>
      </c>
      <c r="X32" s="1564"/>
      <c r="Y32" s="3456"/>
      <c r="Z32" s="1572">
        <f t="shared" si="15"/>
        <v>111</v>
      </c>
      <c r="AA32" s="1573">
        <f t="shared" si="3"/>
        <v>1</v>
      </c>
      <c r="AB32" s="1573">
        <f t="shared" si="4"/>
        <v>1</v>
      </c>
      <c r="AC32" s="1573">
        <f t="shared" si="5"/>
        <v>1</v>
      </c>
    </row>
    <row r="33" spans="1:29" ht="15">
      <c r="A33" s="2929" t="s">
        <v>2756</v>
      </c>
      <c r="B33" s="170" t="s">
        <v>778</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457" t="s">
        <v>548</v>
      </c>
      <c r="Q33" s="1569" t="str">
        <f t="shared" si="11"/>
        <v>建筑类型</v>
      </c>
      <c r="R33" s="1570" t="s">
        <v>8</v>
      </c>
      <c r="S33" s="1571">
        <f t="shared" si="12"/>
        <v>100</v>
      </c>
      <c r="T33" s="1570" t="s">
        <v>8</v>
      </c>
      <c r="U33" s="1571">
        <f t="shared" si="13"/>
        <v>100</v>
      </c>
      <c r="V33" s="1570" t="s">
        <v>8</v>
      </c>
      <c r="W33" s="1571">
        <f t="shared" si="14"/>
        <v>100</v>
      </c>
      <c r="X33" s="1564"/>
      <c r="Y33" s="3458" t="s">
        <v>548</v>
      </c>
      <c r="Z33" s="1572" t="str">
        <f t="shared" si="15"/>
        <v>建筑类型</v>
      </c>
      <c r="AA33" s="1573">
        <f t="shared" si="3"/>
        <v>1</v>
      </c>
      <c r="AB33" s="1573">
        <f t="shared" si="4"/>
        <v>1</v>
      </c>
      <c r="AC33" s="1573">
        <f t="shared" si="5"/>
        <v>1</v>
      </c>
    </row>
    <row r="34" spans="1:29" s="1336" customFormat="1" ht="15">
      <c r="A34" s="600"/>
      <c r="B34" s="525" t="s">
        <v>724</v>
      </c>
      <c r="C34" s="877"/>
      <c r="D34" s="253">
        <v>100</v>
      </c>
      <c r="E34" s="531"/>
      <c r="F34" s="860" t="e">
        <f>LOOKUP(E34,104:104,105:105)-LOOKUP(C34,104:104,105:105)+100</f>
        <v>#N/A</v>
      </c>
      <c r="G34" s="530"/>
      <c r="H34" s="253" t="e">
        <f>LOOKUP(G34,104:104,105:105)-LOOKUP(C34,104:104,105:105)+100</f>
        <v>#N/A</v>
      </c>
      <c r="I34" s="530"/>
      <c r="J34" s="253" t="e">
        <f>LOOKUP(I34,104:104,105:105)-LOOKUP(C34,104:104,105:105)+100</f>
        <v>#N/A</v>
      </c>
      <c r="K34" s="578"/>
      <c r="L34" s="2137"/>
      <c r="M34" s="2168"/>
      <c r="N34" s="2168"/>
      <c r="O34" s="2168"/>
      <c r="P34" s="3458"/>
      <c r="Q34" s="1602" t="str">
        <f t="shared" si="11"/>
        <v>项目建筑规模</v>
      </c>
      <c r="R34" s="1574" t="s">
        <v>8</v>
      </c>
      <c r="S34" s="1575" t="e">
        <f t="shared" si="12"/>
        <v>#N/A</v>
      </c>
      <c r="T34" s="1574" t="s">
        <v>8</v>
      </c>
      <c r="U34" s="1575" t="e">
        <f t="shared" si="13"/>
        <v>#N/A</v>
      </c>
      <c r="V34" s="1574" t="s">
        <v>8</v>
      </c>
      <c r="W34" s="1575" t="e">
        <f t="shared" si="14"/>
        <v>#N/A</v>
      </c>
      <c r="X34" s="1576"/>
      <c r="Y34" s="3458"/>
      <c r="Z34" s="1577" t="str">
        <f t="shared" si="15"/>
        <v>项目建筑规模</v>
      </c>
      <c r="AA34" s="1573" t="e">
        <f t="shared" si="3"/>
        <v>#N/A</v>
      </c>
      <c r="AB34" s="1573" t="e">
        <f t="shared" si="4"/>
        <v>#N/A</v>
      </c>
      <c r="AC34" s="1573" t="e">
        <f t="shared" si="5"/>
        <v>#N/A</v>
      </c>
    </row>
    <row r="35" spans="1:29" ht="15">
      <c r="A35" s="591"/>
      <c r="B35" s="525" t="s">
        <v>725</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458"/>
      <c r="Q35" s="1569" t="str">
        <f t="shared" si="11"/>
        <v>建筑结构</v>
      </c>
      <c r="R35" s="1570" t="s">
        <v>8</v>
      </c>
      <c r="S35" s="1571">
        <f t="shared" si="12"/>
        <v>100</v>
      </c>
      <c r="T35" s="1570" t="s">
        <v>8</v>
      </c>
      <c r="U35" s="1571">
        <f t="shared" si="13"/>
        <v>100</v>
      </c>
      <c r="V35" s="1570" t="s">
        <v>8</v>
      </c>
      <c r="W35" s="1571">
        <f t="shared" si="14"/>
        <v>100</v>
      </c>
      <c r="X35" s="1564"/>
      <c r="Y35" s="3458"/>
      <c r="Z35" s="1572" t="str">
        <f t="shared" si="15"/>
        <v>建筑结构</v>
      </c>
      <c r="AA35" s="1573">
        <f t="shared" si="3"/>
        <v>1</v>
      </c>
      <c r="AB35" s="1573">
        <f t="shared" si="4"/>
        <v>1</v>
      </c>
      <c r="AC35" s="1573">
        <f t="shared" si="5"/>
        <v>1</v>
      </c>
    </row>
    <row r="36" spans="1:29" ht="15">
      <c r="A36" s="591"/>
      <c r="B36" s="525" t="s">
        <v>761</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458"/>
      <c r="Q36" s="1569" t="str">
        <f t="shared" si="11"/>
        <v>公共部分装修</v>
      </c>
      <c r="R36" s="1570" t="s">
        <v>8</v>
      </c>
      <c r="S36" s="1571">
        <f t="shared" si="12"/>
        <v>100</v>
      </c>
      <c r="T36" s="1570" t="s">
        <v>8</v>
      </c>
      <c r="U36" s="1571">
        <f t="shared" si="13"/>
        <v>100</v>
      </c>
      <c r="V36" s="1570" t="s">
        <v>8</v>
      </c>
      <c r="W36" s="1571">
        <f t="shared" si="14"/>
        <v>100</v>
      </c>
      <c r="X36" s="1564"/>
      <c r="Y36" s="3458"/>
      <c r="Z36" s="1572" t="str">
        <f t="shared" si="15"/>
        <v>公共部分装修</v>
      </c>
      <c r="AA36" s="1573">
        <f t="shared" si="3"/>
        <v>1</v>
      </c>
      <c r="AB36" s="1573">
        <f t="shared" si="4"/>
        <v>1</v>
      </c>
      <c r="AC36" s="1573">
        <f t="shared" si="5"/>
        <v>1</v>
      </c>
    </row>
    <row r="37" spans="1:29" ht="15">
      <c r="A37" s="591"/>
      <c r="B37" s="525" t="s">
        <v>762</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458"/>
      <c r="Q37" s="1569" t="str">
        <f t="shared" si="11"/>
        <v>成新度</v>
      </c>
      <c r="R37" s="1570" t="s">
        <v>8</v>
      </c>
      <c r="S37" s="1571" t="e">
        <f t="shared" si="12"/>
        <v>#N/A</v>
      </c>
      <c r="T37" s="1570" t="s">
        <v>8</v>
      </c>
      <c r="U37" s="1571" t="e">
        <f t="shared" si="13"/>
        <v>#N/A</v>
      </c>
      <c r="V37" s="1570" t="s">
        <v>8</v>
      </c>
      <c r="W37" s="1571" t="e">
        <f t="shared" si="14"/>
        <v>#N/A</v>
      </c>
      <c r="X37" s="1564"/>
      <c r="Y37" s="3458"/>
      <c r="Z37" s="1572" t="str">
        <f t="shared" si="15"/>
        <v>成新度</v>
      </c>
      <c r="AA37" s="1573" t="e">
        <f t="shared" si="3"/>
        <v>#N/A</v>
      </c>
      <c r="AB37" s="1573" t="e">
        <f t="shared" si="4"/>
        <v>#N/A</v>
      </c>
      <c r="AC37" s="1573" t="e">
        <f t="shared" si="5"/>
        <v>#N/A</v>
      </c>
    </row>
    <row r="38" spans="1:29" s="1217" customFormat="1" ht="15">
      <c r="A38" s="597"/>
      <c r="B38" s="525" t="s">
        <v>779</v>
      </c>
      <c r="C38" s="571"/>
      <c r="D38" s="253">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458"/>
      <c r="Q38" s="1148" t="str">
        <f t="shared" si="11"/>
        <v>写字楼等级</v>
      </c>
      <c r="R38" s="1565" t="s">
        <v>8</v>
      </c>
      <c r="S38" s="1566">
        <f t="shared" si="12"/>
        <v>100</v>
      </c>
      <c r="T38" s="1565" t="s">
        <v>8</v>
      </c>
      <c r="U38" s="1566">
        <f t="shared" si="13"/>
        <v>100</v>
      </c>
      <c r="V38" s="1565" t="s">
        <v>8</v>
      </c>
      <c r="W38" s="1566">
        <f t="shared" si="14"/>
        <v>100</v>
      </c>
      <c r="X38" s="1567"/>
      <c r="Y38" s="3458"/>
      <c r="Z38" s="1147" t="str">
        <f t="shared" si="15"/>
        <v>写字楼等级</v>
      </c>
      <c r="AA38" s="1568">
        <f t="shared" si="3"/>
        <v>1</v>
      </c>
      <c r="AB38" s="1568">
        <f t="shared" si="4"/>
        <v>1</v>
      </c>
      <c r="AC38" s="1568">
        <f t="shared" si="5"/>
        <v>1</v>
      </c>
    </row>
    <row r="39" spans="1:29" ht="15">
      <c r="A39" s="591"/>
      <c r="B39" s="525" t="s">
        <v>780</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458" t="s">
        <v>548</v>
      </c>
      <c r="Q39" s="1569" t="str">
        <f t="shared" si="11"/>
        <v>物业管理</v>
      </c>
      <c r="R39" s="1570" t="s">
        <v>8</v>
      </c>
      <c r="S39" s="1571">
        <f t="shared" si="12"/>
        <v>100</v>
      </c>
      <c r="T39" s="1570" t="s">
        <v>8</v>
      </c>
      <c r="U39" s="1571">
        <f t="shared" si="13"/>
        <v>100</v>
      </c>
      <c r="V39" s="1570" t="s">
        <v>8</v>
      </c>
      <c r="W39" s="1571">
        <f t="shared" si="14"/>
        <v>100</v>
      </c>
      <c r="X39" s="1564"/>
      <c r="Y39" s="3458" t="s">
        <v>548</v>
      </c>
      <c r="Z39" s="1572" t="str">
        <f t="shared" si="15"/>
        <v>物业管理</v>
      </c>
      <c r="AA39" s="1573">
        <f t="shared" si="3"/>
        <v>1</v>
      </c>
      <c r="AB39" s="1573">
        <f t="shared" si="4"/>
        <v>1</v>
      </c>
      <c r="AC39" s="1573">
        <f t="shared" si="5"/>
        <v>1</v>
      </c>
    </row>
    <row r="40" spans="1:29" ht="15">
      <c r="A40" s="591"/>
      <c r="B40" s="1892"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458"/>
      <c r="Q40" s="1569" t="str">
        <f t="shared" si="11"/>
        <v>市政基础设施</v>
      </c>
      <c r="R40" s="1570" t="s">
        <v>8</v>
      </c>
      <c r="S40" s="1571">
        <f t="shared" si="12"/>
        <v>100</v>
      </c>
      <c r="T40" s="1570" t="s">
        <v>8</v>
      </c>
      <c r="U40" s="1571">
        <f t="shared" si="13"/>
        <v>100</v>
      </c>
      <c r="V40" s="1570" t="s">
        <v>8</v>
      </c>
      <c r="W40" s="1571">
        <f t="shared" si="14"/>
        <v>100</v>
      </c>
      <c r="X40" s="1564"/>
      <c r="Y40" s="3458"/>
      <c r="Z40" s="1572" t="str">
        <f t="shared" si="15"/>
        <v>市政基础设施</v>
      </c>
      <c r="AA40" s="1573">
        <f t="shared" si="3"/>
        <v>1</v>
      </c>
      <c r="AB40" s="1573">
        <f t="shared" si="4"/>
        <v>1</v>
      </c>
      <c r="AC40" s="1573">
        <f t="shared" si="5"/>
        <v>1</v>
      </c>
    </row>
    <row r="41" spans="1:29" ht="15">
      <c r="A41" s="591"/>
      <c r="B41" s="525" t="s">
        <v>765</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458"/>
      <c r="Q41" s="1569" t="str">
        <f t="shared" si="11"/>
        <v>层高</v>
      </c>
      <c r="R41" s="1570" t="s">
        <v>8</v>
      </c>
      <c r="S41" s="1571">
        <f t="shared" si="12"/>
        <v>100</v>
      </c>
      <c r="T41" s="1570" t="s">
        <v>8</v>
      </c>
      <c r="U41" s="1571">
        <f t="shared" si="13"/>
        <v>100</v>
      </c>
      <c r="V41" s="1570" t="s">
        <v>8</v>
      </c>
      <c r="W41" s="1571">
        <f t="shared" si="14"/>
        <v>100</v>
      </c>
      <c r="X41" s="1564"/>
      <c r="Y41" s="3458"/>
      <c r="Z41" s="1572" t="str">
        <f t="shared" si="15"/>
        <v>层高</v>
      </c>
      <c r="AA41" s="1573">
        <f t="shared" si="3"/>
        <v>1</v>
      </c>
      <c r="AB41" s="1573">
        <f t="shared" si="4"/>
        <v>1</v>
      </c>
      <c r="AC41" s="1573">
        <f t="shared" si="5"/>
        <v>1</v>
      </c>
    </row>
    <row r="42" spans="1:29" s="1336" customFormat="1" ht="15">
      <c r="A42" s="600"/>
      <c r="B42" s="901" t="s">
        <v>781</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458"/>
      <c r="Q42" s="1602" t="str">
        <f t="shared" si="11"/>
        <v>单套建筑面积</v>
      </c>
      <c r="R42" s="1574" t="s">
        <v>8</v>
      </c>
      <c r="S42" s="1575">
        <f t="shared" si="12"/>
        <v>100</v>
      </c>
      <c r="T42" s="1574" t="s">
        <v>8</v>
      </c>
      <c r="U42" s="1575">
        <f t="shared" si="13"/>
        <v>100</v>
      </c>
      <c r="V42" s="1574" t="s">
        <v>8</v>
      </c>
      <c r="W42" s="1575">
        <f t="shared" si="14"/>
        <v>100</v>
      </c>
      <c r="X42" s="1576"/>
      <c r="Y42" s="3458"/>
      <c r="Z42" s="1577" t="str">
        <f t="shared" si="15"/>
        <v>单套建筑面积</v>
      </c>
      <c r="AA42" s="1573">
        <f t="shared" si="3"/>
        <v>1</v>
      </c>
      <c r="AB42" s="1573">
        <f t="shared" si="4"/>
        <v>1</v>
      </c>
      <c r="AC42" s="1573">
        <f t="shared" si="5"/>
        <v>1</v>
      </c>
    </row>
    <row r="43" spans="1:29" ht="15">
      <c r="A43" s="591"/>
      <c r="B43" s="525" t="s">
        <v>768</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458"/>
      <c r="Q43" s="1569" t="str">
        <f t="shared" si="11"/>
        <v>内部装修</v>
      </c>
      <c r="R43" s="1570" t="s">
        <v>8</v>
      </c>
      <c r="S43" s="1571">
        <f t="shared" si="12"/>
        <v>100</v>
      </c>
      <c r="T43" s="1570" t="s">
        <v>8</v>
      </c>
      <c r="U43" s="1571">
        <f t="shared" si="13"/>
        <v>100</v>
      </c>
      <c r="V43" s="1570" t="s">
        <v>8</v>
      </c>
      <c r="W43" s="1571">
        <f t="shared" si="14"/>
        <v>100</v>
      </c>
      <c r="X43" s="1564"/>
      <c r="Y43" s="3458"/>
      <c r="Z43" s="1572" t="str">
        <f t="shared" si="15"/>
        <v>内部装修</v>
      </c>
      <c r="AA43" s="1573">
        <f t="shared" si="3"/>
        <v>1</v>
      </c>
      <c r="AB43" s="1573">
        <f t="shared" si="4"/>
        <v>1</v>
      </c>
      <c r="AC43" s="1573">
        <f t="shared" si="5"/>
        <v>1</v>
      </c>
    </row>
    <row r="44" spans="1:29" ht="27">
      <c r="A44" s="591"/>
      <c r="B44" s="525" t="s">
        <v>733</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458"/>
      <c r="Q44" s="1569" t="str">
        <f t="shared" si="11"/>
        <v>内部装修维护情况</v>
      </c>
      <c r="R44" s="1570" t="s">
        <v>8</v>
      </c>
      <c r="S44" s="1571">
        <f t="shared" si="12"/>
        <v>100</v>
      </c>
      <c r="T44" s="1570" t="s">
        <v>8</v>
      </c>
      <c r="U44" s="1571">
        <f t="shared" si="13"/>
        <v>100</v>
      </c>
      <c r="V44" s="1570" t="s">
        <v>8</v>
      </c>
      <c r="W44" s="1571">
        <f t="shared" si="14"/>
        <v>100</v>
      </c>
      <c r="X44" s="1564"/>
      <c r="Y44" s="3458"/>
      <c r="Z44" s="1572" t="str">
        <f t="shared" si="15"/>
        <v>内部装修维护情况</v>
      </c>
      <c r="AA44" s="1573">
        <f t="shared" si="3"/>
        <v>1</v>
      </c>
      <c r="AB44" s="1573">
        <f t="shared" si="4"/>
        <v>1</v>
      </c>
      <c r="AC44" s="1573">
        <f t="shared" si="5"/>
        <v>1</v>
      </c>
    </row>
    <row r="45" spans="1:29" s="1217" customFormat="1" ht="15">
      <c r="A45" s="597"/>
      <c r="B45" s="874">
        <v>111</v>
      </c>
      <c r="C45" s="877"/>
      <c r="D45" s="253">
        <v>100</v>
      </c>
      <c r="E45" s="526"/>
      <c r="F45" s="860">
        <f>SUMIF(127:127,E45,128:128)-SUMIF(127:127,C45,128:128)+100</f>
        <v>100</v>
      </c>
      <c r="G45" s="526"/>
      <c r="H45" s="253">
        <f>SUMIF(127:127,G45,128:128)-SUMIF(127:127,C45,128:128)+100</f>
        <v>100</v>
      </c>
      <c r="I45" s="526"/>
      <c r="J45" s="253">
        <f>SUMIF(127:127,I45,128:128)-SUMIF(127:127,C45,128:128)+100</f>
        <v>100</v>
      </c>
      <c r="K45" s="578"/>
      <c r="L45" s="2132"/>
      <c r="M45" s="2133"/>
      <c r="N45" s="2133"/>
      <c r="O45" s="2133"/>
      <c r="P45" s="3458"/>
      <c r="Q45" s="1148">
        <f t="shared" si="11"/>
        <v>111</v>
      </c>
      <c r="R45" s="1565" t="s">
        <v>8</v>
      </c>
      <c r="S45" s="1566">
        <f t="shared" si="12"/>
        <v>100</v>
      </c>
      <c r="T45" s="1565" t="s">
        <v>8</v>
      </c>
      <c r="U45" s="1566">
        <f t="shared" si="13"/>
        <v>100</v>
      </c>
      <c r="V45" s="1565" t="s">
        <v>8</v>
      </c>
      <c r="W45" s="1566">
        <f t="shared" si="14"/>
        <v>100</v>
      </c>
      <c r="X45" s="1567"/>
      <c r="Y45" s="3458"/>
      <c r="Z45" s="1147">
        <f t="shared" si="15"/>
        <v>111</v>
      </c>
      <c r="AA45" s="1568">
        <f t="shared" si="3"/>
        <v>1</v>
      </c>
      <c r="AB45" s="1568">
        <f t="shared" si="4"/>
        <v>1</v>
      </c>
      <c r="AC45" s="1568">
        <f t="shared" si="5"/>
        <v>1</v>
      </c>
    </row>
    <row r="46" spans="1:29" ht="15">
      <c r="A46" s="591"/>
      <c r="B46" s="874">
        <v>111</v>
      </c>
      <c r="C46" s="536"/>
      <c r="D46" s="537">
        <v>100</v>
      </c>
      <c r="E46" s="526"/>
      <c r="F46" s="572">
        <f>SUMIF(129:129,E46,130:130)-SUMIF(129:129,C46,130:130)+100</f>
        <v>100</v>
      </c>
      <c r="G46" s="526"/>
      <c r="H46" s="537">
        <f>SUMIF(129:129,G46,130:130)-SUMIF(129:129,C46,130:130)+100</f>
        <v>100</v>
      </c>
      <c r="I46" s="526"/>
      <c r="J46" s="537">
        <f>SUMIF(129:129,I46,130:130)-SUMIF(129:129,C46,130:130)+100</f>
        <v>100</v>
      </c>
      <c r="K46" s="578"/>
      <c r="L46" s="2139"/>
      <c r="M46" s="2131"/>
      <c r="N46" s="2131"/>
      <c r="O46" s="2131"/>
      <c r="P46" s="3458"/>
      <c r="Q46" s="1569">
        <f t="shared" si="11"/>
        <v>111</v>
      </c>
      <c r="R46" s="1570" t="s">
        <v>8</v>
      </c>
      <c r="S46" s="1571">
        <f t="shared" si="12"/>
        <v>100</v>
      </c>
      <c r="T46" s="1570" t="s">
        <v>8</v>
      </c>
      <c r="U46" s="1571">
        <f t="shared" si="13"/>
        <v>100</v>
      </c>
      <c r="V46" s="1570" t="s">
        <v>8</v>
      </c>
      <c r="W46" s="1571">
        <f t="shared" si="14"/>
        <v>100</v>
      </c>
      <c r="X46" s="1564"/>
      <c r="Y46" s="3458"/>
      <c r="Z46" s="1572">
        <f t="shared" si="15"/>
        <v>111</v>
      </c>
      <c r="AA46" s="1573">
        <f t="shared" si="3"/>
        <v>1</v>
      </c>
      <c r="AB46" s="1573">
        <f t="shared" si="4"/>
        <v>1</v>
      </c>
      <c r="AC46" s="1573">
        <f t="shared" si="5"/>
        <v>1</v>
      </c>
    </row>
    <row r="47" spans="1:29" ht="15.75" thickBot="1">
      <c r="A47" s="883"/>
      <c r="B47" s="541">
        <v>111</v>
      </c>
      <c r="C47" s="542"/>
      <c r="D47" s="543">
        <v>100</v>
      </c>
      <c r="E47" s="526"/>
      <c r="F47" s="863">
        <f>SUMIF(131:131,E47,132:132)-SUMIF(131:131,C47,132:132)+100</f>
        <v>100</v>
      </c>
      <c r="G47" s="526"/>
      <c r="H47" s="543">
        <f>SUMIF(131:131,G47,132:132)-SUMIF(131:131,C47,132:132)+100</f>
        <v>100</v>
      </c>
      <c r="I47" s="526"/>
      <c r="J47" s="543">
        <f>SUMIF(131:131,I47,132:132)-SUMIF(131:131,C47,132:132)+100</f>
        <v>100</v>
      </c>
      <c r="K47" s="578"/>
      <c r="L47" s="2139"/>
      <c r="M47" s="2131"/>
      <c r="N47" s="2131"/>
      <c r="O47" s="2131"/>
      <c r="P47" s="3512"/>
      <c r="Q47" s="1569">
        <f t="shared" si="11"/>
        <v>111</v>
      </c>
      <c r="R47" s="1570" t="s">
        <v>8</v>
      </c>
      <c r="S47" s="1571">
        <f t="shared" si="12"/>
        <v>100</v>
      </c>
      <c r="T47" s="1570" t="s">
        <v>8</v>
      </c>
      <c r="U47" s="1571">
        <f t="shared" si="13"/>
        <v>100</v>
      </c>
      <c r="V47" s="1570" t="s">
        <v>8</v>
      </c>
      <c r="W47" s="1571">
        <f t="shared" si="14"/>
        <v>100</v>
      </c>
      <c r="X47" s="1564"/>
      <c r="Y47" s="3512"/>
      <c r="Z47" s="1572">
        <f t="shared" si="15"/>
        <v>111</v>
      </c>
      <c r="AA47" s="1573">
        <f t="shared" si="3"/>
        <v>1</v>
      </c>
      <c r="AB47" s="1573">
        <f t="shared" si="4"/>
        <v>1</v>
      </c>
      <c r="AC47" s="1573">
        <f t="shared" si="5"/>
        <v>1</v>
      </c>
    </row>
    <row r="48" spans="1:29" ht="15">
      <c r="A48" s="604" t="s">
        <v>734</v>
      </c>
      <c r="B48" s="884"/>
      <c r="C48" s="2647" t="s">
        <v>1</v>
      </c>
      <c r="D48" s="2648"/>
      <c r="E48" s="2649"/>
      <c r="F48" s="2650"/>
      <c r="G48" s="2651"/>
      <c r="H48" s="2652"/>
      <c r="I48" s="2649"/>
      <c r="J48" s="2652"/>
      <c r="K48" s="1608"/>
      <c r="L48" s="2141"/>
      <c r="M48" s="2131"/>
      <c r="N48" s="2131"/>
      <c r="O48" s="2131"/>
      <c r="P48" s="3419" t="str">
        <f>A48</f>
        <v>成交单价（元/平方米）</v>
      </c>
      <c r="Q48" s="3421"/>
      <c r="R48" s="3511">
        <f>E48</f>
        <v>0</v>
      </c>
      <c r="S48" s="3511"/>
      <c r="T48" s="3511">
        <f>G48</f>
        <v>0</v>
      </c>
      <c r="U48" s="3511"/>
      <c r="V48" s="3511">
        <f>I48</f>
        <v>0</v>
      </c>
      <c r="W48" s="3511"/>
      <c r="X48" s="1556"/>
      <c r="Y48" s="1578"/>
      <c r="Z48" s="1556"/>
      <c r="AA48" s="1556"/>
      <c r="AB48" s="1556"/>
      <c r="AC48" s="1556"/>
    </row>
    <row r="49" spans="1:29" ht="15.75" thickBot="1">
      <c r="A49" s="612" t="s">
        <v>2761</v>
      </c>
      <c r="B49" s="885"/>
      <c r="C49" s="2653" t="e">
        <f>R50</f>
        <v>#DIV/0!</v>
      </c>
      <c r="D49" s="2654"/>
      <c r="E49" s="2655" t="e">
        <f>R49</f>
        <v>#DIV/0!</v>
      </c>
      <c r="F49" s="2655"/>
      <c r="G49" s="2653" t="e">
        <f>T49</f>
        <v>#DIV/0!</v>
      </c>
      <c r="H49" s="2654"/>
      <c r="I49" s="2655" t="e">
        <f>V49</f>
        <v>#DIV/0!</v>
      </c>
      <c r="J49" s="2654"/>
      <c r="K49" s="1609"/>
      <c r="L49" s="2141"/>
      <c r="M49" s="2131"/>
      <c r="N49" s="2131"/>
      <c r="O49" s="2131"/>
      <c r="P49" s="3419" t="str">
        <f>A49</f>
        <v>比较价格（元/平方米）</v>
      </c>
      <c r="Q49" s="3421"/>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6"/>
      <c r="Y49" s="1556"/>
      <c r="Z49" s="1556"/>
      <c r="AA49" s="1556"/>
      <c r="AB49" s="1556"/>
      <c r="AC49" s="1556"/>
    </row>
    <row r="50" spans="1:29" ht="15.75" thickBot="1">
      <c r="A50" s="618" t="s">
        <v>2937</v>
      </c>
      <c r="B50" s="619"/>
      <c r="C50" s="2656" t="e">
        <f>R50</f>
        <v>#DIV/0!</v>
      </c>
      <c r="D50" s="2656"/>
      <c r="E50" s="2656"/>
      <c r="F50" s="2656"/>
      <c r="G50" s="2656"/>
      <c r="H50" s="2656"/>
      <c r="I50" s="2656"/>
      <c r="J50" s="2656"/>
      <c r="K50" s="1610"/>
      <c r="L50" s="2141"/>
      <c r="M50" s="2131"/>
      <c r="N50" s="2131"/>
      <c r="O50" s="2131"/>
      <c r="P50" s="3540" t="str">
        <f>A50</f>
        <v>估价对象XX用房的比较价格（楼面单价，元/平方米）</v>
      </c>
      <c r="Q50" s="3419"/>
      <c r="R50" s="3510" t="e">
        <f>IF(F1="售价",ROUND(AVERAGE(R49:V49),0),ROUND(AVERAGE(R49:V49),1))</f>
        <v>#DIV/0!</v>
      </c>
      <c r="S50" s="3510"/>
      <c r="T50" s="3510"/>
      <c r="U50" s="3510"/>
      <c r="V50" s="3510"/>
      <c r="W50" s="3510"/>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555</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556</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557</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572</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4" customFormat="1" ht="15">
      <c r="A59" s="642" t="s">
        <v>527</v>
      </c>
      <c r="B59" s="643"/>
      <c r="C59" s="2824" t="str">
        <f>YEAR(C7)&amp;"-"&amp;MONTH(C7)</f>
        <v>2018-1</v>
      </c>
      <c r="D59" s="2826">
        <f>EDATE(C59,-1)</f>
        <v>43070</v>
      </c>
      <c r="E59" s="2826">
        <f t="shared" ref="E59:O59" si="16">EDATE(D59,-1)</f>
        <v>43040</v>
      </c>
      <c r="F59" s="2826">
        <f t="shared" si="16"/>
        <v>43009</v>
      </c>
      <c r="G59" s="2826">
        <f t="shared" si="16"/>
        <v>42979</v>
      </c>
      <c r="H59" s="2826">
        <f t="shared" si="16"/>
        <v>42948</v>
      </c>
      <c r="I59" s="2826">
        <f t="shared" si="16"/>
        <v>42917</v>
      </c>
      <c r="J59" s="2826">
        <f t="shared" si="16"/>
        <v>42887</v>
      </c>
      <c r="K59" s="2826">
        <f t="shared" si="16"/>
        <v>42856</v>
      </c>
      <c r="L59" s="2826">
        <f t="shared" si="16"/>
        <v>42826</v>
      </c>
      <c r="M59" s="2826">
        <f t="shared" si="16"/>
        <v>42795</v>
      </c>
      <c r="N59" s="2826">
        <f t="shared" si="16"/>
        <v>42767</v>
      </c>
      <c r="O59" s="2826">
        <f t="shared" si="16"/>
        <v>42736</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573</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529</v>
      </c>
      <c r="B62" s="645"/>
      <c r="C62" s="657" t="s">
        <v>574</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575</v>
      </c>
      <c r="B64" s="662" t="s">
        <v>532</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535</v>
      </c>
      <c r="C66" s="671" t="s">
        <v>735</v>
      </c>
      <c r="D66" s="671" t="s">
        <v>736</v>
      </c>
      <c r="E66" s="671" t="s">
        <v>737</v>
      </c>
      <c r="F66" s="671" t="s">
        <v>738</v>
      </c>
      <c r="G66" s="671" t="s">
        <v>739</v>
      </c>
      <c r="H66" s="671" t="s">
        <v>740</v>
      </c>
      <c r="I66" s="671" t="s">
        <v>741</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536</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537</v>
      </c>
      <c r="B77" s="662" t="s">
        <v>583</v>
      </c>
      <c r="C77" s="700" t="s">
        <v>577</v>
      </c>
      <c r="D77" s="700" t="s">
        <v>578</v>
      </c>
      <c r="E77" s="700" t="s">
        <v>579</v>
      </c>
      <c r="F77" s="700" t="s">
        <v>580</v>
      </c>
      <c r="G77" s="700" t="s">
        <v>581</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584</v>
      </c>
      <c r="C79" s="705" t="s">
        <v>577</v>
      </c>
      <c r="D79" s="705" t="s">
        <v>578</v>
      </c>
      <c r="E79" s="705" t="s">
        <v>579</v>
      </c>
      <c r="F79" s="705" t="s">
        <v>580</v>
      </c>
      <c r="G79" s="705" t="s">
        <v>581</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2556</v>
      </c>
      <c r="C81" s="705" t="s">
        <v>577</v>
      </c>
      <c r="D81" s="705" t="s">
        <v>578</v>
      </c>
      <c r="E81" s="705" t="s">
        <v>579</v>
      </c>
      <c r="F81" s="705" t="s">
        <v>580</v>
      </c>
      <c r="G81" s="705" t="s">
        <v>581</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617" t="s">
        <v>2557</v>
      </c>
      <c r="C83" s="2618" t="s">
        <v>2558</v>
      </c>
      <c r="D83" s="2618" t="s">
        <v>2559</v>
      </c>
      <c r="E83" s="2618" t="s">
        <v>2560</v>
      </c>
      <c r="F83" s="2618" t="s">
        <v>2561</v>
      </c>
      <c r="G83" s="2618" t="s">
        <v>2562</v>
      </c>
      <c r="H83" s="671"/>
      <c r="I83" s="671"/>
      <c r="J83" s="671"/>
      <c r="K83" s="671"/>
      <c r="L83" s="671"/>
      <c r="M83" s="2621"/>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782</v>
      </c>
      <c r="C85" s="705" t="s">
        <v>577</v>
      </c>
      <c r="D85" s="705" t="s">
        <v>578</v>
      </c>
      <c r="E85" s="705" t="s">
        <v>579</v>
      </c>
      <c r="F85" s="705" t="s">
        <v>580</v>
      </c>
      <c r="G85" s="705" t="s">
        <v>581</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783</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549</v>
      </c>
      <c r="B101" s="662" t="s">
        <v>745</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746</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747</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749</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750</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784</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751</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2555</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785</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773</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753</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754</v>
      </c>
      <c r="C125" s="705" t="s">
        <v>577</v>
      </c>
      <c r="D125" s="705" t="s">
        <v>578</v>
      </c>
      <c r="E125" s="705" t="s">
        <v>579</v>
      </c>
      <c r="F125" s="705" t="s">
        <v>580</v>
      </c>
      <c r="G125" s="705" t="s">
        <v>581</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786</v>
      </c>
      <c r="C1" s="502" t="s">
        <v>718</v>
      </c>
      <c r="D1" s="846"/>
      <c r="E1" s="504"/>
      <c r="F1" s="2829"/>
      <c r="G1" s="1598" t="s">
        <v>719</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464</v>
      </c>
      <c r="B2" s="847"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3" customFormat="1" ht="28.5" customHeight="1" thickBot="1">
      <c r="A3" s="507" t="s">
        <v>517</v>
      </c>
      <c r="B3" s="508" t="e">
        <f>C43</f>
        <v>#DIV/0!</v>
      </c>
      <c r="C3" s="849" t="s">
        <v>720</v>
      </c>
      <c r="D3" s="848">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519</v>
      </c>
      <c r="B4" s="511"/>
      <c r="C4" s="3427" t="s">
        <v>520</v>
      </c>
      <c r="D4" s="3428"/>
      <c r="E4" s="3461" t="s">
        <v>521</v>
      </c>
      <c r="F4" s="3462"/>
      <c r="G4" s="3427" t="s">
        <v>522</v>
      </c>
      <c r="H4" s="3428"/>
      <c r="I4" s="3427" t="s">
        <v>523</v>
      </c>
      <c r="J4" s="3428"/>
      <c r="K4" s="512" t="s">
        <v>524</v>
      </c>
      <c r="L4" s="2130"/>
      <c r="M4" s="2131"/>
      <c r="N4" s="2131"/>
      <c r="O4" s="2131"/>
      <c r="P4" s="3429" t="s">
        <v>525</v>
      </c>
      <c r="Q4" s="3430"/>
      <c r="R4" s="3435" t="s">
        <v>521</v>
      </c>
      <c r="S4" s="3436"/>
      <c r="T4" s="3435" t="s">
        <v>522</v>
      </c>
      <c r="U4" s="3436"/>
      <c r="V4" s="3422" t="s">
        <v>523</v>
      </c>
      <c r="W4" s="3422"/>
      <c r="X4" s="1564"/>
      <c r="Y4" s="3435" t="s">
        <v>525</v>
      </c>
      <c r="Z4" s="3436"/>
      <c r="AA4" s="3424" t="s">
        <v>521</v>
      </c>
      <c r="AB4" s="3425" t="s">
        <v>522</v>
      </c>
      <c r="AC4" s="3424" t="s">
        <v>523</v>
      </c>
    </row>
    <row r="5" spans="1:29" ht="15">
      <c r="A5" s="513"/>
      <c r="B5" s="514"/>
      <c r="C5" s="3443" t="s">
        <v>2931</v>
      </c>
      <c r="D5" s="3444"/>
      <c r="E5" s="3463" t="s">
        <v>2932</v>
      </c>
      <c r="F5" s="3464"/>
      <c r="G5" s="3443" t="s">
        <v>2933</v>
      </c>
      <c r="H5" s="3444"/>
      <c r="I5" s="3443" t="s">
        <v>2934</v>
      </c>
      <c r="J5" s="3444"/>
      <c r="K5" s="512"/>
      <c r="L5" s="2130"/>
      <c r="M5" s="2131"/>
      <c r="N5" s="2131"/>
      <c r="O5" s="2131"/>
      <c r="P5" s="3431"/>
      <c r="Q5" s="3432"/>
      <c r="R5" s="3437"/>
      <c r="S5" s="3438"/>
      <c r="T5" s="3437"/>
      <c r="U5" s="3438"/>
      <c r="V5" s="3422"/>
      <c r="W5" s="3422"/>
      <c r="X5" s="1564"/>
      <c r="Y5" s="3437"/>
      <c r="Z5" s="3438"/>
      <c r="AA5" s="3425"/>
      <c r="AB5" s="3425"/>
      <c r="AC5" s="3425"/>
    </row>
    <row r="6" spans="1:29" ht="15.75" thickBot="1">
      <c r="A6" s="515"/>
      <c r="B6" s="516"/>
      <c r="C6" s="3441" t="s">
        <v>2935</v>
      </c>
      <c r="D6" s="3442"/>
      <c r="E6" s="3459" t="s">
        <v>2935</v>
      </c>
      <c r="F6" s="3460"/>
      <c r="G6" s="3441" t="s">
        <v>2935</v>
      </c>
      <c r="H6" s="3442"/>
      <c r="I6" s="3441" t="s">
        <v>2935</v>
      </c>
      <c r="J6" s="3442"/>
      <c r="K6" s="512" t="s">
        <v>526</v>
      </c>
      <c r="L6" s="2130"/>
      <c r="M6" s="2131"/>
      <c r="N6" s="2131"/>
      <c r="O6" s="2131"/>
      <c r="P6" s="3433"/>
      <c r="Q6" s="3434"/>
      <c r="R6" s="3437"/>
      <c r="S6" s="3438"/>
      <c r="T6" s="3439"/>
      <c r="U6" s="3440"/>
      <c r="V6" s="3422"/>
      <c r="W6" s="3422"/>
      <c r="X6" s="1564"/>
      <c r="Y6" s="3439"/>
      <c r="Z6" s="3440"/>
      <c r="AA6" s="3426"/>
      <c r="AB6" s="3426"/>
      <c r="AC6" s="3426"/>
    </row>
    <row r="7" spans="1:29" s="1217" customFormat="1" ht="15.75" thickBot="1">
      <c r="A7" s="2934"/>
      <c r="B7" s="2941" t="s">
        <v>527</v>
      </c>
      <c r="C7" s="517">
        <f>'数据-取费表'!B2</f>
        <v>43109</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52" t="s">
        <v>528</v>
      </c>
      <c r="Q7" s="3454"/>
      <c r="R7" s="1565" t="s">
        <v>8</v>
      </c>
      <c r="S7" s="1566">
        <f t="shared" ref="S7:S15" si="0">F7</f>
        <v>0</v>
      </c>
      <c r="T7" s="1565" t="s">
        <v>8</v>
      </c>
      <c r="U7" s="1566">
        <f t="shared" ref="U7:U15" si="1">H7</f>
        <v>0</v>
      </c>
      <c r="V7" s="1565" t="s">
        <v>8</v>
      </c>
      <c r="W7" s="1566">
        <f t="shared" ref="W7:W15" si="2">J7</f>
        <v>0</v>
      </c>
      <c r="X7" s="1567"/>
      <c r="Y7" s="3452" t="s">
        <v>528</v>
      </c>
      <c r="Z7" s="3453"/>
      <c r="AA7" s="1568" t="e">
        <f>D7/F7</f>
        <v>#DIV/0!</v>
      </c>
      <c r="AB7" s="1568" t="e">
        <f>D7/H7</f>
        <v>#DIV/0!</v>
      </c>
      <c r="AC7" s="1568" t="e">
        <f>D7/J7</f>
        <v>#DIV/0!</v>
      </c>
    </row>
    <row r="8" spans="1:29" s="1217" customFormat="1" ht="15.75" thickBot="1">
      <c r="A8" s="2935"/>
      <c r="B8" s="2942" t="s">
        <v>529</v>
      </c>
      <c r="C8" s="523" t="s">
        <v>574</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52" t="s">
        <v>531</v>
      </c>
      <c r="Q8" s="3453"/>
      <c r="R8" s="1565" t="s">
        <v>8</v>
      </c>
      <c r="S8" s="1566">
        <f t="shared" si="0"/>
        <v>0</v>
      </c>
      <c r="T8" s="1565" t="s">
        <v>8</v>
      </c>
      <c r="U8" s="1566">
        <f t="shared" si="1"/>
        <v>0</v>
      </c>
      <c r="V8" s="1565" t="s">
        <v>8</v>
      </c>
      <c r="W8" s="1566">
        <f t="shared" si="2"/>
        <v>0</v>
      </c>
      <c r="X8" s="1567"/>
      <c r="Y8" s="3452" t="s">
        <v>531</v>
      </c>
      <c r="Z8" s="3453"/>
      <c r="AA8" s="1568" t="e">
        <f t="shared" ref="AA8:AA40" si="3">D8/F8</f>
        <v>#DIV/0!</v>
      </c>
      <c r="AB8" s="1568" t="e">
        <f t="shared" ref="AB8:AB40" si="4">D8/H8</f>
        <v>#DIV/0!</v>
      </c>
      <c r="AC8" s="1568" t="e">
        <f t="shared" ref="AC8:AC40" si="5">D8/J8</f>
        <v>#DIV/0!</v>
      </c>
    </row>
    <row r="9" spans="1:29" s="1217" customFormat="1" ht="15">
      <c r="A9" s="2936"/>
      <c r="B9" s="2943" t="s">
        <v>2757</v>
      </c>
      <c r="C9" s="854"/>
      <c r="D9" s="252">
        <v>100</v>
      </c>
      <c r="E9" s="857"/>
      <c r="F9" s="252">
        <f>SUMIF(57:57,E9,58:58)-SUMIF(57:57,C9,58:58)+100</f>
        <v>100</v>
      </c>
      <c r="G9" s="855"/>
      <c r="H9" s="252">
        <f>SUMIF(57:57,G9,58:58)-SUMIF(57:57,C9,58:58)+100</f>
        <v>100</v>
      </c>
      <c r="I9" s="855"/>
      <c r="J9" s="252">
        <f>SUMIF(57:57,I9,58:58)-SUMIF(57:57,C9,58:58)+100</f>
        <v>100</v>
      </c>
      <c r="K9" s="522"/>
      <c r="L9" s="2132"/>
      <c r="M9" s="2133"/>
      <c r="N9" s="2133"/>
      <c r="O9" s="2134"/>
      <c r="P9" s="3421" t="s">
        <v>533</v>
      </c>
      <c r="Q9" s="1148" t="str">
        <f t="shared" ref="Q9:Q15" si="6">B9</f>
        <v>用途</v>
      </c>
      <c r="R9" s="1565" t="s">
        <v>8</v>
      </c>
      <c r="S9" s="1566">
        <f t="shared" si="0"/>
        <v>100</v>
      </c>
      <c r="T9" s="1565" t="s">
        <v>8</v>
      </c>
      <c r="U9" s="1566">
        <f t="shared" si="1"/>
        <v>100</v>
      </c>
      <c r="V9" s="1565" t="s">
        <v>8</v>
      </c>
      <c r="W9" s="1566">
        <f t="shared" si="2"/>
        <v>100</v>
      </c>
      <c r="X9" s="1567"/>
      <c r="Y9" s="3367" t="s">
        <v>534</v>
      </c>
      <c r="Z9" s="1147" t="str">
        <f t="shared" ref="Z9:Z15" si="7">Q9</f>
        <v>用途</v>
      </c>
      <c r="AA9" s="1568">
        <f t="shared" si="3"/>
        <v>1</v>
      </c>
      <c r="AB9" s="1568">
        <f t="shared" si="4"/>
        <v>1</v>
      </c>
      <c r="AC9" s="1568">
        <f t="shared" si="5"/>
        <v>1</v>
      </c>
    </row>
    <row r="10" spans="1:29" s="1335" customFormat="1" ht="27">
      <c r="A10" s="2937"/>
      <c r="B10" s="2942" t="s">
        <v>2758</v>
      </c>
      <c r="C10" s="858"/>
      <c r="D10" s="253">
        <v>100</v>
      </c>
      <c r="E10" s="858"/>
      <c r="F10" s="253">
        <f>SUMIF(59:59,E10,60:60)-SUMIF(59:59,C10,60:60)+100</f>
        <v>100</v>
      </c>
      <c r="G10" s="859"/>
      <c r="H10" s="253">
        <f>SUMIF(59:59,G10,60:60)-SUMIF(59:59,C10,60:60)+100</f>
        <v>100</v>
      </c>
      <c r="I10" s="858"/>
      <c r="J10" s="253">
        <f>SUMIF(59:59,I10,60:60)-SUMIF(59:59,C10,60:60)+100</f>
        <v>100</v>
      </c>
      <c r="K10" s="581"/>
      <c r="L10" s="2135"/>
      <c r="M10" s="2175"/>
      <c r="N10" s="2175"/>
      <c r="O10" s="2136"/>
      <c r="P10" s="3421"/>
      <c r="Q10" s="1148" t="str">
        <f t="shared" si="6"/>
        <v>土地使用年限（年）</v>
      </c>
      <c r="R10" s="1565" t="s">
        <v>8</v>
      </c>
      <c r="S10" s="1566">
        <f t="shared" si="0"/>
        <v>100</v>
      </c>
      <c r="T10" s="1565" t="s">
        <v>8</v>
      </c>
      <c r="U10" s="1566">
        <f t="shared" si="1"/>
        <v>100</v>
      </c>
      <c r="V10" s="1565" t="s">
        <v>8</v>
      </c>
      <c r="W10" s="1566">
        <f t="shared" si="2"/>
        <v>100</v>
      </c>
      <c r="X10" s="1567"/>
      <c r="Y10" s="3367"/>
      <c r="Z10" s="1147" t="str">
        <f t="shared" si="7"/>
        <v>土地使用年限（年）</v>
      </c>
      <c r="AA10" s="1568">
        <f t="shared" si="3"/>
        <v>1</v>
      </c>
      <c r="AB10" s="1568">
        <f t="shared" si="4"/>
        <v>1</v>
      </c>
      <c r="AC10" s="1568">
        <f t="shared" si="5"/>
        <v>1</v>
      </c>
    </row>
    <row r="11" spans="1:29" ht="15">
      <c r="A11" s="2938"/>
      <c r="B11" s="2942" t="s">
        <v>2759</v>
      </c>
      <c r="C11" s="530"/>
      <c r="D11" s="253">
        <v>100</v>
      </c>
      <c r="E11" s="530"/>
      <c r="F11" s="253" t="e">
        <f>LOOKUP(E11,62:62,63:63)-LOOKUP(C11,62:62,63:63)+100</f>
        <v>#N/A</v>
      </c>
      <c r="G11" s="531"/>
      <c r="H11" s="253" t="e">
        <f>LOOKUP(G11,62:62,63:63)-LOOKUP(C11,62:62,63:63)+100</f>
        <v>#N/A</v>
      </c>
      <c r="I11" s="530"/>
      <c r="J11" s="253" t="e">
        <f>LOOKUP(I11,62:62,63:63)-LOOKUP(C11,62:62,63:63)+100</f>
        <v>#N/A</v>
      </c>
      <c r="K11" s="581"/>
      <c r="L11" s="2137"/>
      <c r="M11" s="2131"/>
      <c r="N11" s="2131"/>
      <c r="O11" s="2138"/>
      <c r="P11" s="3421"/>
      <c r="Q11" s="1148" t="str">
        <f t="shared" si="6"/>
        <v>容积率</v>
      </c>
      <c r="R11" s="1565" t="s">
        <v>8</v>
      </c>
      <c r="S11" s="1566" t="e">
        <f t="shared" si="0"/>
        <v>#N/A</v>
      </c>
      <c r="T11" s="1565" t="s">
        <v>8</v>
      </c>
      <c r="U11" s="1566" t="e">
        <f t="shared" si="1"/>
        <v>#N/A</v>
      </c>
      <c r="V11" s="1565" t="s">
        <v>8</v>
      </c>
      <c r="W11" s="1566" t="e">
        <f t="shared" si="2"/>
        <v>#N/A</v>
      </c>
      <c r="X11" s="1567"/>
      <c r="Y11" s="3367"/>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3">
        <f>SUMIF(64:64,E12,65:65)-SUMIF(64:64,C12,65:65)+100</f>
        <v>100</v>
      </c>
      <c r="G12" s="917"/>
      <c r="H12" s="253">
        <f>SUMIF(64:64,G12,65:65)-SUMIF(64:64,C12,65:65)+100</f>
        <v>100</v>
      </c>
      <c r="I12" s="877"/>
      <c r="J12" s="253">
        <f>SUMIF(64:64,I12,65:65)-SUMIF(64:64,C12,65:65)+100</f>
        <v>100</v>
      </c>
      <c r="K12" s="578"/>
      <c r="L12" s="2132"/>
      <c r="M12" s="2133"/>
      <c r="N12" s="2133"/>
      <c r="O12" s="2134"/>
      <c r="P12" s="3421"/>
      <c r="Q12" s="1148">
        <f t="shared" si="6"/>
        <v>111</v>
      </c>
      <c r="R12" s="1565" t="s">
        <v>8</v>
      </c>
      <c r="S12" s="1566">
        <f t="shared" si="0"/>
        <v>100</v>
      </c>
      <c r="T12" s="1565" t="s">
        <v>8</v>
      </c>
      <c r="U12" s="1566">
        <f t="shared" si="1"/>
        <v>100</v>
      </c>
      <c r="V12" s="1565" t="s">
        <v>8</v>
      </c>
      <c r="W12" s="1566">
        <f t="shared" si="2"/>
        <v>100</v>
      </c>
      <c r="X12" s="1567"/>
      <c r="Y12" s="3367"/>
      <c r="Z12" s="1147">
        <f t="shared" si="7"/>
        <v>111</v>
      </c>
      <c r="AA12" s="1568">
        <f>D12/F12</f>
        <v>1</v>
      </c>
      <c r="AB12" s="1568">
        <f>D12/H12</f>
        <v>1</v>
      </c>
      <c r="AC12" s="1568">
        <f>D12/J12</f>
        <v>1</v>
      </c>
    </row>
    <row r="13" spans="1:29" ht="15">
      <c r="A13" s="2939"/>
      <c r="B13" s="2945">
        <v>111</v>
      </c>
      <c r="C13" s="536"/>
      <c r="D13" s="537">
        <v>100</v>
      </c>
      <c r="E13" s="536"/>
      <c r="F13" s="253">
        <f>SUMIF(66:66,E13,67:67)-SUMIF(66:66,C13,67:67)+100</f>
        <v>100</v>
      </c>
      <c r="G13" s="917"/>
      <c r="H13" s="537">
        <f>SUMIF(66:66,G13,67:67)-SUMIF(66:66,C13,67:67)+100</f>
        <v>100</v>
      </c>
      <c r="I13" s="877"/>
      <c r="J13" s="537">
        <f>SUMIF(66:66,I13,67:67)-SUMIF(66:66,C13,67:67)+100</f>
        <v>100</v>
      </c>
      <c r="K13" s="578"/>
      <c r="L13" s="2139"/>
      <c r="M13" s="2131"/>
      <c r="N13" s="2131"/>
      <c r="O13" s="2138"/>
      <c r="P13" s="3421"/>
      <c r="Q13" s="1148">
        <f t="shared" si="6"/>
        <v>111</v>
      </c>
      <c r="R13" s="1565" t="s">
        <v>8</v>
      </c>
      <c r="S13" s="1566">
        <f t="shared" si="0"/>
        <v>100</v>
      </c>
      <c r="T13" s="1565" t="s">
        <v>8</v>
      </c>
      <c r="U13" s="1566">
        <f t="shared" si="1"/>
        <v>100</v>
      </c>
      <c r="V13" s="1565" t="s">
        <v>8</v>
      </c>
      <c r="W13" s="1566">
        <f t="shared" si="2"/>
        <v>100</v>
      </c>
      <c r="X13" s="1567"/>
      <c r="Y13" s="3367"/>
      <c r="Z13" s="1147">
        <f t="shared" si="7"/>
        <v>111</v>
      </c>
      <c r="AA13" s="1568">
        <f t="shared" si="3"/>
        <v>1</v>
      </c>
      <c r="AB13" s="1568">
        <f t="shared" si="4"/>
        <v>1</v>
      </c>
      <c r="AC13" s="1568">
        <f t="shared" si="5"/>
        <v>1</v>
      </c>
    </row>
    <row r="14" spans="1:29" ht="15.75" thickBot="1">
      <c r="A14" s="2940"/>
      <c r="B14" s="2946">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421"/>
      <c r="Q14" s="1148">
        <f t="shared" si="6"/>
        <v>111</v>
      </c>
      <c r="R14" s="1565" t="s">
        <v>8</v>
      </c>
      <c r="S14" s="1566">
        <f t="shared" si="0"/>
        <v>100</v>
      </c>
      <c r="T14" s="1565" t="s">
        <v>8</v>
      </c>
      <c r="U14" s="1566">
        <f t="shared" si="1"/>
        <v>100</v>
      </c>
      <c r="V14" s="1565" t="s">
        <v>8</v>
      </c>
      <c r="W14" s="1566">
        <f t="shared" si="2"/>
        <v>100</v>
      </c>
      <c r="X14" s="1567"/>
      <c r="Y14" s="3367"/>
      <c r="Z14" s="1147">
        <f t="shared" si="7"/>
        <v>111</v>
      </c>
      <c r="AA14" s="1568">
        <f t="shared" si="3"/>
        <v>1</v>
      </c>
      <c r="AB14" s="1568">
        <f t="shared" si="4"/>
        <v>1</v>
      </c>
      <c r="AC14" s="1568">
        <f t="shared" si="5"/>
        <v>1</v>
      </c>
    </row>
    <row r="15" spans="1:29" ht="57">
      <c r="A15" s="2932" t="s">
        <v>2755</v>
      </c>
      <c r="B15" s="164" t="s">
        <v>787</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455" t="s">
        <v>538</v>
      </c>
      <c r="Q15" s="1569" t="str">
        <f t="shared" si="6"/>
        <v>产业集聚程度</v>
      </c>
      <c r="R15" s="1570" t="s">
        <v>8</v>
      </c>
      <c r="S15" s="1571">
        <f t="shared" si="0"/>
        <v>100</v>
      </c>
      <c r="T15" s="1570" t="s">
        <v>8</v>
      </c>
      <c r="U15" s="1571">
        <f t="shared" si="1"/>
        <v>100</v>
      </c>
      <c r="V15" s="1570" t="s">
        <v>8</v>
      </c>
      <c r="W15" s="1571">
        <f t="shared" si="2"/>
        <v>100</v>
      </c>
      <c r="X15" s="1564"/>
      <c r="Y15" s="3455" t="s">
        <v>538</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39"/>
      <c r="M16" s="2131"/>
      <c r="N16" s="2131"/>
      <c r="O16" s="2138"/>
      <c r="P16" s="3456"/>
      <c r="Q16" s="1569"/>
      <c r="R16" s="1570"/>
      <c r="S16" s="1571"/>
      <c r="T16" s="1570"/>
      <c r="U16" s="1571"/>
      <c r="V16" s="1570"/>
      <c r="W16" s="1571"/>
      <c r="X16" s="1564"/>
      <c r="Y16" s="345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456"/>
      <c r="Q17" s="1569" t="str">
        <f>B17</f>
        <v>交通便捷度</v>
      </c>
      <c r="R17" s="1570" t="s">
        <v>8</v>
      </c>
      <c r="S17" s="1571">
        <f>F17</f>
        <v>100</v>
      </c>
      <c r="T17" s="1570" t="s">
        <v>8</v>
      </c>
      <c r="U17" s="1571">
        <f>H17</f>
        <v>100</v>
      </c>
      <c r="V17" s="1570" t="s">
        <v>8</v>
      </c>
      <c r="W17" s="1571">
        <f>J17</f>
        <v>100</v>
      </c>
      <c r="X17" s="1564"/>
      <c r="Y17" s="345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9"/>
      <c r="M18" s="2131"/>
      <c r="N18" s="2131"/>
      <c r="O18" s="2138"/>
      <c r="P18" s="3456"/>
      <c r="Q18" s="1569"/>
      <c r="R18" s="1570"/>
      <c r="S18" s="1571"/>
      <c r="T18" s="1570"/>
      <c r="U18" s="1571"/>
      <c r="V18" s="1570"/>
      <c r="W18" s="1571"/>
      <c r="X18" s="1564"/>
      <c r="Y18" s="3456"/>
      <c r="Z18" s="1572"/>
      <c r="AA18" s="1573">
        <v>1</v>
      </c>
      <c r="AB18" s="1573">
        <v>1</v>
      </c>
      <c r="AC18" s="1573">
        <v>1</v>
      </c>
    </row>
    <row r="19" spans="1:29" ht="42.75">
      <c r="A19" s="529"/>
      <c r="B19" s="2623"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456"/>
      <c r="Q19" s="1569" t="str">
        <f>B19</f>
        <v>公共配套设施</v>
      </c>
      <c r="R19" s="1570" t="s">
        <v>8</v>
      </c>
      <c r="S19" s="1571">
        <f>F19</f>
        <v>100</v>
      </c>
      <c r="T19" s="1570" t="s">
        <v>8</v>
      </c>
      <c r="U19" s="1571">
        <f>H19</f>
        <v>100</v>
      </c>
      <c r="V19" s="1570" t="s">
        <v>8</v>
      </c>
      <c r="W19" s="1571">
        <f>J19</f>
        <v>100</v>
      </c>
      <c r="X19" s="1564"/>
      <c r="Y19" s="345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39"/>
      <c r="M20" s="2131"/>
      <c r="N20" s="2131"/>
      <c r="O20" s="2138"/>
      <c r="P20" s="3456"/>
      <c r="Q20" s="1569"/>
      <c r="R20" s="1570"/>
      <c r="S20" s="1571"/>
      <c r="T20" s="1570"/>
      <c r="U20" s="1571"/>
      <c r="V20" s="1570"/>
      <c r="W20" s="1571"/>
      <c r="X20" s="1564"/>
      <c r="Y20" s="3456"/>
      <c r="Z20" s="1572"/>
      <c r="AA20" s="1573">
        <v>1</v>
      </c>
      <c r="AB20" s="1573">
        <v>1</v>
      </c>
      <c r="AC20" s="1573">
        <v>1</v>
      </c>
    </row>
    <row r="21" spans="1:29" ht="28.5">
      <c r="A21" s="529"/>
      <c r="B21" s="2611"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456"/>
      <c r="Q21" s="2599" t="str">
        <f>B21</f>
        <v>基础设施水平</v>
      </c>
      <c r="R21" s="1570" t="s">
        <v>8</v>
      </c>
      <c r="S21" s="1571">
        <f>F21</f>
        <v>100</v>
      </c>
      <c r="T21" s="1570" t="s">
        <v>8</v>
      </c>
      <c r="U21" s="1571">
        <f>H21</f>
        <v>100</v>
      </c>
      <c r="V21" s="1570" t="s">
        <v>8</v>
      </c>
      <c r="W21" s="1571">
        <f>J21</f>
        <v>100</v>
      </c>
      <c r="X21" s="2601"/>
      <c r="Y21" s="3456"/>
      <c r="Z21" s="2600"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2"/>
      <c r="L22" s="2139"/>
      <c r="M22" s="2131"/>
      <c r="N22" s="2131"/>
      <c r="O22" s="2138"/>
      <c r="P22" s="3456"/>
      <c r="Q22" s="2599"/>
      <c r="R22" s="1570"/>
      <c r="S22" s="1571"/>
      <c r="T22" s="1570"/>
      <c r="U22" s="1571"/>
      <c r="V22" s="1570"/>
      <c r="W22" s="1571"/>
      <c r="X22" s="2601"/>
      <c r="Y22" s="3456"/>
      <c r="Z22" s="2600"/>
      <c r="AA22" s="1573">
        <v>1</v>
      </c>
      <c r="AB22" s="1573">
        <v>1</v>
      </c>
      <c r="AC22" s="1573">
        <v>1</v>
      </c>
    </row>
    <row r="23" spans="1:29" ht="71.25">
      <c r="A23" s="529"/>
      <c r="B23" s="868" t="s">
        <v>776</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456"/>
      <c r="Q23" s="1569" t="str">
        <f>B23</f>
        <v>环境质量</v>
      </c>
      <c r="R23" s="1570" t="s">
        <v>8</v>
      </c>
      <c r="S23" s="1571">
        <f>F23</f>
        <v>100</v>
      </c>
      <c r="T23" s="1570" t="s">
        <v>8</v>
      </c>
      <c r="U23" s="1571">
        <f>H23</f>
        <v>100</v>
      </c>
      <c r="V23" s="1570" t="s">
        <v>8</v>
      </c>
      <c r="W23" s="1571">
        <f>J23</f>
        <v>100</v>
      </c>
      <c r="X23" s="1564"/>
      <c r="Y23" s="3456"/>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39"/>
      <c r="M24" s="2131"/>
      <c r="N24" s="2131"/>
      <c r="O24" s="2138"/>
      <c r="P24" s="3456"/>
      <c r="Q24" s="1569"/>
      <c r="R24" s="1570"/>
      <c r="S24" s="1571"/>
      <c r="T24" s="1570"/>
      <c r="U24" s="1571"/>
      <c r="V24" s="1570"/>
      <c r="W24" s="1571"/>
      <c r="X24" s="1564"/>
      <c r="Y24" s="3456"/>
      <c r="Z24" s="1572"/>
      <c r="AA24" s="1573">
        <v>1</v>
      </c>
      <c r="AB24" s="1573">
        <v>1</v>
      </c>
      <c r="AC24" s="1573">
        <v>1</v>
      </c>
    </row>
    <row r="25" spans="1:29" ht="15">
      <c r="A25" s="513"/>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456"/>
      <c r="Q25" s="1569">
        <f>B25</f>
        <v>111</v>
      </c>
      <c r="R25" s="1570" t="s">
        <v>8</v>
      </c>
      <c r="S25" s="1571">
        <f>F25</f>
        <v>100</v>
      </c>
      <c r="T25" s="1570" t="s">
        <v>8</v>
      </c>
      <c r="U25" s="1571">
        <f>H25</f>
        <v>100</v>
      </c>
      <c r="V25" s="1570" t="s">
        <v>8</v>
      </c>
      <c r="W25" s="1571">
        <f>J25</f>
        <v>100</v>
      </c>
      <c r="X25" s="1564"/>
      <c r="Y25" s="345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456"/>
      <c r="Q26" s="1569">
        <f t="shared" ref="Q26:Q40" si="11">B26</f>
        <v>111</v>
      </c>
      <c r="R26" s="1570" t="s">
        <v>8</v>
      </c>
      <c r="S26" s="1571">
        <f>F26</f>
        <v>100</v>
      </c>
      <c r="T26" s="1570" t="s">
        <v>8</v>
      </c>
      <c r="U26" s="1571">
        <f>H26</f>
        <v>100</v>
      </c>
      <c r="V26" s="1570" t="s">
        <v>8</v>
      </c>
      <c r="W26" s="1571">
        <f>J26</f>
        <v>100</v>
      </c>
      <c r="X26" s="1564"/>
      <c r="Y26" s="3456"/>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456"/>
      <c r="Q27" s="1148">
        <f t="shared" si="11"/>
        <v>111</v>
      </c>
      <c r="R27" s="1565" t="s">
        <v>8</v>
      </c>
      <c r="S27" s="1566">
        <f>F27</f>
        <v>100</v>
      </c>
      <c r="T27" s="1565" t="s">
        <v>8</v>
      </c>
      <c r="U27" s="1566">
        <f>H27</f>
        <v>100</v>
      </c>
      <c r="V27" s="1565" t="s">
        <v>8</v>
      </c>
      <c r="W27" s="1566">
        <f>J27</f>
        <v>100</v>
      </c>
      <c r="X27" s="1567"/>
      <c r="Y27" s="3456"/>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456"/>
      <c r="Q28" s="1569">
        <f t="shared" si="11"/>
        <v>111</v>
      </c>
      <c r="R28" s="1570" t="s">
        <v>8</v>
      </c>
      <c r="S28" s="1571">
        <f t="shared" ref="S28:S40" si="12">F28</f>
        <v>100</v>
      </c>
      <c r="T28" s="1570" t="s">
        <v>8</v>
      </c>
      <c r="U28" s="1571">
        <f t="shared" ref="U28:U40" si="13">H28</f>
        <v>100</v>
      </c>
      <c r="V28" s="1570" t="s">
        <v>8</v>
      </c>
      <c r="W28" s="1571">
        <f t="shared" ref="W28:W40" si="14">J28</f>
        <v>100</v>
      </c>
      <c r="X28" s="1564"/>
      <c r="Y28" s="3456"/>
      <c r="Z28" s="1572">
        <f t="shared" ref="Z28:Z40" si="15">Q28</f>
        <v>111</v>
      </c>
      <c r="AA28" s="1573">
        <f t="shared" si="3"/>
        <v>1</v>
      </c>
      <c r="AB28" s="1573">
        <f t="shared" si="4"/>
        <v>1</v>
      </c>
      <c r="AC28" s="1573">
        <f t="shared" si="5"/>
        <v>1</v>
      </c>
    </row>
    <row r="29" spans="1:29" ht="15">
      <c r="A29" s="2929" t="s">
        <v>2756</v>
      </c>
      <c r="B29" s="170" t="s">
        <v>778</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457" t="s">
        <v>548</v>
      </c>
      <c r="Q29" s="1569" t="str">
        <f t="shared" si="11"/>
        <v>建筑类型</v>
      </c>
      <c r="R29" s="1570" t="s">
        <v>8</v>
      </c>
      <c r="S29" s="1571">
        <f t="shared" si="12"/>
        <v>100</v>
      </c>
      <c r="T29" s="1570" t="s">
        <v>8</v>
      </c>
      <c r="U29" s="1571">
        <f t="shared" si="13"/>
        <v>100</v>
      </c>
      <c r="V29" s="1570" t="s">
        <v>8</v>
      </c>
      <c r="W29" s="1571">
        <f t="shared" si="14"/>
        <v>100</v>
      </c>
      <c r="X29" s="1564"/>
      <c r="Y29" s="3458" t="s">
        <v>548</v>
      </c>
      <c r="Z29" s="1572" t="str">
        <f t="shared" si="15"/>
        <v>建筑类型</v>
      </c>
      <c r="AA29" s="1573">
        <f t="shared" si="3"/>
        <v>1</v>
      </c>
      <c r="AB29" s="1573">
        <f t="shared" si="4"/>
        <v>1</v>
      </c>
      <c r="AC29" s="1573">
        <f t="shared" si="5"/>
        <v>1</v>
      </c>
    </row>
    <row r="30" spans="1:29" s="1336" customFormat="1" ht="15">
      <c r="A30" s="600"/>
      <c r="B30" s="525" t="s">
        <v>724</v>
      </c>
      <c r="C30" s="877"/>
      <c r="D30" s="253">
        <v>100</v>
      </c>
      <c r="E30" s="531"/>
      <c r="F30" s="860" t="e">
        <f>LOOKUP(E30,91:91,92:92)-LOOKUP(C30,91:91,92:92)+100</f>
        <v>#N/A</v>
      </c>
      <c r="G30" s="530"/>
      <c r="H30" s="253" t="e">
        <f>LOOKUP(G30,91:91,92:92)-LOOKUP(C30,91:91,92:92)+100</f>
        <v>#N/A</v>
      </c>
      <c r="I30" s="530"/>
      <c r="J30" s="253" t="e">
        <f>LOOKUP(I30,91:91,92:92)-LOOKUP(C30,91:91,92:92)+100</f>
        <v>#N/A</v>
      </c>
      <c r="K30" s="578"/>
      <c r="L30" s="2137"/>
      <c r="M30" s="2168"/>
      <c r="N30" s="2168"/>
      <c r="O30" s="2140"/>
      <c r="P30" s="3458"/>
      <c r="Q30" s="1602" t="str">
        <f t="shared" si="11"/>
        <v>项目建筑规模</v>
      </c>
      <c r="R30" s="1574" t="s">
        <v>8</v>
      </c>
      <c r="S30" s="1575" t="e">
        <f t="shared" si="12"/>
        <v>#N/A</v>
      </c>
      <c r="T30" s="1574" t="s">
        <v>8</v>
      </c>
      <c r="U30" s="1575" t="e">
        <f t="shared" si="13"/>
        <v>#N/A</v>
      </c>
      <c r="V30" s="1574" t="s">
        <v>8</v>
      </c>
      <c r="W30" s="1575" t="e">
        <f t="shared" si="14"/>
        <v>#N/A</v>
      </c>
      <c r="X30" s="1576"/>
      <c r="Y30" s="3458"/>
      <c r="Z30" s="1577" t="str">
        <f t="shared" si="15"/>
        <v>项目建筑规模</v>
      </c>
      <c r="AA30" s="1573" t="e">
        <f t="shared" si="3"/>
        <v>#N/A</v>
      </c>
      <c r="AB30" s="1573" t="e">
        <f t="shared" si="4"/>
        <v>#N/A</v>
      </c>
      <c r="AC30" s="1573" t="e">
        <f t="shared" si="5"/>
        <v>#N/A</v>
      </c>
    </row>
    <row r="31" spans="1:29" ht="15">
      <c r="A31" s="591"/>
      <c r="B31" s="525" t="s">
        <v>725</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458"/>
      <c r="Q31" s="1569" t="str">
        <f t="shared" si="11"/>
        <v>建筑结构</v>
      </c>
      <c r="R31" s="1570" t="s">
        <v>8</v>
      </c>
      <c r="S31" s="1571">
        <f t="shared" si="12"/>
        <v>100</v>
      </c>
      <c r="T31" s="1570" t="s">
        <v>8</v>
      </c>
      <c r="U31" s="1571">
        <f t="shared" si="13"/>
        <v>100</v>
      </c>
      <c r="V31" s="1570" t="s">
        <v>8</v>
      </c>
      <c r="W31" s="1571">
        <f t="shared" si="14"/>
        <v>100</v>
      </c>
      <c r="X31" s="1564"/>
      <c r="Y31" s="3458"/>
      <c r="Z31" s="1572" t="str">
        <f t="shared" si="15"/>
        <v>建筑结构</v>
      </c>
      <c r="AA31" s="1573">
        <f t="shared" si="3"/>
        <v>1</v>
      </c>
      <c r="AB31" s="1573">
        <f t="shared" si="4"/>
        <v>1</v>
      </c>
      <c r="AC31" s="1573">
        <f t="shared" si="5"/>
        <v>1</v>
      </c>
    </row>
    <row r="32" spans="1:29" ht="15">
      <c r="A32" s="591"/>
      <c r="B32" s="525" t="s">
        <v>761</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458"/>
      <c r="Q32" s="1569" t="str">
        <f t="shared" si="11"/>
        <v>公共部分装修</v>
      </c>
      <c r="R32" s="1570" t="s">
        <v>8</v>
      </c>
      <c r="S32" s="1571">
        <f t="shared" si="12"/>
        <v>100</v>
      </c>
      <c r="T32" s="1570" t="s">
        <v>8</v>
      </c>
      <c r="U32" s="1571">
        <f t="shared" si="13"/>
        <v>100</v>
      </c>
      <c r="V32" s="1570" t="s">
        <v>8</v>
      </c>
      <c r="W32" s="1571">
        <f t="shared" si="14"/>
        <v>100</v>
      </c>
      <c r="X32" s="1564"/>
      <c r="Y32" s="3458"/>
      <c r="Z32" s="1572" t="str">
        <f t="shared" si="15"/>
        <v>公共部分装修</v>
      </c>
      <c r="AA32" s="1573">
        <f t="shared" si="3"/>
        <v>1</v>
      </c>
      <c r="AB32" s="1573">
        <f t="shared" si="4"/>
        <v>1</v>
      </c>
      <c r="AC32" s="1573">
        <f t="shared" si="5"/>
        <v>1</v>
      </c>
    </row>
    <row r="33" spans="1:29" ht="15">
      <c r="A33" s="591"/>
      <c r="B33" s="525" t="s">
        <v>762</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458"/>
      <c r="Q33" s="1569" t="str">
        <f t="shared" si="11"/>
        <v>成新度</v>
      </c>
      <c r="R33" s="1570" t="s">
        <v>8</v>
      </c>
      <c r="S33" s="1571" t="e">
        <f t="shared" si="12"/>
        <v>#N/A</v>
      </c>
      <c r="T33" s="1570" t="s">
        <v>8</v>
      </c>
      <c r="U33" s="1571" t="e">
        <f t="shared" si="13"/>
        <v>#N/A</v>
      </c>
      <c r="V33" s="1570" t="s">
        <v>8</v>
      </c>
      <c r="W33" s="1571" t="e">
        <f t="shared" si="14"/>
        <v>#N/A</v>
      </c>
      <c r="X33" s="1564"/>
      <c r="Y33" s="3458"/>
      <c r="Z33" s="1572" t="str">
        <f t="shared" si="15"/>
        <v>成新度</v>
      </c>
      <c r="AA33" s="1573" t="e">
        <f t="shared" si="3"/>
        <v>#N/A</v>
      </c>
      <c r="AB33" s="1573" t="e">
        <f t="shared" si="4"/>
        <v>#N/A</v>
      </c>
      <c r="AC33" s="1573" t="e">
        <f t="shared" si="5"/>
        <v>#N/A</v>
      </c>
    </row>
    <row r="34" spans="1:29" s="1217" customFormat="1" ht="15">
      <c r="A34" s="597"/>
      <c r="B34" s="525" t="s">
        <v>780</v>
      </c>
      <c r="C34" s="571"/>
      <c r="D34" s="253">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458"/>
      <c r="Q34" s="1148" t="str">
        <f t="shared" si="11"/>
        <v>物业管理</v>
      </c>
      <c r="R34" s="1565" t="s">
        <v>8</v>
      </c>
      <c r="S34" s="1566">
        <f t="shared" si="12"/>
        <v>100</v>
      </c>
      <c r="T34" s="1565" t="s">
        <v>8</v>
      </c>
      <c r="U34" s="1566">
        <f t="shared" si="13"/>
        <v>100</v>
      </c>
      <c r="V34" s="1565" t="s">
        <v>8</v>
      </c>
      <c r="W34" s="1566">
        <f t="shared" si="14"/>
        <v>100</v>
      </c>
      <c r="X34" s="1567"/>
      <c r="Y34" s="3458"/>
      <c r="Z34" s="1147" t="str">
        <f t="shared" si="15"/>
        <v>物业管理</v>
      </c>
      <c r="AA34" s="1568">
        <f t="shared" si="3"/>
        <v>1</v>
      </c>
      <c r="AB34" s="1568">
        <f t="shared" si="4"/>
        <v>1</v>
      </c>
      <c r="AC34" s="1568">
        <f t="shared" si="5"/>
        <v>1</v>
      </c>
    </row>
    <row r="35" spans="1:29" ht="15">
      <c r="A35" s="591"/>
      <c r="B35" s="1892"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458" t="s">
        <v>548</v>
      </c>
      <c r="Q35" s="1569" t="str">
        <f t="shared" si="11"/>
        <v>市政基础设施</v>
      </c>
      <c r="R35" s="1570" t="s">
        <v>8</v>
      </c>
      <c r="S35" s="1571">
        <f t="shared" si="12"/>
        <v>100</v>
      </c>
      <c r="T35" s="1570" t="s">
        <v>8</v>
      </c>
      <c r="U35" s="1571">
        <f t="shared" si="13"/>
        <v>100</v>
      </c>
      <c r="V35" s="1570" t="s">
        <v>8</v>
      </c>
      <c r="W35" s="1571">
        <f t="shared" si="14"/>
        <v>100</v>
      </c>
      <c r="X35" s="1564"/>
      <c r="Y35" s="3458" t="s">
        <v>548</v>
      </c>
      <c r="Z35" s="1572" t="str">
        <f t="shared" si="15"/>
        <v>市政基础设施</v>
      </c>
      <c r="AA35" s="1573">
        <f t="shared" si="3"/>
        <v>1</v>
      </c>
      <c r="AB35" s="1573">
        <f t="shared" si="4"/>
        <v>1</v>
      </c>
      <c r="AC35" s="1573">
        <f t="shared" si="5"/>
        <v>1</v>
      </c>
    </row>
    <row r="36" spans="1:29" ht="15">
      <c r="A36" s="591"/>
      <c r="B36" s="525" t="s">
        <v>768</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458"/>
      <c r="Q36" s="1569" t="str">
        <f t="shared" si="11"/>
        <v>内部装修</v>
      </c>
      <c r="R36" s="1570" t="s">
        <v>8</v>
      </c>
      <c r="S36" s="1571">
        <f t="shared" si="12"/>
        <v>100</v>
      </c>
      <c r="T36" s="1570" t="s">
        <v>8</v>
      </c>
      <c r="U36" s="1571">
        <f t="shared" si="13"/>
        <v>100</v>
      </c>
      <c r="V36" s="1570" t="s">
        <v>8</v>
      </c>
      <c r="W36" s="1571">
        <f t="shared" si="14"/>
        <v>100</v>
      </c>
      <c r="X36" s="1564"/>
      <c r="Y36" s="3458"/>
      <c r="Z36" s="1572" t="str">
        <f t="shared" si="15"/>
        <v>内部装修</v>
      </c>
      <c r="AA36" s="1573">
        <f t="shared" si="3"/>
        <v>1</v>
      </c>
      <c r="AB36" s="1573">
        <f t="shared" si="4"/>
        <v>1</v>
      </c>
      <c r="AC36" s="1573">
        <f t="shared" si="5"/>
        <v>1</v>
      </c>
    </row>
    <row r="37" spans="1:29" ht="15">
      <c r="A37" s="591"/>
      <c r="B37" s="525" t="s">
        <v>788</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458"/>
      <c r="Q37" s="1569" t="str">
        <f t="shared" si="11"/>
        <v>内部装修状况</v>
      </c>
      <c r="R37" s="1570" t="s">
        <v>8</v>
      </c>
      <c r="S37" s="1571">
        <f t="shared" si="12"/>
        <v>100</v>
      </c>
      <c r="T37" s="1570" t="s">
        <v>8</v>
      </c>
      <c r="U37" s="1571">
        <f t="shared" si="13"/>
        <v>100</v>
      </c>
      <c r="V37" s="1570" t="s">
        <v>8</v>
      </c>
      <c r="W37" s="1571">
        <f t="shared" si="14"/>
        <v>100</v>
      </c>
      <c r="X37" s="1564"/>
      <c r="Y37" s="3458"/>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458"/>
      <c r="Q38" s="1602">
        <f t="shared" si="11"/>
        <v>111</v>
      </c>
      <c r="R38" s="1574" t="s">
        <v>8</v>
      </c>
      <c r="S38" s="1575">
        <f t="shared" si="12"/>
        <v>100</v>
      </c>
      <c r="T38" s="1574" t="s">
        <v>8</v>
      </c>
      <c r="U38" s="1575">
        <f t="shared" si="13"/>
        <v>100</v>
      </c>
      <c r="V38" s="1574" t="s">
        <v>8</v>
      </c>
      <c r="W38" s="1575">
        <f t="shared" si="14"/>
        <v>100</v>
      </c>
      <c r="X38" s="1576"/>
      <c r="Y38" s="3458"/>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458"/>
      <c r="Q39" s="1569">
        <f t="shared" si="11"/>
        <v>111</v>
      </c>
      <c r="R39" s="1570" t="s">
        <v>8</v>
      </c>
      <c r="S39" s="1571">
        <f t="shared" si="12"/>
        <v>100</v>
      </c>
      <c r="T39" s="1570" t="s">
        <v>8</v>
      </c>
      <c r="U39" s="1571">
        <f t="shared" si="13"/>
        <v>100</v>
      </c>
      <c r="V39" s="1570" t="s">
        <v>8</v>
      </c>
      <c r="W39" s="1571">
        <f t="shared" si="14"/>
        <v>100</v>
      </c>
      <c r="X39" s="1564"/>
      <c r="Y39" s="3458"/>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512"/>
      <c r="Q40" s="1569">
        <f t="shared" si="11"/>
        <v>111</v>
      </c>
      <c r="R40" s="1570" t="s">
        <v>8</v>
      </c>
      <c r="S40" s="1571">
        <f t="shared" si="12"/>
        <v>100</v>
      </c>
      <c r="T40" s="1570" t="s">
        <v>8</v>
      </c>
      <c r="U40" s="1571">
        <f t="shared" si="13"/>
        <v>100</v>
      </c>
      <c r="V40" s="1570" t="s">
        <v>8</v>
      </c>
      <c r="W40" s="1571">
        <f t="shared" si="14"/>
        <v>100</v>
      </c>
      <c r="X40" s="1564"/>
      <c r="Y40" s="3512"/>
      <c r="Z40" s="1572">
        <f t="shared" si="15"/>
        <v>111</v>
      </c>
      <c r="AA40" s="1573">
        <f t="shared" si="3"/>
        <v>1</v>
      </c>
      <c r="AB40" s="1573">
        <f t="shared" si="4"/>
        <v>1</v>
      </c>
      <c r="AC40" s="1573">
        <f t="shared" si="5"/>
        <v>1</v>
      </c>
    </row>
    <row r="41" spans="1:29" ht="15">
      <c r="A41" s="604" t="s">
        <v>734</v>
      </c>
      <c r="B41" s="884"/>
      <c r="C41" s="2647" t="s">
        <v>1</v>
      </c>
      <c r="D41" s="2648"/>
      <c r="E41" s="2649"/>
      <c r="F41" s="2650"/>
      <c r="G41" s="2651"/>
      <c r="H41" s="2652"/>
      <c r="I41" s="2649"/>
      <c r="J41" s="2652"/>
      <c r="K41" s="1608"/>
      <c r="L41" s="2141"/>
      <c r="M41" s="2142"/>
      <c r="N41" s="2131"/>
      <c r="O41" s="2142"/>
      <c r="P41" s="3421" t="str">
        <f>A41</f>
        <v>成交单价（元/平方米）</v>
      </c>
      <c r="Q41" s="3421"/>
      <c r="R41" s="3511">
        <f>E41</f>
        <v>0</v>
      </c>
      <c r="S41" s="3511"/>
      <c r="T41" s="3511">
        <f>G41</f>
        <v>0</v>
      </c>
      <c r="U41" s="3511"/>
      <c r="V41" s="3511">
        <f>I41</f>
        <v>0</v>
      </c>
      <c r="W41" s="3511"/>
      <c r="X41" s="1556"/>
      <c r="Y41" s="1578"/>
      <c r="Z41" s="1556"/>
      <c r="AA41" s="1556"/>
      <c r="AB41" s="1556"/>
      <c r="AC41" s="1556"/>
    </row>
    <row r="42" spans="1:29" ht="15.75" thickBot="1">
      <c r="A42" s="612" t="s">
        <v>2761</v>
      </c>
      <c r="B42" s="885"/>
      <c r="C42" s="2653" t="e">
        <f>R43</f>
        <v>#DIV/0!</v>
      </c>
      <c r="D42" s="2654"/>
      <c r="E42" s="2655" t="e">
        <f>R42</f>
        <v>#DIV/0!</v>
      </c>
      <c r="F42" s="2655"/>
      <c r="G42" s="2653" t="e">
        <f>T42</f>
        <v>#DIV/0!</v>
      </c>
      <c r="H42" s="2654"/>
      <c r="I42" s="2655" t="e">
        <f>V42</f>
        <v>#DIV/0!</v>
      </c>
      <c r="J42" s="2654"/>
      <c r="K42" s="1609"/>
      <c r="L42" s="2141"/>
      <c r="M42" s="2142"/>
      <c r="N42" s="2131"/>
      <c r="O42" s="2142"/>
      <c r="P42" s="3421" t="str">
        <f>A42</f>
        <v>比较价格（元/平方米）</v>
      </c>
      <c r="Q42" s="3421"/>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6"/>
      <c r="Y42" s="1556"/>
      <c r="Z42" s="1556"/>
      <c r="AA42" s="1556"/>
      <c r="AB42" s="1556"/>
      <c r="AC42" s="1556"/>
    </row>
    <row r="43" spans="1:29" ht="15.75" thickBot="1">
      <c r="A43" s="618" t="s">
        <v>2937</v>
      </c>
      <c r="B43" s="619"/>
      <c r="C43" s="2656" t="e">
        <f>R43</f>
        <v>#DIV/0!</v>
      </c>
      <c r="D43" s="2656"/>
      <c r="E43" s="2656"/>
      <c r="F43" s="2656"/>
      <c r="G43" s="2656"/>
      <c r="H43" s="2656"/>
      <c r="I43" s="2656"/>
      <c r="J43" s="2656"/>
      <c r="K43" s="1610"/>
      <c r="L43" s="2141"/>
      <c r="M43" s="2142"/>
      <c r="N43" s="2142"/>
      <c r="O43" s="2142"/>
      <c r="P43" s="3418" t="str">
        <f>A43</f>
        <v>估价对象XX用房的比较价格（楼面单价，元/平方米）</v>
      </c>
      <c r="Q43" s="3419"/>
      <c r="R43" s="3510" t="e">
        <f>IF(F1="售价",ROUND(AVERAGE(R42:V42),0),ROUND(AVERAGE(R42:V42),1))</f>
        <v>#DIV/0!</v>
      </c>
      <c r="S43" s="3510"/>
      <c r="T43" s="3510"/>
      <c r="U43" s="3510"/>
      <c r="V43" s="3510"/>
      <c r="W43" s="3510"/>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555</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556</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557</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572</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4" customFormat="1" ht="15">
      <c r="A52" s="642" t="s">
        <v>527</v>
      </c>
      <c r="B52" s="643"/>
      <c r="C52" s="2824" t="str">
        <f>YEAR(C7)&amp;"-"&amp;MONTH(C7)</f>
        <v>2018-1</v>
      </c>
      <c r="D52" s="2826">
        <f>EDATE(C52,-1)</f>
        <v>43070</v>
      </c>
      <c r="E52" s="2826">
        <f t="shared" ref="E52:O52" si="16">EDATE(D52,-1)</f>
        <v>43040</v>
      </c>
      <c r="F52" s="2826">
        <f t="shared" si="16"/>
        <v>43009</v>
      </c>
      <c r="G52" s="2826">
        <f t="shared" si="16"/>
        <v>42979</v>
      </c>
      <c r="H52" s="2826">
        <f t="shared" si="16"/>
        <v>42948</v>
      </c>
      <c r="I52" s="2826">
        <f t="shared" si="16"/>
        <v>42917</v>
      </c>
      <c r="J52" s="2826">
        <f t="shared" si="16"/>
        <v>42887</v>
      </c>
      <c r="K52" s="2826">
        <f t="shared" si="16"/>
        <v>42856</v>
      </c>
      <c r="L52" s="2826">
        <f t="shared" si="16"/>
        <v>42826</v>
      </c>
      <c r="M52" s="2826">
        <f t="shared" si="16"/>
        <v>42795</v>
      </c>
      <c r="N52" s="2826">
        <f t="shared" si="16"/>
        <v>42767</v>
      </c>
      <c r="O52" s="2826">
        <f t="shared" si="16"/>
        <v>42736</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573</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529</v>
      </c>
      <c r="B55" s="645"/>
      <c r="C55" s="657" t="s">
        <v>574</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575</v>
      </c>
      <c r="B57" s="662" t="s">
        <v>532</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535</v>
      </c>
      <c r="C59" s="671" t="s">
        <v>735</v>
      </c>
      <c r="D59" s="671" t="s">
        <v>736</v>
      </c>
      <c r="E59" s="671" t="s">
        <v>737</v>
      </c>
      <c r="F59" s="671" t="s">
        <v>738</v>
      </c>
      <c r="G59" s="671" t="s">
        <v>739</v>
      </c>
      <c r="H59" s="671" t="s">
        <v>740</v>
      </c>
      <c r="I59" s="671" t="s">
        <v>741</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536</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537</v>
      </c>
      <c r="B70" s="662" t="s">
        <v>583</v>
      </c>
      <c r="C70" s="700" t="s">
        <v>577</v>
      </c>
      <c r="D70" s="700" t="s">
        <v>578</v>
      </c>
      <c r="E70" s="700" t="s">
        <v>579</v>
      </c>
      <c r="F70" s="700" t="s">
        <v>580</v>
      </c>
      <c r="G70" s="700" t="s">
        <v>581</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584</v>
      </c>
      <c r="C72" s="705" t="s">
        <v>577</v>
      </c>
      <c r="D72" s="705" t="s">
        <v>578</v>
      </c>
      <c r="E72" s="705" t="s">
        <v>579</v>
      </c>
      <c r="F72" s="705" t="s">
        <v>580</v>
      </c>
      <c r="G72" s="705" t="s">
        <v>581</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2556</v>
      </c>
      <c r="C74" s="705" t="s">
        <v>577</v>
      </c>
      <c r="D74" s="705" t="s">
        <v>578</v>
      </c>
      <c r="E74" s="705" t="s">
        <v>579</v>
      </c>
      <c r="F74" s="705" t="s">
        <v>580</v>
      </c>
      <c r="G74" s="705" t="s">
        <v>581</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617" t="s">
        <v>2557</v>
      </c>
      <c r="C76" s="2618" t="s">
        <v>2558</v>
      </c>
      <c r="D76" s="2618" t="s">
        <v>2559</v>
      </c>
      <c r="E76" s="2618" t="s">
        <v>2560</v>
      </c>
      <c r="F76" s="2618" t="s">
        <v>2561</v>
      </c>
      <c r="G76" s="2618" t="s">
        <v>2562</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782</v>
      </c>
      <c r="C78" s="705" t="s">
        <v>577</v>
      </c>
      <c r="D78" s="705" t="s">
        <v>578</v>
      </c>
      <c r="E78" s="705" t="s">
        <v>579</v>
      </c>
      <c r="F78" s="705" t="s">
        <v>580</v>
      </c>
      <c r="G78" s="705" t="s">
        <v>581</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549</v>
      </c>
      <c r="B88" s="662" t="s">
        <v>745</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746</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747</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749</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750</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751</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2555</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753</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789</v>
      </c>
      <c r="C106" s="705" t="s">
        <v>577</v>
      </c>
      <c r="D106" s="705" t="s">
        <v>578</v>
      </c>
      <c r="E106" s="705" t="s">
        <v>579</v>
      </c>
      <c r="F106" s="705" t="s">
        <v>580</v>
      </c>
      <c r="G106" s="705" t="s">
        <v>581</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29"/>
      <c r="G1" s="1598" t="s">
        <v>791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792</v>
      </c>
      <c r="B2" s="847"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thickBot="1">
      <c r="A3" s="507" t="s">
        <v>793</v>
      </c>
      <c r="B3" s="508" t="e">
        <f>IF(B37="元/平方米",C39,ROUND(B2*10000/D3,0))</f>
        <v>#DIV/0!</v>
      </c>
      <c r="C3" s="849" t="s">
        <v>794</v>
      </c>
      <c r="D3" s="848">
        <f>SUMIF('数据-汇总表'!$C19:$C33,D1,'数据-汇总表'!$E19:$E33)</f>
        <v>0</v>
      </c>
      <c r="E3" s="1845" t="s">
        <v>2074</v>
      </c>
      <c r="F3" s="848">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795</v>
      </c>
      <c r="B4" s="511"/>
      <c r="C4" s="3427" t="s">
        <v>796</v>
      </c>
      <c r="D4" s="3428"/>
      <c r="E4" s="3427" t="s">
        <v>797</v>
      </c>
      <c r="F4" s="3428"/>
      <c r="G4" s="3427" t="s">
        <v>798</v>
      </c>
      <c r="H4" s="3428"/>
      <c r="I4" s="3427" t="s">
        <v>799</v>
      </c>
      <c r="J4" s="3428"/>
      <c r="K4" s="512" t="s">
        <v>800</v>
      </c>
      <c r="L4" s="2130"/>
      <c r="M4" s="2131"/>
      <c r="N4" s="2131"/>
      <c r="O4" s="2131"/>
      <c r="P4" s="3429" t="s">
        <v>801</v>
      </c>
      <c r="Q4" s="3430"/>
      <c r="R4" s="3435" t="s">
        <v>797</v>
      </c>
      <c r="S4" s="3436"/>
      <c r="T4" s="3435" t="s">
        <v>798</v>
      </c>
      <c r="U4" s="3436"/>
      <c r="V4" s="3422" t="s">
        <v>799</v>
      </c>
      <c r="W4" s="3422"/>
      <c r="X4" s="1564"/>
      <c r="Y4" s="3435" t="s">
        <v>801</v>
      </c>
      <c r="Z4" s="3436"/>
      <c r="AA4" s="3424" t="s">
        <v>797</v>
      </c>
      <c r="AB4" s="3425" t="s">
        <v>798</v>
      </c>
      <c r="AC4" s="3424" t="s">
        <v>799</v>
      </c>
    </row>
    <row r="5" spans="1:29" ht="15">
      <c r="A5" s="513"/>
      <c r="B5" s="514"/>
      <c r="C5" s="3443" t="s">
        <v>2931</v>
      </c>
      <c r="D5" s="3444"/>
      <c r="E5" s="3443" t="s">
        <v>2932</v>
      </c>
      <c r="F5" s="3444"/>
      <c r="G5" s="3443" t="s">
        <v>2933</v>
      </c>
      <c r="H5" s="3444"/>
      <c r="I5" s="3443" t="s">
        <v>2934</v>
      </c>
      <c r="J5" s="3444"/>
      <c r="K5" s="512"/>
      <c r="L5" s="2130"/>
      <c r="M5" s="2131"/>
      <c r="N5" s="2131"/>
      <c r="O5" s="2131"/>
      <c r="P5" s="3431"/>
      <c r="Q5" s="3432"/>
      <c r="R5" s="3437"/>
      <c r="S5" s="3438"/>
      <c r="T5" s="3437"/>
      <c r="U5" s="3438"/>
      <c r="V5" s="3422"/>
      <c r="W5" s="3422"/>
      <c r="X5" s="1564"/>
      <c r="Y5" s="3437"/>
      <c r="Z5" s="3438"/>
      <c r="AA5" s="3425"/>
      <c r="AB5" s="3425"/>
      <c r="AC5" s="3425"/>
    </row>
    <row r="6" spans="1:29" ht="15.75" thickBot="1">
      <c r="A6" s="515"/>
      <c r="B6" s="516"/>
      <c r="C6" s="3441" t="s">
        <v>2935</v>
      </c>
      <c r="D6" s="3442"/>
      <c r="E6" s="3445" t="s">
        <v>2935</v>
      </c>
      <c r="F6" s="3446"/>
      <c r="G6" s="3441" t="s">
        <v>2935</v>
      </c>
      <c r="H6" s="3442"/>
      <c r="I6" s="3441" t="s">
        <v>2935</v>
      </c>
      <c r="J6" s="3442"/>
      <c r="K6" s="512" t="s">
        <v>526</v>
      </c>
      <c r="L6" s="2130"/>
      <c r="M6" s="2131"/>
      <c r="N6" s="2131"/>
      <c r="O6" s="2131"/>
      <c r="P6" s="3433"/>
      <c r="Q6" s="3434"/>
      <c r="R6" s="3437"/>
      <c r="S6" s="3438"/>
      <c r="T6" s="3439"/>
      <c r="U6" s="3440"/>
      <c r="V6" s="3422"/>
      <c r="W6" s="3422"/>
      <c r="X6" s="1564"/>
      <c r="Y6" s="3439"/>
      <c r="Z6" s="3440"/>
      <c r="AA6" s="3426"/>
      <c r="AB6" s="3426"/>
      <c r="AC6" s="3426"/>
    </row>
    <row r="7" spans="1:29" s="1217" customFormat="1" ht="15.75" thickBot="1">
      <c r="A7" s="2934"/>
      <c r="B7" s="2941" t="s">
        <v>527</v>
      </c>
      <c r="C7" s="517">
        <f>'数据-取费表'!B2</f>
        <v>43109</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52" t="s">
        <v>528</v>
      </c>
      <c r="Q7" s="3454"/>
      <c r="R7" s="1565" t="s">
        <v>8</v>
      </c>
      <c r="S7" s="1566">
        <f t="shared" ref="S7:S14" si="0">F7</f>
        <v>0</v>
      </c>
      <c r="T7" s="1565" t="s">
        <v>8</v>
      </c>
      <c r="U7" s="1566">
        <f t="shared" ref="U7:U14" si="1">H7</f>
        <v>0</v>
      </c>
      <c r="V7" s="1565" t="s">
        <v>8</v>
      </c>
      <c r="W7" s="1566">
        <f t="shared" ref="W7:W14" si="2">J7</f>
        <v>0</v>
      </c>
      <c r="X7" s="1567"/>
      <c r="Y7" s="3452" t="s">
        <v>528</v>
      </c>
      <c r="Z7" s="3453"/>
      <c r="AA7" s="1568" t="e">
        <f>D7/F7</f>
        <v>#DIV/0!</v>
      </c>
      <c r="AB7" s="1568" t="e">
        <f>D7/H7</f>
        <v>#DIV/0!</v>
      </c>
      <c r="AC7" s="1568" t="e">
        <f>D7/J7</f>
        <v>#DIV/0!</v>
      </c>
    </row>
    <row r="8" spans="1:29" s="1217" customFormat="1" ht="15.75" thickBot="1">
      <c r="A8" s="2935"/>
      <c r="B8" s="2942" t="s">
        <v>529</v>
      </c>
      <c r="C8" s="523" t="s">
        <v>574</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52" t="s">
        <v>531</v>
      </c>
      <c r="Q8" s="3453"/>
      <c r="R8" s="1565" t="s">
        <v>8</v>
      </c>
      <c r="S8" s="1566">
        <f t="shared" si="0"/>
        <v>0</v>
      </c>
      <c r="T8" s="1565" t="s">
        <v>8</v>
      </c>
      <c r="U8" s="1566">
        <f t="shared" si="1"/>
        <v>0</v>
      </c>
      <c r="V8" s="1565" t="s">
        <v>8</v>
      </c>
      <c r="W8" s="1566">
        <f t="shared" si="2"/>
        <v>0</v>
      </c>
      <c r="X8" s="1567"/>
      <c r="Y8" s="3452" t="s">
        <v>531</v>
      </c>
      <c r="Z8" s="3453"/>
      <c r="AA8" s="1568" t="e">
        <f t="shared" ref="AA8:AA36" si="3">D8/F8</f>
        <v>#DIV/0!</v>
      </c>
      <c r="AB8" s="1568" t="e">
        <f t="shared" ref="AB8:AB36" si="4">D8/H8</f>
        <v>#DIV/0!</v>
      </c>
      <c r="AC8" s="1568" t="e">
        <f t="shared" ref="AC8:AC36" si="5">D8/J8</f>
        <v>#DIV/0!</v>
      </c>
    </row>
    <row r="9" spans="1:29" s="1217" customFormat="1" ht="15">
      <c r="A9" s="2936"/>
      <c r="B9" s="2943" t="s">
        <v>2757</v>
      </c>
      <c r="C9" s="854"/>
      <c r="D9" s="252">
        <v>100</v>
      </c>
      <c r="E9" s="857"/>
      <c r="F9" s="252">
        <f>SUMIF(53:53,E9,54:54)-SUMIF(53:53,C9,54:54)+100</f>
        <v>100</v>
      </c>
      <c r="G9" s="855"/>
      <c r="H9" s="252">
        <f>SUMIF(53:53,G9,54:54)-SUMIF(53:53,C9,54:54)+100</f>
        <v>100</v>
      </c>
      <c r="I9" s="855"/>
      <c r="J9" s="252">
        <f>SUMIF(53:53,I9,54:54)-SUMIF(53:53,C9,54:54)+100</f>
        <v>100</v>
      </c>
      <c r="K9" s="522"/>
      <c r="L9" s="2132"/>
      <c r="M9" s="2133"/>
      <c r="N9" s="2133"/>
      <c r="O9" s="2134"/>
      <c r="P9" s="3421" t="s">
        <v>533</v>
      </c>
      <c r="Q9" s="1148" t="str">
        <f t="shared" ref="Q9:Q14" si="6">B9</f>
        <v>用途</v>
      </c>
      <c r="R9" s="1565" t="s">
        <v>8</v>
      </c>
      <c r="S9" s="1566">
        <f t="shared" si="0"/>
        <v>100</v>
      </c>
      <c r="T9" s="1565" t="s">
        <v>8</v>
      </c>
      <c r="U9" s="1566">
        <f t="shared" si="1"/>
        <v>100</v>
      </c>
      <c r="V9" s="1565" t="s">
        <v>8</v>
      </c>
      <c r="W9" s="1566">
        <f t="shared" si="2"/>
        <v>100</v>
      </c>
      <c r="X9" s="1567"/>
      <c r="Y9" s="3367" t="s">
        <v>534</v>
      </c>
      <c r="Z9" s="1147" t="str">
        <f t="shared" ref="Z9:Z14" si="7">Q9</f>
        <v>用途</v>
      </c>
      <c r="AA9" s="1568">
        <f t="shared" si="3"/>
        <v>1</v>
      </c>
      <c r="AB9" s="1568">
        <f t="shared" si="4"/>
        <v>1</v>
      </c>
      <c r="AC9" s="1568">
        <f t="shared" si="5"/>
        <v>1</v>
      </c>
    </row>
    <row r="10" spans="1:29" s="1335" customFormat="1" ht="27">
      <c r="A10" s="2937"/>
      <c r="B10" s="2942" t="s">
        <v>2758</v>
      </c>
      <c r="C10" s="858"/>
      <c r="D10" s="253">
        <v>100</v>
      </c>
      <c r="E10" s="858"/>
      <c r="F10" s="253">
        <f>SUMIF(55:55,E10,56:56)-SUMIF(55:55,C10,56:56)+100</f>
        <v>100</v>
      </c>
      <c r="G10" s="859"/>
      <c r="H10" s="253">
        <f>SUMIF(55:55,G10,56:56)-SUMIF(55:55,C10,56:56)+100</f>
        <v>100</v>
      </c>
      <c r="I10" s="858"/>
      <c r="J10" s="253">
        <f>SUMIF(55:55,I10,56:56)-SUMIF(55:55,C10,56:56)+100</f>
        <v>100</v>
      </c>
      <c r="K10" s="581"/>
      <c r="L10" s="2135"/>
      <c r="M10" s="2175"/>
      <c r="N10" s="2175"/>
      <c r="O10" s="2136"/>
      <c r="P10" s="3421"/>
      <c r="Q10" s="1148" t="str">
        <f t="shared" si="6"/>
        <v>土地使用年限（年）</v>
      </c>
      <c r="R10" s="1565" t="s">
        <v>8</v>
      </c>
      <c r="S10" s="1566">
        <f t="shared" si="0"/>
        <v>100</v>
      </c>
      <c r="T10" s="1565" t="s">
        <v>8</v>
      </c>
      <c r="U10" s="1566">
        <f t="shared" si="1"/>
        <v>100</v>
      </c>
      <c r="V10" s="1565" t="s">
        <v>8</v>
      </c>
      <c r="W10" s="1566">
        <f t="shared" si="2"/>
        <v>100</v>
      </c>
      <c r="X10" s="1567"/>
      <c r="Y10" s="3367"/>
      <c r="Z10" s="1147"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8"/>
      <c r="L11" s="2137"/>
      <c r="M11" s="2131"/>
      <c r="N11" s="2131"/>
      <c r="O11" s="2138"/>
      <c r="P11" s="3421"/>
      <c r="Q11" s="1148">
        <f t="shared" si="6"/>
        <v>111</v>
      </c>
      <c r="R11" s="1565" t="s">
        <v>8</v>
      </c>
      <c r="S11" s="1566">
        <f t="shared" si="0"/>
        <v>100</v>
      </c>
      <c r="T11" s="1565" t="s">
        <v>8</v>
      </c>
      <c r="U11" s="1566">
        <f t="shared" si="1"/>
        <v>100</v>
      </c>
      <c r="V11" s="1565" t="s">
        <v>8</v>
      </c>
      <c r="W11" s="1566">
        <f t="shared" si="2"/>
        <v>100</v>
      </c>
      <c r="X11" s="1567"/>
      <c r="Y11" s="3367"/>
      <c r="Z11" s="1147">
        <f t="shared" si="7"/>
        <v>111</v>
      </c>
      <c r="AA11" s="1568">
        <f t="shared" si="3"/>
        <v>1</v>
      </c>
      <c r="AB11" s="1568">
        <f t="shared" si="4"/>
        <v>1</v>
      </c>
      <c r="AC11" s="1568">
        <f t="shared" si="5"/>
        <v>1</v>
      </c>
    </row>
    <row r="12" spans="1:29" s="1217" customFormat="1" ht="15">
      <c r="A12" s="2939"/>
      <c r="B12" s="2945">
        <v>111</v>
      </c>
      <c r="C12" s="526"/>
      <c r="D12" s="535">
        <v>100</v>
      </c>
      <c r="E12" s="526"/>
      <c r="F12" s="253">
        <f>SUMIF(59:59,E12,60:60)-SUMIF(59:59,C12,60:60)+100</f>
        <v>100</v>
      </c>
      <c r="G12" s="526"/>
      <c r="H12" s="253">
        <f>SUMIF(59:59,G12,60:60)-SUMIF(59:59,C12,60:60)+100</f>
        <v>100</v>
      </c>
      <c r="I12" s="526"/>
      <c r="J12" s="253">
        <f>SUMIF(59:59,I12,60:60)-SUMIF(59:59,C12,60:60)+100</f>
        <v>100</v>
      </c>
      <c r="K12" s="578"/>
      <c r="L12" s="2132"/>
      <c r="M12" s="2133"/>
      <c r="N12" s="2133"/>
      <c r="O12" s="2134"/>
      <c r="P12" s="3421"/>
      <c r="Q12" s="1148">
        <f t="shared" si="6"/>
        <v>111</v>
      </c>
      <c r="R12" s="1565" t="s">
        <v>8</v>
      </c>
      <c r="S12" s="1566">
        <f t="shared" si="0"/>
        <v>100</v>
      </c>
      <c r="T12" s="1565" t="s">
        <v>8</v>
      </c>
      <c r="U12" s="1566">
        <f t="shared" si="1"/>
        <v>100</v>
      </c>
      <c r="V12" s="1565" t="s">
        <v>8</v>
      </c>
      <c r="W12" s="1566">
        <f t="shared" si="2"/>
        <v>100</v>
      </c>
      <c r="X12" s="1567"/>
      <c r="Y12" s="3367"/>
      <c r="Z12" s="1147">
        <f t="shared" si="7"/>
        <v>111</v>
      </c>
      <c r="AA12" s="1568">
        <f>D12/F12</f>
        <v>1</v>
      </c>
      <c r="AB12" s="1568">
        <f>D12/H12</f>
        <v>1</v>
      </c>
      <c r="AC12" s="1568">
        <f>D12/J12</f>
        <v>1</v>
      </c>
    </row>
    <row r="13" spans="1:29" ht="15.75" thickBot="1">
      <c r="A13" s="2940"/>
      <c r="B13" s="2946">
        <v>111</v>
      </c>
      <c r="C13" s="536"/>
      <c r="D13" s="537">
        <v>100</v>
      </c>
      <c r="E13" s="526"/>
      <c r="F13" s="253">
        <f>SUMIF(61:61,E13,62:62)-SUMIF(61:61,C13,62:62)+100</f>
        <v>100</v>
      </c>
      <c r="G13" s="526"/>
      <c r="H13" s="537">
        <f>SUMIF(61:61,G13,62:62)-SUMIF(61:61,C13,62:62)+100</f>
        <v>100</v>
      </c>
      <c r="I13" s="526"/>
      <c r="J13" s="537">
        <f>SUMIF(61:61,I13,62:62)-SUMIF(61:61,C13,62:62)+100</f>
        <v>100</v>
      </c>
      <c r="K13" s="578"/>
      <c r="L13" s="2139"/>
      <c r="M13" s="2131"/>
      <c r="N13" s="2131"/>
      <c r="O13" s="2138"/>
      <c r="P13" s="3421"/>
      <c r="Q13" s="1148">
        <f t="shared" si="6"/>
        <v>111</v>
      </c>
      <c r="R13" s="1565" t="s">
        <v>8</v>
      </c>
      <c r="S13" s="1566">
        <f t="shared" si="0"/>
        <v>100</v>
      </c>
      <c r="T13" s="1565" t="s">
        <v>8</v>
      </c>
      <c r="U13" s="1566">
        <f t="shared" si="1"/>
        <v>100</v>
      </c>
      <c r="V13" s="1565" t="s">
        <v>8</v>
      </c>
      <c r="W13" s="1566">
        <f t="shared" si="2"/>
        <v>100</v>
      </c>
      <c r="X13" s="1567"/>
      <c r="Y13" s="3367"/>
      <c r="Z13" s="1147">
        <f t="shared" si="7"/>
        <v>111</v>
      </c>
      <c r="AA13" s="1568">
        <f t="shared" si="3"/>
        <v>1</v>
      </c>
      <c r="AB13" s="1568">
        <f t="shared" si="4"/>
        <v>1</v>
      </c>
      <c r="AC13" s="1568">
        <f t="shared" si="5"/>
        <v>1</v>
      </c>
    </row>
    <row r="14" spans="1:29" ht="114">
      <c r="A14" s="2932" t="s">
        <v>2755</v>
      </c>
      <c r="B14" s="544" t="s">
        <v>541</v>
      </c>
      <c r="C14" s="918" t="str">
        <f>IF(B1="工业",估价对象房地状况!G4,估价对象房地状况!C6)</f>
        <v>估价对象周边道路状况、公共交通通达情况、停车便捷程度，综合评价交通便捷度较好148.208、212、215、348、503、912</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455" t="s">
        <v>538</v>
      </c>
      <c r="Q14" s="1569" t="str">
        <f t="shared" si="6"/>
        <v>交通便捷度</v>
      </c>
      <c r="R14" s="1570" t="s">
        <v>8</v>
      </c>
      <c r="S14" s="1571">
        <f t="shared" si="0"/>
        <v>100</v>
      </c>
      <c r="T14" s="1570" t="s">
        <v>8</v>
      </c>
      <c r="U14" s="1571">
        <f t="shared" si="1"/>
        <v>100</v>
      </c>
      <c r="V14" s="1570" t="s">
        <v>8</v>
      </c>
      <c r="W14" s="1571">
        <f t="shared" si="2"/>
        <v>100</v>
      </c>
      <c r="X14" s="1564"/>
      <c r="Y14" s="3455" t="s">
        <v>538</v>
      </c>
      <c r="Z14" s="1572" t="str">
        <f t="shared" si="7"/>
        <v>交通便捷度</v>
      </c>
      <c r="AA14" s="1573">
        <f t="shared" si="3"/>
        <v>1</v>
      </c>
      <c r="AB14" s="1573">
        <f t="shared" si="4"/>
        <v>1</v>
      </c>
      <c r="AC14" s="1573">
        <f t="shared" si="5"/>
        <v>1</v>
      </c>
    </row>
    <row r="15" spans="1:29" ht="15">
      <c r="A15" s="513"/>
      <c r="B15" s="921"/>
      <c r="C15" s="573"/>
      <c r="D15" s="552"/>
      <c r="E15" s="573"/>
      <c r="F15" s="554"/>
      <c r="G15" s="573"/>
      <c r="H15" s="556"/>
      <c r="I15" s="573"/>
      <c r="J15" s="552"/>
      <c r="K15" s="896"/>
      <c r="L15" s="2139"/>
      <c r="M15" s="2131"/>
      <c r="N15" s="2131"/>
      <c r="O15" s="2138"/>
      <c r="P15" s="3456"/>
      <c r="Q15" s="1569"/>
      <c r="R15" s="1570"/>
      <c r="S15" s="1571"/>
      <c r="T15" s="1570"/>
      <c r="U15" s="1571"/>
      <c r="V15" s="1570"/>
      <c r="W15" s="1571"/>
      <c r="X15" s="1564"/>
      <c r="Y15" s="3456"/>
      <c r="Z15" s="1572"/>
      <c r="AA15" s="1573">
        <v>1</v>
      </c>
      <c r="AB15" s="1573">
        <v>1</v>
      </c>
      <c r="AC15" s="1573">
        <v>1</v>
      </c>
    </row>
    <row r="16" spans="1:29" ht="42.75">
      <c r="A16" s="513"/>
      <c r="B16" s="2623"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456"/>
      <c r="Q16" s="1569" t="str">
        <f>B16</f>
        <v>公共配套设施</v>
      </c>
      <c r="R16" s="1570" t="s">
        <v>8</v>
      </c>
      <c r="S16" s="1571">
        <f>F16</f>
        <v>100</v>
      </c>
      <c r="T16" s="1570" t="s">
        <v>8</v>
      </c>
      <c r="U16" s="1571">
        <f>H16</f>
        <v>100</v>
      </c>
      <c r="V16" s="1570" t="s">
        <v>8</v>
      </c>
      <c r="W16" s="1571">
        <f>J16</f>
        <v>100</v>
      </c>
      <c r="X16" s="1564"/>
      <c r="Y16" s="3456"/>
      <c r="Z16" s="1572" t="str">
        <f>Q16</f>
        <v>公共配套设施</v>
      </c>
      <c r="AA16" s="1573">
        <f t="shared" si="3"/>
        <v>1</v>
      </c>
      <c r="AB16" s="1573">
        <f t="shared" si="4"/>
        <v>1</v>
      </c>
      <c r="AC16" s="1573">
        <f t="shared" si="5"/>
        <v>1</v>
      </c>
    </row>
    <row r="17" spans="1:29" ht="15">
      <c r="A17" s="513"/>
      <c r="B17" s="563"/>
      <c r="C17" s="870"/>
      <c r="D17" s="552"/>
      <c r="E17" s="573"/>
      <c r="F17" s="554"/>
      <c r="G17" s="573"/>
      <c r="H17" s="552"/>
      <c r="I17" s="573"/>
      <c r="J17" s="552"/>
      <c r="K17" s="896"/>
      <c r="L17" s="2139"/>
      <c r="M17" s="2131"/>
      <c r="N17" s="2131"/>
      <c r="O17" s="2138"/>
      <c r="P17" s="3456"/>
      <c r="Q17" s="1569"/>
      <c r="R17" s="1570"/>
      <c r="S17" s="1571"/>
      <c r="T17" s="1570"/>
      <c r="U17" s="1571"/>
      <c r="V17" s="1570"/>
      <c r="W17" s="1571"/>
      <c r="X17" s="1564"/>
      <c r="Y17" s="3456"/>
      <c r="Z17" s="1572"/>
      <c r="AA17" s="1573">
        <v>1</v>
      </c>
      <c r="AB17" s="1573">
        <v>1</v>
      </c>
      <c r="AC17" s="1573">
        <v>1</v>
      </c>
    </row>
    <row r="18" spans="1:29" ht="28.5">
      <c r="A18" s="513"/>
      <c r="B18" s="2611"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456"/>
      <c r="Q18" s="2599" t="str">
        <f>B18</f>
        <v>基础设施水平</v>
      </c>
      <c r="R18" s="1570" t="s">
        <v>8</v>
      </c>
      <c r="S18" s="1571">
        <f>F18</f>
        <v>100</v>
      </c>
      <c r="T18" s="1570" t="s">
        <v>8</v>
      </c>
      <c r="U18" s="1571">
        <f>H18</f>
        <v>100</v>
      </c>
      <c r="V18" s="1570" t="s">
        <v>8</v>
      </c>
      <c r="W18" s="1571">
        <f>J18</f>
        <v>100</v>
      </c>
      <c r="X18" s="2601"/>
      <c r="Y18" s="3456"/>
      <c r="Z18" s="2600" t="str">
        <f>Q18</f>
        <v>基础设施水平</v>
      </c>
      <c r="AA18" s="1573">
        <f t="shared" ref="AA18" si="8">D18/F18</f>
        <v>1</v>
      </c>
      <c r="AB18" s="1573">
        <f t="shared" ref="AB18" si="9">D18/H18</f>
        <v>1</v>
      </c>
      <c r="AC18" s="1573">
        <f t="shared" ref="AC18" si="10">D18/J18</f>
        <v>1</v>
      </c>
    </row>
    <row r="19" spans="1:29" ht="15">
      <c r="A19" s="513"/>
      <c r="B19" s="575"/>
      <c r="C19" s="870"/>
      <c r="D19" s="556"/>
      <c r="E19" s="573"/>
      <c r="F19" s="554"/>
      <c r="G19" s="573"/>
      <c r="H19" s="552"/>
      <c r="I19" s="573"/>
      <c r="J19" s="552"/>
      <c r="K19" s="2622"/>
      <c r="L19" s="2139"/>
      <c r="M19" s="2131"/>
      <c r="N19" s="2131"/>
      <c r="O19" s="2138"/>
      <c r="P19" s="3456"/>
      <c r="Q19" s="2599"/>
      <c r="R19" s="1570"/>
      <c r="S19" s="1571"/>
      <c r="T19" s="1570"/>
      <c r="U19" s="1571"/>
      <c r="V19" s="1570"/>
      <c r="W19" s="1571"/>
      <c r="X19" s="2601"/>
      <c r="Y19" s="3456"/>
      <c r="Z19" s="2600"/>
      <c r="AA19" s="1573">
        <v>1</v>
      </c>
      <c r="AB19" s="1573">
        <v>1</v>
      </c>
      <c r="AC19" s="1573">
        <v>1</v>
      </c>
    </row>
    <row r="20" spans="1:29" ht="57">
      <c r="A20" s="513"/>
      <c r="B20" s="557" t="s">
        <v>802</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456"/>
      <c r="Q20" s="1569" t="str">
        <f>B20</f>
        <v>自然及人文环境</v>
      </c>
      <c r="R20" s="1570" t="s">
        <v>8</v>
      </c>
      <c r="S20" s="1571">
        <f>F20</f>
        <v>100</v>
      </c>
      <c r="T20" s="1570" t="s">
        <v>8</v>
      </c>
      <c r="U20" s="1571">
        <f>H20</f>
        <v>100</v>
      </c>
      <c r="V20" s="1570" t="s">
        <v>8</v>
      </c>
      <c r="W20" s="1571">
        <f>J20</f>
        <v>100</v>
      </c>
      <c r="X20" s="1564"/>
      <c r="Y20" s="3456"/>
      <c r="Z20" s="1572" t="str">
        <f>Q20</f>
        <v>自然及人文环境</v>
      </c>
      <c r="AA20" s="1573">
        <f t="shared" si="3"/>
        <v>1</v>
      </c>
      <c r="AB20" s="1573">
        <f t="shared" si="4"/>
        <v>1</v>
      </c>
      <c r="AC20" s="1573">
        <f t="shared" si="5"/>
        <v>1</v>
      </c>
    </row>
    <row r="21" spans="1:29" ht="15">
      <c r="A21" s="513"/>
      <c r="B21" s="563"/>
      <c r="C21" s="573"/>
      <c r="D21" s="552"/>
      <c r="E21" s="573"/>
      <c r="F21" s="554"/>
      <c r="G21" s="573"/>
      <c r="H21" s="552"/>
      <c r="I21" s="573"/>
      <c r="J21" s="552"/>
      <c r="K21" s="896"/>
      <c r="L21" s="2139"/>
      <c r="M21" s="2131"/>
      <c r="N21" s="2131"/>
      <c r="O21" s="2138"/>
      <c r="P21" s="3456"/>
      <c r="Q21" s="1569"/>
      <c r="R21" s="1570"/>
      <c r="S21" s="1571"/>
      <c r="T21" s="1570"/>
      <c r="U21" s="1571"/>
      <c r="V21" s="1570"/>
      <c r="W21" s="1571"/>
      <c r="X21" s="1564"/>
      <c r="Y21" s="3456"/>
      <c r="Z21" s="1572"/>
      <c r="AA21" s="1573">
        <v>1</v>
      </c>
      <c r="AB21" s="1573">
        <v>1</v>
      </c>
      <c r="AC21" s="1573">
        <v>1</v>
      </c>
    </row>
    <row r="22" spans="1:29" ht="15">
      <c r="A22" s="513"/>
      <c r="B22" s="557" t="s">
        <v>803</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456"/>
      <c r="Q22" s="1569" t="str">
        <f>B22</f>
        <v>楼层</v>
      </c>
      <c r="R22" s="1570" t="s">
        <v>8</v>
      </c>
      <c r="S22" s="1571">
        <f>F22</f>
        <v>100</v>
      </c>
      <c r="T22" s="1570" t="s">
        <v>8</v>
      </c>
      <c r="U22" s="1571">
        <f>H22</f>
        <v>100</v>
      </c>
      <c r="V22" s="1570" t="s">
        <v>8</v>
      </c>
      <c r="W22" s="1571">
        <f>J22</f>
        <v>100</v>
      </c>
      <c r="X22" s="1564"/>
      <c r="Y22" s="3456"/>
      <c r="Z22" s="1572" t="str">
        <f>Q22</f>
        <v>楼层</v>
      </c>
      <c r="AA22" s="1573">
        <f t="shared" si="3"/>
        <v>1</v>
      </c>
      <c r="AB22" s="1573">
        <f t="shared" si="4"/>
        <v>1</v>
      </c>
      <c r="AC22" s="1573">
        <f t="shared" si="5"/>
        <v>1</v>
      </c>
    </row>
    <row r="23" spans="1:29" ht="15">
      <c r="A23" s="513"/>
      <c r="B23" s="922">
        <v>111</v>
      </c>
      <c r="C23" s="526"/>
      <c r="D23" s="537">
        <v>100</v>
      </c>
      <c r="E23" s="526"/>
      <c r="F23" s="572">
        <f>SUMIF(73:73,E23,74:74)-SUMIF(73:73,C23,74:74)+100</f>
        <v>100</v>
      </c>
      <c r="G23" s="526"/>
      <c r="H23" s="537">
        <f>SUMIF(73:73,G23,74:74)-SUMIF(73:73,C23,74:74)+100</f>
        <v>100</v>
      </c>
      <c r="I23" s="526"/>
      <c r="J23" s="537">
        <f>SUMIF(73:73,I23,74:74)-SUMIF(73:73,C23,74:74)+100</f>
        <v>100</v>
      </c>
      <c r="K23" s="578"/>
      <c r="L23" s="2139"/>
      <c r="M23" s="2131"/>
      <c r="N23" s="2131"/>
      <c r="O23" s="2138"/>
      <c r="P23" s="3456"/>
      <c r="Q23" s="1569">
        <f>B23</f>
        <v>111</v>
      </c>
      <c r="R23" s="1570" t="s">
        <v>8</v>
      </c>
      <c r="S23" s="1571">
        <f>F23</f>
        <v>100</v>
      </c>
      <c r="T23" s="1570" t="s">
        <v>8</v>
      </c>
      <c r="U23" s="1571">
        <f>H23</f>
        <v>100</v>
      </c>
      <c r="V23" s="1570" t="s">
        <v>8</v>
      </c>
      <c r="W23" s="1571">
        <f>J23</f>
        <v>100</v>
      </c>
      <c r="X23" s="1564"/>
      <c r="Y23" s="3456"/>
      <c r="Z23" s="1572">
        <f>Q23</f>
        <v>111</v>
      </c>
      <c r="AA23" s="1573">
        <f t="shared" si="3"/>
        <v>1</v>
      </c>
      <c r="AB23" s="1573">
        <f t="shared" si="4"/>
        <v>1</v>
      </c>
      <c r="AC23" s="1573">
        <f t="shared" si="5"/>
        <v>1</v>
      </c>
    </row>
    <row r="24" spans="1:29" ht="15">
      <c r="A24" s="513"/>
      <c r="B24" s="922">
        <v>111</v>
      </c>
      <c r="C24" s="526"/>
      <c r="D24" s="537">
        <v>100</v>
      </c>
      <c r="E24" s="526"/>
      <c r="F24" s="572">
        <f>SUMIF(75:75,E24,76:76)-SUMIF(75:75,C24,76:76)+100</f>
        <v>100</v>
      </c>
      <c r="G24" s="526"/>
      <c r="H24" s="537">
        <f>SUMIF(75:75,G24,76:76)-SUMIF(75:75,C24,76:76)+100</f>
        <v>100</v>
      </c>
      <c r="I24" s="526"/>
      <c r="J24" s="537">
        <f>SUMIF(75:75,I24,76:76)-SUMIF(75:75,C24,76:76)+100</f>
        <v>100</v>
      </c>
      <c r="K24" s="578"/>
      <c r="L24" s="2139"/>
      <c r="M24" s="2131"/>
      <c r="N24" s="2131"/>
      <c r="O24" s="2138"/>
      <c r="P24" s="3456"/>
      <c r="Q24" s="1569">
        <f t="shared" ref="Q24:Q36" si="11">B24</f>
        <v>111</v>
      </c>
      <c r="R24" s="1570" t="s">
        <v>8</v>
      </c>
      <c r="S24" s="1571">
        <f>F24</f>
        <v>100</v>
      </c>
      <c r="T24" s="1570" t="s">
        <v>8</v>
      </c>
      <c r="U24" s="1571">
        <f>H24</f>
        <v>100</v>
      </c>
      <c r="V24" s="1570" t="s">
        <v>8</v>
      </c>
      <c r="W24" s="1571">
        <f>J24</f>
        <v>100</v>
      </c>
      <c r="X24" s="1564"/>
      <c r="Y24" s="3456"/>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456"/>
      <c r="Q25" s="1148">
        <f t="shared" si="11"/>
        <v>111</v>
      </c>
      <c r="R25" s="1565" t="s">
        <v>8</v>
      </c>
      <c r="S25" s="1566">
        <f>F25</f>
        <v>100</v>
      </c>
      <c r="T25" s="1565" t="s">
        <v>8</v>
      </c>
      <c r="U25" s="1566">
        <f>H25</f>
        <v>100</v>
      </c>
      <c r="V25" s="1565" t="s">
        <v>8</v>
      </c>
      <c r="W25" s="1566">
        <f>J25</f>
        <v>100</v>
      </c>
      <c r="X25" s="1567"/>
      <c r="Y25" s="3456"/>
      <c r="Z25" s="1147">
        <f>Q25</f>
        <v>111</v>
      </c>
      <c r="AA25" s="1573">
        <f>D25/F25</f>
        <v>1</v>
      </c>
      <c r="AB25" s="1573">
        <f>D25/H25</f>
        <v>1</v>
      </c>
      <c r="AC25" s="1573">
        <f>D25/J25</f>
        <v>1</v>
      </c>
    </row>
    <row r="26" spans="1:29" ht="15">
      <c r="A26" s="2929" t="s">
        <v>2756</v>
      </c>
      <c r="B26" s="168" t="s">
        <v>804</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457" t="s">
        <v>548</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58" t="s">
        <v>548</v>
      </c>
      <c r="Z26" s="1572" t="str">
        <f t="shared" ref="Z26:Z36" si="15">Q26</f>
        <v>配套类型</v>
      </c>
      <c r="AA26" s="1573">
        <f t="shared" si="3"/>
        <v>1</v>
      </c>
      <c r="AB26" s="1573">
        <f t="shared" si="4"/>
        <v>1</v>
      </c>
      <c r="AC26" s="1573">
        <f t="shared" si="5"/>
        <v>1</v>
      </c>
    </row>
    <row r="27" spans="1:29" s="1336" customFormat="1" ht="15">
      <c r="A27" s="926"/>
      <c r="B27" s="579" t="s">
        <v>805</v>
      </c>
      <c r="C27" s="927"/>
      <c r="D27" s="253">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458"/>
      <c r="Q27" s="1602" t="str">
        <f t="shared" si="11"/>
        <v>项目停车位配比</v>
      </c>
      <c r="R27" s="1574" t="s">
        <v>8</v>
      </c>
      <c r="S27" s="1575">
        <f t="shared" si="12"/>
        <v>100</v>
      </c>
      <c r="T27" s="1574" t="s">
        <v>8</v>
      </c>
      <c r="U27" s="1575">
        <f t="shared" si="13"/>
        <v>100</v>
      </c>
      <c r="V27" s="1574" t="s">
        <v>8</v>
      </c>
      <c r="W27" s="1575">
        <f t="shared" si="14"/>
        <v>100</v>
      </c>
      <c r="X27" s="1576"/>
      <c r="Y27" s="3458"/>
      <c r="Z27" s="1577" t="str">
        <f t="shared" si="15"/>
        <v>项目停车位配比</v>
      </c>
      <c r="AA27" s="1573">
        <f t="shared" si="3"/>
        <v>1</v>
      </c>
      <c r="AB27" s="1573">
        <f t="shared" si="4"/>
        <v>1</v>
      </c>
      <c r="AC27" s="1573">
        <f t="shared" si="5"/>
        <v>1</v>
      </c>
    </row>
    <row r="28" spans="1:29" ht="15">
      <c r="A28" s="928"/>
      <c r="B28" s="579" t="s">
        <v>806</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458"/>
      <c r="Q28" s="1569" t="str">
        <f t="shared" si="11"/>
        <v>公共部分装修</v>
      </c>
      <c r="R28" s="1570" t="s">
        <v>8</v>
      </c>
      <c r="S28" s="1571">
        <f t="shared" si="12"/>
        <v>100</v>
      </c>
      <c r="T28" s="1570" t="s">
        <v>8</v>
      </c>
      <c r="U28" s="1571">
        <f t="shared" si="13"/>
        <v>100</v>
      </c>
      <c r="V28" s="1570" t="s">
        <v>8</v>
      </c>
      <c r="W28" s="1571">
        <f t="shared" si="14"/>
        <v>100</v>
      </c>
      <c r="X28" s="1564"/>
      <c r="Y28" s="3458"/>
      <c r="Z28" s="1572" t="str">
        <f t="shared" si="15"/>
        <v>公共部分装修</v>
      </c>
      <c r="AA28" s="1573">
        <f t="shared" si="3"/>
        <v>1</v>
      </c>
      <c r="AB28" s="1573">
        <f t="shared" si="4"/>
        <v>1</v>
      </c>
      <c r="AC28" s="1573">
        <f t="shared" si="5"/>
        <v>1</v>
      </c>
    </row>
    <row r="29" spans="1:29" ht="15">
      <c r="A29" s="928"/>
      <c r="B29" s="579" t="s">
        <v>807</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458"/>
      <c r="Q29" s="1569" t="str">
        <f t="shared" si="11"/>
        <v>成新率</v>
      </c>
      <c r="R29" s="1570" t="s">
        <v>8</v>
      </c>
      <c r="S29" s="1571" t="e">
        <f t="shared" si="12"/>
        <v>#N/A</v>
      </c>
      <c r="T29" s="1570" t="s">
        <v>8</v>
      </c>
      <c r="U29" s="1571" t="e">
        <f t="shared" si="13"/>
        <v>#N/A</v>
      </c>
      <c r="V29" s="1570" t="s">
        <v>8</v>
      </c>
      <c r="W29" s="1571" t="e">
        <f t="shared" si="14"/>
        <v>#N/A</v>
      </c>
      <c r="X29" s="1564"/>
      <c r="Y29" s="3458"/>
      <c r="Z29" s="1572" t="str">
        <f t="shared" si="15"/>
        <v>成新率</v>
      </c>
      <c r="AA29" s="1573" t="e">
        <f t="shared" si="3"/>
        <v>#N/A</v>
      </c>
      <c r="AB29" s="1573" t="e">
        <f t="shared" si="4"/>
        <v>#N/A</v>
      </c>
      <c r="AC29" s="1573" t="e">
        <f t="shared" si="5"/>
        <v>#N/A</v>
      </c>
    </row>
    <row r="30" spans="1:29" ht="15">
      <c r="A30" s="928"/>
      <c r="B30" s="579" t="s">
        <v>808</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458"/>
      <c r="Q30" s="1569" t="str">
        <f t="shared" si="11"/>
        <v>物业等级</v>
      </c>
      <c r="R30" s="1570" t="s">
        <v>8</v>
      </c>
      <c r="S30" s="1571">
        <f t="shared" si="12"/>
        <v>100</v>
      </c>
      <c r="T30" s="1570" t="s">
        <v>8</v>
      </c>
      <c r="U30" s="1571">
        <f t="shared" si="13"/>
        <v>100</v>
      </c>
      <c r="V30" s="1570" t="s">
        <v>8</v>
      </c>
      <c r="W30" s="1571">
        <f t="shared" si="14"/>
        <v>100</v>
      </c>
      <c r="X30" s="1564"/>
      <c r="Y30" s="3458"/>
      <c r="Z30" s="1572" t="str">
        <f t="shared" si="15"/>
        <v>物业等级</v>
      </c>
      <c r="AA30" s="1573">
        <f t="shared" si="3"/>
        <v>1</v>
      </c>
      <c r="AB30" s="1573">
        <f t="shared" si="4"/>
        <v>1</v>
      </c>
      <c r="AC30" s="1573">
        <f t="shared" si="5"/>
        <v>1</v>
      </c>
    </row>
    <row r="31" spans="1:29" s="1217" customFormat="1" ht="15">
      <c r="A31" s="930"/>
      <c r="B31" s="579" t="s">
        <v>809</v>
      </c>
      <c r="C31" s="877"/>
      <c r="D31" s="253">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458"/>
      <c r="Q31" s="1148" t="str">
        <f t="shared" si="11"/>
        <v>停车位面积</v>
      </c>
      <c r="R31" s="1565" t="s">
        <v>8</v>
      </c>
      <c r="S31" s="1566" t="e">
        <f t="shared" si="12"/>
        <v>#N/A</v>
      </c>
      <c r="T31" s="1565" t="s">
        <v>8</v>
      </c>
      <c r="U31" s="1566" t="e">
        <f t="shared" si="13"/>
        <v>#N/A</v>
      </c>
      <c r="V31" s="1565" t="s">
        <v>8</v>
      </c>
      <c r="W31" s="1566" t="e">
        <f t="shared" si="14"/>
        <v>#N/A</v>
      </c>
      <c r="X31" s="1567"/>
      <c r="Y31" s="3458"/>
      <c r="Z31" s="1147" t="str">
        <f t="shared" si="15"/>
        <v>停车位面积</v>
      </c>
      <c r="AA31" s="1568" t="e">
        <f t="shared" si="3"/>
        <v>#N/A</v>
      </c>
      <c r="AB31" s="1568" t="e">
        <f t="shared" si="4"/>
        <v>#N/A</v>
      </c>
      <c r="AC31" s="1568" t="e">
        <f t="shared" si="5"/>
        <v>#N/A</v>
      </c>
    </row>
    <row r="32" spans="1:29" ht="15">
      <c r="A32" s="928"/>
      <c r="B32" s="579" t="s">
        <v>810</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458" t="s">
        <v>548</v>
      </c>
      <c r="Q32" s="1569" t="str">
        <f t="shared" si="11"/>
        <v>车位类型</v>
      </c>
      <c r="R32" s="1570" t="s">
        <v>8</v>
      </c>
      <c r="S32" s="1571">
        <f t="shared" si="12"/>
        <v>100</v>
      </c>
      <c r="T32" s="1570" t="s">
        <v>8</v>
      </c>
      <c r="U32" s="1571">
        <f t="shared" si="13"/>
        <v>100</v>
      </c>
      <c r="V32" s="1570" t="s">
        <v>8</v>
      </c>
      <c r="W32" s="1571">
        <f t="shared" si="14"/>
        <v>100</v>
      </c>
      <c r="X32" s="1564"/>
      <c r="Y32" s="3458" t="s">
        <v>548</v>
      </c>
      <c r="Z32" s="1572" t="str">
        <f t="shared" si="15"/>
        <v>车位类型</v>
      </c>
      <c r="AA32" s="1573">
        <f t="shared" si="3"/>
        <v>1</v>
      </c>
      <c r="AB32" s="1573">
        <f t="shared" si="4"/>
        <v>1</v>
      </c>
      <c r="AC32" s="1573">
        <f t="shared" si="5"/>
        <v>1</v>
      </c>
    </row>
    <row r="33" spans="1:29" ht="15">
      <c r="A33" s="928"/>
      <c r="B33" s="579" t="s">
        <v>811</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458"/>
      <c r="Q33" s="1569" t="str">
        <f t="shared" si="11"/>
        <v>是否直接入户</v>
      </c>
      <c r="R33" s="1570" t="s">
        <v>8</v>
      </c>
      <c r="S33" s="1571">
        <f t="shared" si="12"/>
        <v>100</v>
      </c>
      <c r="T33" s="1570" t="s">
        <v>8</v>
      </c>
      <c r="U33" s="1571">
        <f t="shared" si="13"/>
        <v>100</v>
      </c>
      <c r="V33" s="1570" t="s">
        <v>8</v>
      </c>
      <c r="W33" s="1571">
        <f t="shared" si="14"/>
        <v>100</v>
      </c>
      <c r="X33" s="1564"/>
      <c r="Y33" s="3458"/>
      <c r="Z33" s="1572" t="str">
        <f t="shared" si="15"/>
        <v>是否直接入户</v>
      </c>
      <c r="AA33" s="1573">
        <f t="shared" si="3"/>
        <v>1</v>
      </c>
      <c r="AB33" s="1573">
        <f t="shared" si="4"/>
        <v>1</v>
      </c>
      <c r="AC33" s="1573">
        <f t="shared" si="5"/>
        <v>1</v>
      </c>
    </row>
    <row r="34" spans="1:29" ht="15">
      <c r="A34" s="928"/>
      <c r="B34" s="922">
        <v>111</v>
      </c>
      <c r="C34" s="526"/>
      <c r="D34" s="537">
        <v>100</v>
      </c>
      <c r="E34" s="526"/>
      <c r="F34" s="572">
        <f>SUMIF(97:97,E34,98:98)-SUMIF(97:97,C34,98:98)+100</f>
        <v>100</v>
      </c>
      <c r="G34" s="526"/>
      <c r="H34" s="537">
        <f>SUMIF(97:97,G34,98:98)-SUMIF(97:97,C34,98:98)+100</f>
        <v>100</v>
      </c>
      <c r="I34" s="526"/>
      <c r="J34" s="537">
        <f>SUMIF(97:97,I34,98:98)-SUMIF(97:97,C34,98:98)+100</f>
        <v>100</v>
      </c>
      <c r="K34" s="578"/>
      <c r="L34" s="2139"/>
      <c r="M34" s="2131"/>
      <c r="N34" s="2131"/>
      <c r="O34" s="2138"/>
      <c r="P34" s="3458"/>
      <c r="Q34" s="1569">
        <f t="shared" si="11"/>
        <v>111</v>
      </c>
      <c r="R34" s="1570" t="s">
        <v>8</v>
      </c>
      <c r="S34" s="1571">
        <f t="shared" si="12"/>
        <v>100</v>
      </c>
      <c r="T34" s="1570" t="s">
        <v>8</v>
      </c>
      <c r="U34" s="1571">
        <f t="shared" si="13"/>
        <v>100</v>
      </c>
      <c r="V34" s="1570" t="s">
        <v>8</v>
      </c>
      <c r="W34" s="1571">
        <f t="shared" si="14"/>
        <v>100</v>
      </c>
      <c r="X34" s="1564"/>
      <c r="Y34" s="3458"/>
      <c r="Z34" s="1572">
        <f t="shared" si="15"/>
        <v>111</v>
      </c>
      <c r="AA34" s="1573">
        <f t="shared" si="3"/>
        <v>1</v>
      </c>
      <c r="AB34" s="1573">
        <f t="shared" si="4"/>
        <v>1</v>
      </c>
      <c r="AC34" s="1573">
        <f t="shared" si="5"/>
        <v>1</v>
      </c>
    </row>
    <row r="35" spans="1:29" s="1336" customFormat="1" ht="15">
      <c r="A35" s="926"/>
      <c r="B35" s="922">
        <v>111</v>
      </c>
      <c r="C35" s="526"/>
      <c r="D35" s="537">
        <v>100</v>
      </c>
      <c r="E35" s="526"/>
      <c r="F35" s="572">
        <f>SUMIF(99:99,E35,100:100)-SUMIF(99:99,C35,100:100)+100</f>
        <v>100</v>
      </c>
      <c r="G35" s="526"/>
      <c r="H35" s="537">
        <f>SUMIF(99:99,G35,100:100)-SUMIF(99:99,C35,100:100)+100</f>
        <v>100</v>
      </c>
      <c r="I35" s="526"/>
      <c r="J35" s="537">
        <f>SUMIF(99:99,I35,100:100)-SUMIF(99:99,C35,100:100)+100</f>
        <v>100</v>
      </c>
      <c r="K35" s="578"/>
      <c r="L35" s="2137"/>
      <c r="M35" s="2168"/>
      <c r="N35" s="2168"/>
      <c r="O35" s="2140"/>
      <c r="P35" s="3458"/>
      <c r="Q35" s="1602">
        <f t="shared" si="11"/>
        <v>111</v>
      </c>
      <c r="R35" s="1574" t="s">
        <v>8</v>
      </c>
      <c r="S35" s="1575">
        <f t="shared" si="12"/>
        <v>100</v>
      </c>
      <c r="T35" s="1574" t="s">
        <v>8</v>
      </c>
      <c r="U35" s="1575">
        <f t="shared" si="13"/>
        <v>100</v>
      </c>
      <c r="V35" s="1574" t="s">
        <v>8</v>
      </c>
      <c r="W35" s="1575">
        <f t="shared" si="14"/>
        <v>100</v>
      </c>
      <c r="X35" s="1576"/>
      <c r="Y35" s="3458"/>
      <c r="Z35" s="1577">
        <f t="shared" si="15"/>
        <v>111</v>
      </c>
      <c r="AA35" s="1573">
        <f t="shared" si="3"/>
        <v>1</v>
      </c>
      <c r="AB35" s="1573">
        <f t="shared" si="4"/>
        <v>1</v>
      </c>
      <c r="AC35" s="1573">
        <f t="shared" si="5"/>
        <v>1</v>
      </c>
    </row>
    <row r="36" spans="1:29" ht="15.75" thickBot="1">
      <c r="A36" s="931"/>
      <c r="B36" s="911">
        <v>111</v>
      </c>
      <c r="C36" s="536"/>
      <c r="D36" s="537">
        <v>100</v>
      </c>
      <c r="E36" s="526"/>
      <c r="F36" s="572">
        <f>SUMIF(101:101,E36,102:102)-SUMIF(101:101,C36,102:102)+100</f>
        <v>100</v>
      </c>
      <c r="G36" s="526"/>
      <c r="H36" s="537">
        <f>SUMIF(101:101,G36,102:102)-SUMIF(101:101,C36,102:102)+100</f>
        <v>100</v>
      </c>
      <c r="I36" s="526"/>
      <c r="J36" s="537">
        <f>SUMIF(101:101,I36,102:102)-SUMIF(101:101,C36,102:102)+100</f>
        <v>100</v>
      </c>
      <c r="K36" s="578"/>
      <c r="L36" s="2139"/>
      <c r="M36" s="2131"/>
      <c r="N36" s="2131"/>
      <c r="O36" s="2138"/>
      <c r="P36" s="3458"/>
      <c r="Q36" s="1569">
        <f t="shared" si="11"/>
        <v>111</v>
      </c>
      <c r="R36" s="1570" t="s">
        <v>8</v>
      </c>
      <c r="S36" s="1571">
        <f t="shared" si="12"/>
        <v>100</v>
      </c>
      <c r="T36" s="1570" t="s">
        <v>8</v>
      </c>
      <c r="U36" s="1571">
        <f t="shared" si="13"/>
        <v>100</v>
      </c>
      <c r="V36" s="1570" t="s">
        <v>8</v>
      </c>
      <c r="W36" s="1571">
        <f t="shared" si="14"/>
        <v>100</v>
      </c>
      <c r="X36" s="1564"/>
      <c r="Y36" s="3458"/>
      <c r="Z36" s="1572">
        <f t="shared" si="15"/>
        <v>111</v>
      </c>
      <c r="AA36" s="1573">
        <f t="shared" si="3"/>
        <v>1</v>
      </c>
      <c r="AB36" s="1573">
        <f t="shared" si="4"/>
        <v>1</v>
      </c>
      <c r="AC36" s="1573">
        <f t="shared" si="5"/>
        <v>1</v>
      </c>
    </row>
    <row r="37" spans="1:29" ht="15">
      <c r="A37" s="1843" t="s">
        <v>2075</v>
      </c>
      <c r="B37" s="1844" t="s">
        <v>2076</v>
      </c>
      <c r="C37" s="2647" t="s">
        <v>1</v>
      </c>
      <c r="D37" s="2648"/>
      <c r="E37" s="2649"/>
      <c r="F37" s="2650"/>
      <c r="G37" s="2651"/>
      <c r="H37" s="2652"/>
      <c r="I37" s="2649"/>
      <c r="J37" s="2652"/>
      <c r="K37" s="1608"/>
      <c r="L37" s="2141"/>
      <c r="M37" s="2142"/>
      <c r="N37" s="2131"/>
      <c r="O37" s="2142"/>
      <c r="P37" s="3421" t="str">
        <f>A37</f>
        <v>成交单价</v>
      </c>
      <c r="Q37" s="3421"/>
      <c r="R37" s="3511">
        <f>E37</f>
        <v>0</v>
      </c>
      <c r="S37" s="3511"/>
      <c r="T37" s="3511">
        <f>G37</f>
        <v>0</v>
      </c>
      <c r="U37" s="3511"/>
      <c r="V37" s="3511">
        <f>I37</f>
        <v>0</v>
      </c>
      <c r="W37" s="3511"/>
      <c r="X37" s="1556"/>
      <c r="Y37" s="1578"/>
      <c r="Z37" s="1556"/>
      <c r="AA37" s="1556"/>
      <c r="AB37" s="1556"/>
      <c r="AC37" s="1556"/>
    </row>
    <row r="38" spans="1:29" ht="15.75" thickBot="1">
      <c r="A38" s="612" t="s">
        <v>2761</v>
      </c>
      <c r="B38" s="885"/>
      <c r="C38" s="2653" t="e">
        <f>R39</f>
        <v>#DIV/0!</v>
      </c>
      <c r="D38" s="2654"/>
      <c r="E38" s="2655" t="e">
        <f>R38</f>
        <v>#DIV/0!</v>
      </c>
      <c r="F38" s="2655"/>
      <c r="G38" s="2653" t="e">
        <f>T38</f>
        <v>#DIV/0!</v>
      </c>
      <c r="H38" s="2654"/>
      <c r="I38" s="2655" t="e">
        <f>V38</f>
        <v>#DIV/0!</v>
      </c>
      <c r="J38" s="2654"/>
      <c r="K38" s="1609"/>
      <c r="L38" s="2141"/>
      <c r="M38" s="2142"/>
      <c r="N38" s="2142"/>
      <c r="O38" s="2142"/>
      <c r="P38" s="3421" t="str">
        <f>A38</f>
        <v>比较价格（元/平方米）</v>
      </c>
      <c r="Q38" s="3421"/>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556"/>
      <c r="Y38" s="1556"/>
      <c r="Z38" s="1556"/>
      <c r="AA38" s="1556"/>
      <c r="AB38" s="1556"/>
      <c r="AC38" s="1556"/>
    </row>
    <row r="39" spans="1:29" ht="15.75" thickBot="1">
      <c r="A39" s="618" t="s">
        <v>2937</v>
      </c>
      <c r="B39" s="619"/>
      <c r="C39" s="2656" t="e">
        <f>R39</f>
        <v>#DIV/0!</v>
      </c>
      <c r="D39" s="2656"/>
      <c r="E39" s="2656"/>
      <c r="F39" s="2656"/>
      <c r="G39" s="2656"/>
      <c r="H39" s="2656"/>
      <c r="I39" s="2656"/>
      <c r="J39" s="2656"/>
      <c r="K39" s="1610"/>
      <c r="L39" s="2141"/>
      <c r="M39" s="2142"/>
      <c r="N39" s="2142"/>
      <c r="O39" s="2142"/>
      <c r="P39" s="3418" t="str">
        <f>A39</f>
        <v>估价对象XX用房的比较价格（楼面单价，元/平方米）</v>
      </c>
      <c r="Q39" s="3419"/>
      <c r="R39" s="3510" t="e">
        <f>IF(F1="售价",ROUND(AVERAGE(R38:V38),0),ROUND(AVERAGE(R38:V38),1))</f>
        <v>#DIV/0!</v>
      </c>
      <c r="S39" s="3510"/>
      <c r="T39" s="3510"/>
      <c r="U39" s="3510"/>
      <c r="V39" s="3510"/>
      <c r="W39" s="3510"/>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555</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556</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557</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572</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527</v>
      </c>
      <c r="B48" s="643"/>
      <c r="C48" s="2824" t="str">
        <f>YEAR(C7)&amp;"-"&amp;MONTH(C7)</f>
        <v>2018-1</v>
      </c>
      <c r="D48" s="2826">
        <f>EDATE(C48,-1)</f>
        <v>43070</v>
      </c>
      <c r="E48" s="2826">
        <f t="shared" ref="E48:O48" si="16">EDATE(D48,-1)</f>
        <v>43040</v>
      </c>
      <c r="F48" s="2826">
        <f t="shared" si="16"/>
        <v>43009</v>
      </c>
      <c r="G48" s="2826">
        <f t="shared" si="16"/>
        <v>42979</v>
      </c>
      <c r="H48" s="2826">
        <f t="shared" si="16"/>
        <v>42948</v>
      </c>
      <c r="I48" s="2826">
        <f t="shared" si="16"/>
        <v>42917</v>
      </c>
      <c r="J48" s="2826">
        <f t="shared" si="16"/>
        <v>42887</v>
      </c>
      <c r="K48" s="2826">
        <f t="shared" si="16"/>
        <v>42856</v>
      </c>
      <c r="L48" s="2826">
        <f t="shared" si="16"/>
        <v>42826</v>
      </c>
      <c r="M48" s="2826">
        <f t="shared" si="16"/>
        <v>42795</v>
      </c>
      <c r="N48" s="2826">
        <f t="shared" si="16"/>
        <v>42767</v>
      </c>
      <c r="O48" s="2826">
        <f t="shared" si="16"/>
        <v>42736</v>
      </c>
      <c r="P48" s="2157"/>
      <c r="Q48" s="2158"/>
      <c r="R48" s="2158"/>
      <c r="S48" s="2158"/>
      <c r="T48" s="2158"/>
      <c r="U48" s="2158"/>
      <c r="V48" s="2158"/>
      <c r="W48" s="2158"/>
      <c r="X48" s="2158"/>
      <c r="Y48" s="2158"/>
      <c r="Z48" s="2158"/>
      <c r="AA48" s="2158"/>
      <c r="AB48" s="2158"/>
      <c r="AC48" s="2158"/>
    </row>
    <row r="49" spans="1:29" s="1217" customFormat="1" ht="15">
      <c r="A49" s="644"/>
      <c r="B49" s="645"/>
      <c r="C49" s="2825">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573</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529</v>
      </c>
      <c r="B51" s="645"/>
      <c r="C51" s="657" t="s">
        <v>574</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575</v>
      </c>
      <c r="B53" s="662" t="s">
        <v>532</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535</v>
      </c>
      <c r="C55" s="671" t="s">
        <v>735</v>
      </c>
      <c r="D55" s="671" t="s">
        <v>736</v>
      </c>
      <c r="E55" s="671" t="s">
        <v>737</v>
      </c>
      <c r="F55" s="671" t="s">
        <v>738</v>
      </c>
      <c r="G55" s="671" t="s">
        <v>739</v>
      </c>
      <c r="H55" s="671" t="s">
        <v>740</v>
      </c>
      <c r="I55" s="671" t="s">
        <v>741</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537</v>
      </c>
      <c r="B63" s="662" t="s">
        <v>584</v>
      </c>
      <c r="C63" s="700" t="s">
        <v>577</v>
      </c>
      <c r="D63" s="700" t="s">
        <v>578</v>
      </c>
      <c r="E63" s="700" t="s">
        <v>579</v>
      </c>
      <c r="F63" s="700" t="s">
        <v>580</v>
      </c>
      <c r="G63" s="700" t="s">
        <v>581</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2556</v>
      </c>
      <c r="C65" s="705" t="s">
        <v>577</v>
      </c>
      <c r="D65" s="705" t="s">
        <v>578</v>
      </c>
      <c r="E65" s="705" t="s">
        <v>579</v>
      </c>
      <c r="F65" s="705" t="s">
        <v>580</v>
      </c>
      <c r="G65" s="705" t="s">
        <v>581</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617" t="s">
        <v>2557</v>
      </c>
      <c r="C67" s="2618" t="s">
        <v>2558</v>
      </c>
      <c r="D67" s="2618" t="s">
        <v>2559</v>
      </c>
      <c r="E67" s="2618" t="s">
        <v>2560</v>
      </c>
      <c r="F67" s="2618" t="s">
        <v>2561</v>
      </c>
      <c r="G67" s="2618" t="s">
        <v>2562</v>
      </c>
      <c r="H67" s="671"/>
      <c r="I67" s="671"/>
      <c r="J67" s="671"/>
      <c r="K67" s="671"/>
      <c r="L67" s="671"/>
      <c r="M67" s="2621"/>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742</v>
      </c>
      <c r="C69" s="705" t="s">
        <v>577</v>
      </c>
      <c r="D69" s="705" t="s">
        <v>578</v>
      </c>
      <c r="E69" s="705" t="s">
        <v>579</v>
      </c>
      <c r="F69" s="705" t="s">
        <v>580</v>
      </c>
      <c r="G69" s="705" t="s">
        <v>581</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743</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549</v>
      </c>
      <c r="B79" s="662" t="s">
        <v>812</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813</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749</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814</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815</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816</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817</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818</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29"/>
      <c r="G1" s="1598" t="s">
        <v>791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792</v>
      </c>
      <c r="B2" s="847"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thickBot="1">
      <c r="A3" s="507" t="s">
        <v>793</v>
      </c>
      <c r="B3" s="508" t="e">
        <f>C37</f>
        <v>#DIV/0!</v>
      </c>
      <c r="C3" s="849" t="s">
        <v>794</v>
      </c>
      <c r="D3" s="848">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795</v>
      </c>
      <c r="B4" s="511"/>
      <c r="C4" s="3427" t="s">
        <v>796</v>
      </c>
      <c r="D4" s="3428"/>
      <c r="E4" s="3461" t="s">
        <v>797</v>
      </c>
      <c r="F4" s="3462"/>
      <c r="G4" s="3427" t="s">
        <v>798</v>
      </c>
      <c r="H4" s="3428"/>
      <c r="I4" s="3427" t="s">
        <v>799</v>
      </c>
      <c r="J4" s="3428"/>
      <c r="K4" s="512" t="s">
        <v>800</v>
      </c>
      <c r="L4" s="2130"/>
      <c r="M4" s="2131"/>
      <c r="N4" s="2131"/>
      <c r="O4" s="2131"/>
      <c r="P4" s="3429" t="s">
        <v>801</v>
      </c>
      <c r="Q4" s="3430"/>
      <c r="R4" s="3435" t="s">
        <v>797</v>
      </c>
      <c r="S4" s="3436"/>
      <c r="T4" s="3435" t="s">
        <v>798</v>
      </c>
      <c r="U4" s="3436"/>
      <c r="V4" s="3422" t="s">
        <v>799</v>
      </c>
      <c r="W4" s="3422"/>
      <c r="X4" s="1564"/>
      <c r="Y4" s="3435" t="s">
        <v>801</v>
      </c>
      <c r="Z4" s="3436"/>
      <c r="AA4" s="3424" t="s">
        <v>797</v>
      </c>
      <c r="AB4" s="3425" t="s">
        <v>798</v>
      </c>
      <c r="AC4" s="3424" t="s">
        <v>799</v>
      </c>
    </row>
    <row r="5" spans="1:29" ht="15">
      <c r="A5" s="513"/>
      <c r="B5" s="514"/>
      <c r="C5" s="3443" t="s">
        <v>2931</v>
      </c>
      <c r="D5" s="3444"/>
      <c r="E5" s="3463" t="s">
        <v>2932</v>
      </c>
      <c r="F5" s="3464"/>
      <c r="G5" s="3443" t="s">
        <v>2933</v>
      </c>
      <c r="H5" s="3444"/>
      <c r="I5" s="3443" t="s">
        <v>2934</v>
      </c>
      <c r="J5" s="3444"/>
      <c r="K5" s="512"/>
      <c r="L5" s="2130"/>
      <c r="M5" s="2131"/>
      <c r="N5" s="2131"/>
      <c r="O5" s="2131"/>
      <c r="P5" s="3431"/>
      <c r="Q5" s="3432"/>
      <c r="R5" s="3437"/>
      <c r="S5" s="3438"/>
      <c r="T5" s="3437"/>
      <c r="U5" s="3438"/>
      <c r="V5" s="3422"/>
      <c r="W5" s="3422"/>
      <c r="X5" s="1564"/>
      <c r="Y5" s="3437"/>
      <c r="Z5" s="3438"/>
      <c r="AA5" s="3425"/>
      <c r="AB5" s="3425"/>
      <c r="AC5" s="3425"/>
    </row>
    <row r="6" spans="1:29" ht="15.75" thickBot="1">
      <c r="A6" s="515"/>
      <c r="B6" s="516"/>
      <c r="C6" s="3441" t="s">
        <v>2935</v>
      </c>
      <c r="D6" s="3442"/>
      <c r="E6" s="3459" t="s">
        <v>2935</v>
      </c>
      <c r="F6" s="3460"/>
      <c r="G6" s="3441" t="s">
        <v>2935</v>
      </c>
      <c r="H6" s="3442"/>
      <c r="I6" s="3441" t="s">
        <v>2935</v>
      </c>
      <c r="J6" s="3442"/>
      <c r="K6" s="512" t="s">
        <v>526</v>
      </c>
      <c r="L6" s="2130"/>
      <c r="M6" s="2131"/>
      <c r="N6" s="2131"/>
      <c r="O6" s="2131"/>
      <c r="P6" s="3433"/>
      <c r="Q6" s="3434"/>
      <c r="R6" s="3437"/>
      <c r="S6" s="3438"/>
      <c r="T6" s="3439"/>
      <c r="U6" s="3440"/>
      <c r="V6" s="3422"/>
      <c r="W6" s="3422"/>
      <c r="X6" s="1564"/>
      <c r="Y6" s="3439"/>
      <c r="Z6" s="3440"/>
      <c r="AA6" s="3426"/>
      <c r="AB6" s="3426"/>
      <c r="AC6" s="3426"/>
    </row>
    <row r="7" spans="1:29" s="1217" customFormat="1" ht="15.75" thickBot="1">
      <c r="A7" s="2934"/>
      <c r="B7" s="2941" t="s">
        <v>527</v>
      </c>
      <c r="C7" s="517">
        <f>'数据-取费表'!B2</f>
        <v>43109</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52" t="s">
        <v>528</v>
      </c>
      <c r="Q7" s="3454"/>
      <c r="R7" s="1565" t="s">
        <v>8</v>
      </c>
      <c r="S7" s="1566">
        <f t="shared" ref="S7:S14" si="0">F7</f>
        <v>0</v>
      </c>
      <c r="T7" s="1565" t="s">
        <v>8</v>
      </c>
      <c r="U7" s="1566">
        <f t="shared" ref="U7:U14" si="1">H7</f>
        <v>0</v>
      </c>
      <c r="V7" s="1565" t="s">
        <v>8</v>
      </c>
      <c r="W7" s="1566">
        <f t="shared" ref="W7:W14" si="2">J7</f>
        <v>0</v>
      </c>
      <c r="X7" s="1567"/>
      <c r="Y7" s="3452" t="s">
        <v>528</v>
      </c>
      <c r="Z7" s="3453"/>
      <c r="AA7" s="1568" t="e">
        <f>D7/F7</f>
        <v>#DIV/0!</v>
      </c>
      <c r="AB7" s="1568" t="e">
        <f>D7/H7</f>
        <v>#DIV/0!</v>
      </c>
      <c r="AC7" s="1568" t="e">
        <f>D7/J7</f>
        <v>#DIV/0!</v>
      </c>
    </row>
    <row r="8" spans="1:29" s="1217" customFormat="1" ht="15.75" thickBot="1">
      <c r="A8" s="2935"/>
      <c r="B8" s="2942" t="s">
        <v>529</v>
      </c>
      <c r="C8" s="523" t="s">
        <v>574</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52" t="s">
        <v>531</v>
      </c>
      <c r="Q8" s="3453"/>
      <c r="R8" s="1565" t="s">
        <v>8</v>
      </c>
      <c r="S8" s="1566">
        <f t="shared" si="0"/>
        <v>0</v>
      </c>
      <c r="T8" s="1565" t="s">
        <v>8</v>
      </c>
      <c r="U8" s="1566">
        <f t="shared" si="1"/>
        <v>0</v>
      </c>
      <c r="V8" s="1565" t="s">
        <v>8</v>
      </c>
      <c r="W8" s="1566">
        <f t="shared" si="2"/>
        <v>0</v>
      </c>
      <c r="X8" s="1567"/>
      <c r="Y8" s="3452" t="s">
        <v>531</v>
      </c>
      <c r="Z8" s="3453"/>
      <c r="AA8" s="1568" t="e">
        <f t="shared" ref="AA8:AA34" si="3">D8/F8</f>
        <v>#DIV/0!</v>
      </c>
      <c r="AB8" s="1568" t="e">
        <f t="shared" ref="AB8:AB34" si="4">D8/H8</f>
        <v>#DIV/0!</v>
      </c>
      <c r="AC8" s="1568" t="e">
        <f t="shared" ref="AC8:AC34" si="5">D8/J8</f>
        <v>#DIV/0!</v>
      </c>
    </row>
    <row r="9" spans="1:29" s="1217" customFormat="1" ht="15">
      <c r="A9" s="2936"/>
      <c r="B9" s="2943" t="s">
        <v>2757</v>
      </c>
      <c r="C9" s="854"/>
      <c r="D9" s="252">
        <v>100</v>
      </c>
      <c r="E9" s="857"/>
      <c r="F9" s="252">
        <f>SUMIF(51:51,E9,52:52)-SUMIF(51:51,C9,52:52)+100</f>
        <v>100</v>
      </c>
      <c r="G9" s="857"/>
      <c r="H9" s="252">
        <f>SUMIF(51:51,G9,52:52)-SUMIF(51:51,C9,52:52)+100</f>
        <v>100</v>
      </c>
      <c r="I9" s="857"/>
      <c r="J9" s="252">
        <f>SUMIF(51:51,I9,52:52)-SUMIF(51:51,C9,52:52)+100</f>
        <v>100</v>
      </c>
      <c r="K9" s="522"/>
      <c r="L9" s="2132"/>
      <c r="M9" s="2133"/>
      <c r="N9" s="2133"/>
      <c r="O9" s="2134"/>
      <c r="P9" s="3421" t="s">
        <v>533</v>
      </c>
      <c r="Q9" s="1148" t="str">
        <f t="shared" ref="Q9:Q14" si="6">B9</f>
        <v>用途</v>
      </c>
      <c r="R9" s="1565" t="s">
        <v>8</v>
      </c>
      <c r="S9" s="1566">
        <f t="shared" si="0"/>
        <v>100</v>
      </c>
      <c r="T9" s="1565" t="s">
        <v>8</v>
      </c>
      <c r="U9" s="1566">
        <f t="shared" si="1"/>
        <v>100</v>
      </c>
      <c r="V9" s="1565" t="s">
        <v>8</v>
      </c>
      <c r="W9" s="1566">
        <f t="shared" si="2"/>
        <v>100</v>
      </c>
      <c r="X9" s="1567"/>
      <c r="Y9" s="3367" t="s">
        <v>534</v>
      </c>
      <c r="Z9" s="1147" t="str">
        <f t="shared" ref="Z9:Z14" si="7">Q9</f>
        <v>用途</v>
      </c>
      <c r="AA9" s="1568">
        <f t="shared" si="3"/>
        <v>1</v>
      </c>
      <c r="AB9" s="1568">
        <f t="shared" si="4"/>
        <v>1</v>
      </c>
      <c r="AC9" s="1568">
        <f t="shared" si="5"/>
        <v>1</v>
      </c>
    </row>
    <row r="10" spans="1:29" s="1335" customFormat="1" ht="27">
      <c r="A10" s="2937"/>
      <c r="B10" s="2942" t="s">
        <v>2758</v>
      </c>
      <c r="C10" s="858"/>
      <c r="D10" s="253">
        <v>100</v>
      </c>
      <c r="E10" s="858"/>
      <c r="F10" s="253">
        <f>SUMIF(53:53,E10,54:54)-SUMIF(53:53,C10,54:54)+100</f>
        <v>100</v>
      </c>
      <c r="G10" s="859"/>
      <c r="H10" s="253">
        <f>SUMIF(53:53,G10,54:54)-SUMIF(53:53,C10,54:54)+100</f>
        <v>100</v>
      </c>
      <c r="I10" s="858"/>
      <c r="J10" s="253">
        <f>SUMIF(53:53,I10,54:54)-SUMIF(53:53,C10,54:54)+100</f>
        <v>100</v>
      </c>
      <c r="K10" s="581"/>
      <c r="L10" s="2135"/>
      <c r="M10" s="2175"/>
      <c r="N10" s="2175"/>
      <c r="O10" s="2136"/>
      <c r="P10" s="3421"/>
      <c r="Q10" s="1148" t="str">
        <f t="shared" si="6"/>
        <v>土地使用年限（年）</v>
      </c>
      <c r="R10" s="1565" t="s">
        <v>8</v>
      </c>
      <c r="S10" s="1566">
        <f t="shared" si="0"/>
        <v>100</v>
      </c>
      <c r="T10" s="1565" t="s">
        <v>8</v>
      </c>
      <c r="U10" s="1566">
        <f t="shared" si="1"/>
        <v>100</v>
      </c>
      <c r="V10" s="1565" t="s">
        <v>8</v>
      </c>
      <c r="W10" s="1566">
        <f t="shared" si="2"/>
        <v>100</v>
      </c>
      <c r="X10" s="1567"/>
      <c r="Y10" s="3367"/>
      <c r="Z10" s="1147" t="str">
        <f t="shared" si="7"/>
        <v>土地使用年限（年）</v>
      </c>
      <c r="AA10" s="1568">
        <f t="shared" si="3"/>
        <v>1</v>
      </c>
      <c r="AB10" s="1568">
        <f t="shared" si="4"/>
        <v>1</v>
      </c>
      <c r="AC10" s="1568">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8"/>
      <c r="L11" s="2137"/>
      <c r="M11" s="2131"/>
      <c r="N11" s="2131"/>
      <c r="O11" s="2138"/>
      <c r="P11" s="3421"/>
      <c r="Q11" s="1148">
        <f t="shared" si="6"/>
        <v>111</v>
      </c>
      <c r="R11" s="1565" t="s">
        <v>8</v>
      </c>
      <c r="S11" s="1566">
        <f t="shared" si="0"/>
        <v>100</v>
      </c>
      <c r="T11" s="1565" t="s">
        <v>8</v>
      </c>
      <c r="U11" s="1566">
        <f t="shared" si="1"/>
        <v>100</v>
      </c>
      <c r="V11" s="1565" t="s">
        <v>8</v>
      </c>
      <c r="W11" s="1566">
        <f t="shared" si="2"/>
        <v>100</v>
      </c>
      <c r="X11" s="1567"/>
      <c r="Y11" s="3367"/>
      <c r="Z11" s="1147">
        <f t="shared" si="7"/>
        <v>111</v>
      </c>
      <c r="AA11" s="1568">
        <f t="shared" si="3"/>
        <v>1</v>
      </c>
      <c r="AB11" s="1568">
        <f t="shared" si="4"/>
        <v>1</v>
      </c>
      <c r="AC11" s="1568">
        <f t="shared" si="5"/>
        <v>1</v>
      </c>
    </row>
    <row r="12" spans="1:29" s="1217" customFormat="1" ht="15">
      <c r="A12" s="2939"/>
      <c r="B12" s="2945">
        <v>111</v>
      </c>
      <c r="C12" s="526"/>
      <c r="D12" s="535">
        <v>100</v>
      </c>
      <c r="E12" s="877"/>
      <c r="F12" s="253">
        <f>SUMIF(57:57,E12,58:58)-SUMIF(57:57,C12,58:58)+100</f>
        <v>100</v>
      </c>
      <c r="G12" s="877"/>
      <c r="H12" s="253">
        <f>SUMIF(57:57,G12,58:58)-SUMIF(57:57,C12,58:58)+100</f>
        <v>100</v>
      </c>
      <c r="I12" s="877"/>
      <c r="J12" s="253">
        <f>SUMIF(57:57,I12,58:58)-SUMIF(57:57,C12,58:58)+100</f>
        <v>100</v>
      </c>
      <c r="K12" s="578"/>
      <c r="L12" s="2132"/>
      <c r="M12" s="2133"/>
      <c r="N12" s="2133"/>
      <c r="O12" s="2134"/>
      <c r="P12" s="3421"/>
      <c r="Q12" s="1148">
        <f t="shared" si="6"/>
        <v>111</v>
      </c>
      <c r="R12" s="1565" t="s">
        <v>8</v>
      </c>
      <c r="S12" s="1566">
        <f t="shared" si="0"/>
        <v>100</v>
      </c>
      <c r="T12" s="1565" t="s">
        <v>8</v>
      </c>
      <c r="U12" s="1566">
        <f t="shared" si="1"/>
        <v>100</v>
      </c>
      <c r="V12" s="1565" t="s">
        <v>8</v>
      </c>
      <c r="W12" s="1566">
        <f t="shared" si="2"/>
        <v>100</v>
      </c>
      <c r="X12" s="1567"/>
      <c r="Y12" s="3367"/>
      <c r="Z12" s="1147">
        <f t="shared" si="7"/>
        <v>111</v>
      </c>
      <c r="AA12" s="1568">
        <f>D12/F12</f>
        <v>1</v>
      </c>
      <c r="AB12" s="1568">
        <f>D12/H12</f>
        <v>1</v>
      </c>
      <c r="AC12" s="1568">
        <f>D12/J12</f>
        <v>1</v>
      </c>
    </row>
    <row r="13" spans="1:29" ht="15.75" thickBot="1">
      <c r="A13" s="2940"/>
      <c r="B13" s="2946">
        <v>111</v>
      </c>
      <c r="C13" s="536"/>
      <c r="D13" s="537">
        <v>100</v>
      </c>
      <c r="E13" s="877"/>
      <c r="F13" s="253">
        <f>SUMIF(59:59,E13,60:60)-SUMIF(59:59,C13,60:60)+100</f>
        <v>100</v>
      </c>
      <c r="G13" s="877"/>
      <c r="H13" s="537">
        <f>SUMIF(59:59,G13,60:60)-SUMIF(59:59,C13,60:60)+100</f>
        <v>100</v>
      </c>
      <c r="I13" s="877"/>
      <c r="J13" s="537">
        <f>SUMIF(59:59,I13,60:60)-SUMIF(59:59,C13,60:60)+100</f>
        <v>100</v>
      </c>
      <c r="K13" s="578"/>
      <c r="L13" s="2139"/>
      <c r="M13" s="2131"/>
      <c r="N13" s="2131"/>
      <c r="O13" s="2138"/>
      <c r="P13" s="3421"/>
      <c r="Q13" s="1148">
        <f t="shared" si="6"/>
        <v>111</v>
      </c>
      <c r="R13" s="1565" t="s">
        <v>8</v>
      </c>
      <c r="S13" s="1566">
        <f t="shared" si="0"/>
        <v>100</v>
      </c>
      <c r="T13" s="1565" t="s">
        <v>8</v>
      </c>
      <c r="U13" s="1566">
        <f t="shared" si="1"/>
        <v>100</v>
      </c>
      <c r="V13" s="1565" t="s">
        <v>8</v>
      </c>
      <c r="W13" s="1566">
        <f t="shared" si="2"/>
        <v>100</v>
      </c>
      <c r="X13" s="1567"/>
      <c r="Y13" s="3367"/>
      <c r="Z13" s="1147">
        <f t="shared" si="7"/>
        <v>111</v>
      </c>
      <c r="AA13" s="1568">
        <f t="shared" si="3"/>
        <v>1</v>
      </c>
      <c r="AB13" s="1568">
        <f t="shared" si="4"/>
        <v>1</v>
      </c>
      <c r="AC13" s="1568">
        <f t="shared" si="5"/>
        <v>1</v>
      </c>
    </row>
    <row r="14" spans="1:29" ht="114">
      <c r="A14" s="2932" t="s">
        <v>2755</v>
      </c>
      <c r="B14" s="164" t="s">
        <v>541</v>
      </c>
      <c r="C14" s="918" t="str">
        <f>IF(B1="工业",估价对象房地状况!G4,估价对象房地状况!C6)</f>
        <v>估价对象周边道路状况、公共交通通达情况、停车便捷程度，综合评价交通便捷度较好148.208、212、215、348、503、912</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455" t="s">
        <v>538</v>
      </c>
      <c r="Q14" s="1569" t="str">
        <f t="shared" si="6"/>
        <v>交通便捷度</v>
      </c>
      <c r="R14" s="1570" t="s">
        <v>8</v>
      </c>
      <c r="S14" s="1571">
        <f t="shared" si="0"/>
        <v>100</v>
      </c>
      <c r="T14" s="1570" t="s">
        <v>8</v>
      </c>
      <c r="U14" s="1571">
        <f t="shared" si="1"/>
        <v>100</v>
      </c>
      <c r="V14" s="1570" t="s">
        <v>8</v>
      </c>
      <c r="W14" s="1571">
        <f t="shared" si="2"/>
        <v>100</v>
      </c>
      <c r="X14" s="1564"/>
      <c r="Y14" s="3455" t="s">
        <v>538</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39"/>
      <c r="M15" s="2131"/>
      <c r="N15" s="2131"/>
      <c r="O15" s="2138"/>
      <c r="P15" s="3456"/>
      <c r="Q15" s="1569"/>
      <c r="R15" s="1570"/>
      <c r="S15" s="1571"/>
      <c r="T15" s="1570"/>
      <c r="U15" s="1571"/>
      <c r="V15" s="1570"/>
      <c r="W15" s="1571"/>
      <c r="X15" s="1564"/>
      <c r="Y15" s="3456"/>
      <c r="Z15" s="1572"/>
      <c r="AA15" s="1573">
        <v>1</v>
      </c>
      <c r="AB15" s="1573">
        <v>1</v>
      </c>
      <c r="AC15" s="1573">
        <v>1</v>
      </c>
    </row>
    <row r="16" spans="1:29" ht="42.75">
      <c r="A16" s="529"/>
      <c r="B16" s="2623"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456"/>
      <c r="Q16" s="1569" t="str">
        <f>B16</f>
        <v>公共配套设施</v>
      </c>
      <c r="R16" s="1570" t="s">
        <v>8</v>
      </c>
      <c r="S16" s="1571">
        <f>F16</f>
        <v>100</v>
      </c>
      <c r="T16" s="1570" t="s">
        <v>8</v>
      </c>
      <c r="U16" s="1571">
        <f>H16</f>
        <v>100</v>
      </c>
      <c r="V16" s="1570" t="s">
        <v>8</v>
      </c>
      <c r="W16" s="1571">
        <f>J16</f>
        <v>100</v>
      </c>
      <c r="X16" s="1564"/>
      <c r="Y16" s="345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39"/>
      <c r="M17" s="2131"/>
      <c r="N17" s="2131"/>
      <c r="O17" s="2138"/>
      <c r="P17" s="3456"/>
      <c r="Q17" s="1569"/>
      <c r="R17" s="1570"/>
      <c r="S17" s="1571"/>
      <c r="T17" s="1570"/>
      <c r="U17" s="1571"/>
      <c r="V17" s="1570"/>
      <c r="W17" s="1571"/>
      <c r="X17" s="1564"/>
      <c r="Y17" s="3456"/>
      <c r="Z17" s="1572"/>
      <c r="AA17" s="1573">
        <v>1</v>
      </c>
      <c r="AB17" s="1573">
        <v>1</v>
      </c>
      <c r="AC17" s="1573">
        <v>1</v>
      </c>
    </row>
    <row r="18" spans="1:29" ht="28.5">
      <c r="A18" s="529"/>
      <c r="B18" s="2611"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456"/>
      <c r="Q18" s="2599" t="str">
        <f>B18</f>
        <v>基础设施水平</v>
      </c>
      <c r="R18" s="1570" t="s">
        <v>8</v>
      </c>
      <c r="S18" s="1571">
        <f>F18</f>
        <v>100</v>
      </c>
      <c r="T18" s="1570" t="s">
        <v>8</v>
      </c>
      <c r="U18" s="1571">
        <f>H18</f>
        <v>100</v>
      </c>
      <c r="V18" s="1570" t="s">
        <v>8</v>
      </c>
      <c r="W18" s="1571">
        <f>J18</f>
        <v>100</v>
      </c>
      <c r="X18" s="2601"/>
      <c r="Y18" s="3456"/>
      <c r="Z18" s="2600"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2"/>
      <c r="L19" s="2139"/>
      <c r="M19" s="2131"/>
      <c r="N19" s="2131"/>
      <c r="O19" s="2138"/>
      <c r="P19" s="3456"/>
      <c r="Q19" s="2599"/>
      <c r="R19" s="1570"/>
      <c r="S19" s="1571"/>
      <c r="T19" s="1570"/>
      <c r="U19" s="1571"/>
      <c r="V19" s="1570"/>
      <c r="W19" s="1571"/>
      <c r="X19" s="2601"/>
      <c r="Y19" s="3456"/>
      <c r="Z19" s="2600"/>
      <c r="AA19" s="1573">
        <v>1</v>
      </c>
      <c r="AB19" s="1573">
        <v>1</v>
      </c>
      <c r="AC19" s="1573">
        <v>1</v>
      </c>
    </row>
    <row r="20" spans="1:29" ht="57">
      <c r="A20" s="529"/>
      <c r="B20" s="868" t="s">
        <v>802</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456"/>
      <c r="Q20" s="1569" t="str">
        <f>B20</f>
        <v>自然及人文环境</v>
      </c>
      <c r="R20" s="1570" t="s">
        <v>8</v>
      </c>
      <c r="S20" s="1571">
        <f>F20</f>
        <v>100</v>
      </c>
      <c r="T20" s="1570" t="s">
        <v>8</v>
      </c>
      <c r="U20" s="1571">
        <f>H20</f>
        <v>100</v>
      </c>
      <c r="V20" s="1570" t="s">
        <v>8</v>
      </c>
      <c r="W20" s="1571">
        <f>J20</f>
        <v>100</v>
      </c>
      <c r="X20" s="1564"/>
      <c r="Y20" s="345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39"/>
      <c r="M21" s="2131"/>
      <c r="N21" s="2131"/>
      <c r="O21" s="2138"/>
      <c r="P21" s="3456"/>
      <c r="Q21" s="1569"/>
      <c r="R21" s="1570"/>
      <c r="S21" s="1571"/>
      <c r="T21" s="1570"/>
      <c r="U21" s="1571"/>
      <c r="V21" s="1570"/>
      <c r="W21" s="1571"/>
      <c r="X21" s="1564"/>
      <c r="Y21" s="3456"/>
      <c r="Z21" s="1572"/>
      <c r="AA21" s="1573">
        <v>1</v>
      </c>
      <c r="AB21" s="1573">
        <v>1</v>
      </c>
      <c r="AC21" s="1573">
        <v>1</v>
      </c>
    </row>
    <row r="22" spans="1:29" ht="15">
      <c r="A22" s="529"/>
      <c r="B22" s="868" t="s">
        <v>803</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456"/>
      <c r="Q22" s="1569" t="str">
        <f>B22</f>
        <v>楼层</v>
      </c>
      <c r="R22" s="1570" t="s">
        <v>8</v>
      </c>
      <c r="S22" s="1571">
        <f>F22</f>
        <v>100</v>
      </c>
      <c r="T22" s="1570" t="s">
        <v>8</v>
      </c>
      <c r="U22" s="1571">
        <f>H22</f>
        <v>100</v>
      </c>
      <c r="V22" s="1570" t="s">
        <v>8</v>
      </c>
      <c r="W22" s="1571">
        <f>J22</f>
        <v>100</v>
      </c>
      <c r="X22" s="1564"/>
      <c r="Y22" s="3456"/>
      <c r="Z22" s="1572" t="str">
        <f>Q22</f>
        <v>楼层</v>
      </c>
      <c r="AA22" s="1573">
        <f t="shared" si="3"/>
        <v>1</v>
      </c>
      <c r="AB22" s="1573">
        <f t="shared" si="4"/>
        <v>1</v>
      </c>
      <c r="AC22" s="1573">
        <f t="shared" si="5"/>
        <v>1</v>
      </c>
    </row>
    <row r="23" spans="1:29" ht="15">
      <c r="A23" s="513"/>
      <c r="B23" s="534">
        <v>111</v>
      </c>
      <c r="C23" s="526"/>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456"/>
      <c r="Q23" s="1569">
        <f>B23</f>
        <v>111</v>
      </c>
      <c r="R23" s="1570" t="s">
        <v>8</v>
      </c>
      <c r="S23" s="1571">
        <f>F23</f>
        <v>100</v>
      </c>
      <c r="T23" s="1570" t="s">
        <v>8</v>
      </c>
      <c r="U23" s="1571">
        <f>H23</f>
        <v>100</v>
      </c>
      <c r="V23" s="1570" t="s">
        <v>8</v>
      </c>
      <c r="W23" s="1571">
        <f>J23</f>
        <v>100</v>
      </c>
      <c r="X23" s="1564"/>
      <c r="Y23" s="3456"/>
      <c r="Z23" s="1572">
        <f>Q23</f>
        <v>111</v>
      </c>
      <c r="AA23" s="1573">
        <f t="shared" si="3"/>
        <v>1</v>
      </c>
      <c r="AB23" s="1573">
        <f t="shared" si="4"/>
        <v>1</v>
      </c>
      <c r="AC23" s="1573">
        <f t="shared" si="5"/>
        <v>1</v>
      </c>
    </row>
    <row r="24" spans="1:29" ht="15">
      <c r="A24" s="529"/>
      <c r="B24" s="534">
        <v>111</v>
      </c>
      <c r="C24" s="526"/>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456"/>
      <c r="Q24" s="1569">
        <f t="shared" ref="Q24:Q34" si="11">B24</f>
        <v>111</v>
      </c>
      <c r="R24" s="1570" t="s">
        <v>8</v>
      </c>
      <c r="S24" s="1571">
        <f>F24</f>
        <v>100</v>
      </c>
      <c r="T24" s="1570" t="s">
        <v>8</v>
      </c>
      <c r="U24" s="1571">
        <f>H24</f>
        <v>100</v>
      </c>
      <c r="V24" s="1570" t="s">
        <v>8</v>
      </c>
      <c r="W24" s="1571">
        <f>J24</f>
        <v>100</v>
      </c>
      <c r="X24" s="1564"/>
      <c r="Y24" s="3456"/>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456"/>
      <c r="Q25" s="1148">
        <f t="shared" si="11"/>
        <v>111</v>
      </c>
      <c r="R25" s="1565" t="s">
        <v>8</v>
      </c>
      <c r="S25" s="1566">
        <f>F25</f>
        <v>100</v>
      </c>
      <c r="T25" s="1565" t="s">
        <v>8</v>
      </c>
      <c r="U25" s="1566">
        <f>H25</f>
        <v>100</v>
      </c>
      <c r="V25" s="1565" t="s">
        <v>8</v>
      </c>
      <c r="W25" s="1566">
        <f>J25</f>
        <v>100</v>
      </c>
      <c r="X25" s="1567"/>
      <c r="Y25" s="3456"/>
      <c r="Z25" s="1147">
        <f>Q25</f>
        <v>111</v>
      </c>
      <c r="AA25" s="1573">
        <f>D25/F25</f>
        <v>1</v>
      </c>
      <c r="AB25" s="1573">
        <f>D25/H25</f>
        <v>1</v>
      </c>
      <c r="AC25" s="1573">
        <f>D25/J25</f>
        <v>1</v>
      </c>
    </row>
    <row r="26" spans="1:29" ht="15">
      <c r="A26" s="2929" t="s">
        <v>2756</v>
      </c>
      <c r="B26" s="170" t="s">
        <v>806</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457" t="s">
        <v>819</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58" t="s">
        <v>819</v>
      </c>
      <c r="Z26" s="1572" t="str">
        <f t="shared" ref="Z26:Z34" si="15">Q26</f>
        <v>公共部分装修</v>
      </c>
      <c r="AA26" s="1573">
        <f t="shared" si="3"/>
        <v>1</v>
      </c>
      <c r="AB26" s="1573">
        <f t="shared" si="4"/>
        <v>1</v>
      </c>
      <c r="AC26" s="1573">
        <f t="shared" si="5"/>
        <v>1</v>
      </c>
    </row>
    <row r="27" spans="1:29" s="1336" customFormat="1" ht="15">
      <c r="A27" s="600"/>
      <c r="B27" s="525" t="s">
        <v>807</v>
      </c>
      <c r="C27" s="880"/>
      <c r="D27" s="253">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458"/>
      <c r="Q27" s="1602" t="str">
        <f t="shared" si="11"/>
        <v>成新率</v>
      </c>
      <c r="R27" s="1574" t="s">
        <v>8</v>
      </c>
      <c r="S27" s="1575" t="e">
        <f t="shared" si="12"/>
        <v>#N/A</v>
      </c>
      <c r="T27" s="1574" t="s">
        <v>8</v>
      </c>
      <c r="U27" s="1575" t="e">
        <f t="shared" si="13"/>
        <v>#N/A</v>
      </c>
      <c r="V27" s="1574" t="s">
        <v>8</v>
      </c>
      <c r="W27" s="1575" t="e">
        <f t="shared" si="14"/>
        <v>#N/A</v>
      </c>
      <c r="X27" s="1576"/>
      <c r="Y27" s="3458"/>
      <c r="Z27" s="1577" t="str">
        <f t="shared" si="15"/>
        <v>成新率</v>
      </c>
      <c r="AA27" s="1573" t="e">
        <f t="shared" si="3"/>
        <v>#N/A</v>
      </c>
      <c r="AB27" s="1573" t="e">
        <f t="shared" si="4"/>
        <v>#N/A</v>
      </c>
      <c r="AC27" s="1573" t="e">
        <f t="shared" si="5"/>
        <v>#N/A</v>
      </c>
    </row>
    <row r="28" spans="1:29" ht="15">
      <c r="A28" s="591"/>
      <c r="B28" s="525" t="s">
        <v>808</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458"/>
      <c r="Q28" s="1569" t="str">
        <f t="shared" si="11"/>
        <v>物业等级</v>
      </c>
      <c r="R28" s="1570" t="s">
        <v>8</v>
      </c>
      <c r="S28" s="1571">
        <f t="shared" si="12"/>
        <v>100</v>
      </c>
      <c r="T28" s="1570" t="s">
        <v>8</v>
      </c>
      <c r="U28" s="1571">
        <f t="shared" si="13"/>
        <v>100</v>
      </c>
      <c r="V28" s="1570" t="s">
        <v>8</v>
      </c>
      <c r="W28" s="1571">
        <f t="shared" si="14"/>
        <v>100</v>
      </c>
      <c r="X28" s="1564"/>
      <c r="Y28" s="3458"/>
      <c r="Z28" s="1572" t="str">
        <f t="shared" si="15"/>
        <v>物业等级</v>
      </c>
      <c r="AA28" s="1573">
        <f t="shared" si="3"/>
        <v>1</v>
      </c>
      <c r="AB28" s="1573">
        <f t="shared" si="4"/>
        <v>1</v>
      </c>
      <c r="AC28" s="1573">
        <f t="shared" si="5"/>
        <v>1</v>
      </c>
    </row>
    <row r="29" spans="1:29" ht="15">
      <c r="A29" s="591"/>
      <c r="B29" s="525" t="s">
        <v>820</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458"/>
      <c r="Q29" s="1569" t="str">
        <f t="shared" si="11"/>
        <v>有无电梯</v>
      </c>
      <c r="R29" s="1570" t="s">
        <v>8</v>
      </c>
      <c r="S29" s="1571">
        <f t="shared" si="12"/>
        <v>100</v>
      </c>
      <c r="T29" s="1570" t="s">
        <v>8</v>
      </c>
      <c r="U29" s="1571">
        <f t="shared" si="13"/>
        <v>100</v>
      </c>
      <c r="V29" s="1570" t="s">
        <v>8</v>
      </c>
      <c r="W29" s="1571">
        <f t="shared" si="14"/>
        <v>100</v>
      </c>
      <c r="X29" s="1564"/>
      <c r="Y29" s="3458"/>
      <c r="Z29" s="1572" t="str">
        <f t="shared" si="15"/>
        <v>有无电梯</v>
      </c>
      <c r="AA29" s="1573">
        <f t="shared" si="3"/>
        <v>1</v>
      </c>
      <c r="AB29" s="1573">
        <f t="shared" si="4"/>
        <v>1</v>
      </c>
      <c r="AC29" s="1573">
        <f t="shared" si="5"/>
        <v>1</v>
      </c>
    </row>
    <row r="30" spans="1:29" ht="15">
      <c r="A30" s="591"/>
      <c r="B30" s="525" t="s">
        <v>821</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458"/>
      <c r="Q30" s="1569" t="str">
        <f t="shared" si="11"/>
        <v>建筑面积</v>
      </c>
      <c r="R30" s="1570" t="s">
        <v>8</v>
      </c>
      <c r="S30" s="1571" t="e">
        <f t="shared" si="12"/>
        <v>#N/A</v>
      </c>
      <c r="T30" s="1570" t="s">
        <v>8</v>
      </c>
      <c r="U30" s="1571" t="e">
        <f t="shared" si="13"/>
        <v>#N/A</v>
      </c>
      <c r="V30" s="1570" t="s">
        <v>8</v>
      </c>
      <c r="W30" s="1571" t="e">
        <f t="shared" si="14"/>
        <v>#N/A</v>
      </c>
      <c r="X30" s="1564"/>
      <c r="Y30" s="3458"/>
      <c r="Z30" s="1572" t="str">
        <f t="shared" si="15"/>
        <v>建筑面积</v>
      </c>
      <c r="AA30" s="1573" t="e">
        <f t="shared" si="3"/>
        <v>#N/A</v>
      </c>
      <c r="AB30" s="1573" t="e">
        <f t="shared" si="4"/>
        <v>#N/A</v>
      </c>
      <c r="AC30" s="1573" t="e">
        <f t="shared" si="5"/>
        <v>#N/A</v>
      </c>
    </row>
    <row r="31" spans="1:29" s="1217" customFormat="1" ht="15">
      <c r="A31" s="597"/>
      <c r="B31" s="525" t="s">
        <v>822</v>
      </c>
      <c r="C31" s="929"/>
      <c r="D31" s="253">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458"/>
      <c r="Q31" s="1148" t="str">
        <f t="shared" si="11"/>
        <v>是否封闭</v>
      </c>
      <c r="R31" s="1565" t="s">
        <v>8</v>
      </c>
      <c r="S31" s="1566">
        <f t="shared" si="12"/>
        <v>100</v>
      </c>
      <c r="T31" s="1565" t="s">
        <v>8</v>
      </c>
      <c r="U31" s="1566">
        <f t="shared" si="13"/>
        <v>100</v>
      </c>
      <c r="V31" s="1565" t="s">
        <v>8</v>
      </c>
      <c r="W31" s="1566">
        <f t="shared" si="14"/>
        <v>100</v>
      </c>
      <c r="X31" s="1567"/>
      <c r="Y31" s="3458"/>
      <c r="Z31" s="1147" t="str">
        <f t="shared" si="15"/>
        <v>是否封闭</v>
      </c>
      <c r="AA31" s="1568">
        <f t="shared" si="3"/>
        <v>1</v>
      </c>
      <c r="AB31" s="1568">
        <f t="shared" si="4"/>
        <v>1</v>
      </c>
      <c r="AC31" s="1568">
        <f t="shared" si="5"/>
        <v>1</v>
      </c>
    </row>
    <row r="32" spans="1:29" ht="15">
      <c r="A32" s="591"/>
      <c r="B32" s="534">
        <v>111</v>
      </c>
      <c r="C32" s="526"/>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458" t="s">
        <v>548</v>
      </c>
      <c r="Q32" s="1569">
        <f t="shared" si="11"/>
        <v>111</v>
      </c>
      <c r="R32" s="1570" t="s">
        <v>8</v>
      </c>
      <c r="S32" s="1571">
        <f t="shared" si="12"/>
        <v>100</v>
      </c>
      <c r="T32" s="1570" t="s">
        <v>8</v>
      </c>
      <c r="U32" s="1571">
        <f t="shared" si="13"/>
        <v>100</v>
      </c>
      <c r="V32" s="1570" t="s">
        <v>8</v>
      </c>
      <c r="W32" s="1571">
        <f t="shared" si="14"/>
        <v>100</v>
      </c>
      <c r="X32" s="1564"/>
      <c r="Y32" s="3458" t="s">
        <v>548</v>
      </c>
      <c r="Z32" s="1572">
        <f t="shared" si="15"/>
        <v>111</v>
      </c>
      <c r="AA32" s="1573">
        <f t="shared" si="3"/>
        <v>1</v>
      </c>
      <c r="AB32" s="1573">
        <f t="shared" si="4"/>
        <v>1</v>
      </c>
      <c r="AC32" s="1573">
        <f t="shared" si="5"/>
        <v>1</v>
      </c>
    </row>
    <row r="33" spans="1:29" ht="15">
      <c r="A33" s="591"/>
      <c r="B33" s="534">
        <v>111</v>
      </c>
      <c r="C33" s="526"/>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458"/>
      <c r="Q33" s="1569">
        <f t="shared" si="11"/>
        <v>111</v>
      </c>
      <c r="R33" s="1570" t="s">
        <v>8</v>
      </c>
      <c r="S33" s="1571">
        <f t="shared" si="12"/>
        <v>100</v>
      </c>
      <c r="T33" s="1570" t="s">
        <v>8</v>
      </c>
      <c r="U33" s="1571">
        <f t="shared" si="13"/>
        <v>100</v>
      </c>
      <c r="V33" s="1570" t="s">
        <v>8</v>
      </c>
      <c r="W33" s="1571">
        <f t="shared" si="14"/>
        <v>100</v>
      </c>
      <c r="X33" s="1564"/>
      <c r="Y33" s="3458"/>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458"/>
      <c r="Q34" s="1569">
        <f t="shared" si="11"/>
        <v>111</v>
      </c>
      <c r="R34" s="1570" t="s">
        <v>8</v>
      </c>
      <c r="S34" s="1571">
        <f t="shared" si="12"/>
        <v>100</v>
      </c>
      <c r="T34" s="1570" t="s">
        <v>8</v>
      </c>
      <c r="U34" s="1571">
        <f t="shared" si="13"/>
        <v>100</v>
      </c>
      <c r="V34" s="1570" t="s">
        <v>8</v>
      </c>
      <c r="W34" s="1571">
        <f t="shared" si="14"/>
        <v>100</v>
      </c>
      <c r="X34" s="1564"/>
      <c r="Y34" s="3458"/>
      <c r="Z34" s="1572">
        <f t="shared" si="15"/>
        <v>111</v>
      </c>
      <c r="AA34" s="1573">
        <f t="shared" si="3"/>
        <v>1</v>
      </c>
      <c r="AB34" s="1573">
        <f t="shared" si="4"/>
        <v>1</v>
      </c>
      <c r="AC34" s="1573">
        <f t="shared" si="5"/>
        <v>1</v>
      </c>
    </row>
    <row r="35" spans="1:29" ht="15">
      <c r="A35" s="604" t="s">
        <v>734</v>
      </c>
      <c r="B35" s="884"/>
      <c r="C35" s="2647" t="s">
        <v>1</v>
      </c>
      <c r="D35" s="2648"/>
      <c r="E35" s="2649"/>
      <c r="F35" s="2650"/>
      <c r="G35" s="2651"/>
      <c r="H35" s="2652"/>
      <c r="I35" s="2649"/>
      <c r="J35" s="2652"/>
      <c r="K35" s="1608"/>
      <c r="L35" s="2141"/>
      <c r="M35" s="2142"/>
      <c r="N35" s="2131"/>
      <c r="O35" s="2142"/>
      <c r="P35" s="3421" t="str">
        <f>A35</f>
        <v>成交单价（元/平方米）</v>
      </c>
      <c r="Q35" s="3421"/>
      <c r="R35" s="3511">
        <f>E35</f>
        <v>0</v>
      </c>
      <c r="S35" s="3511"/>
      <c r="T35" s="3511">
        <f>G35</f>
        <v>0</v>
      </c>
      <c r="U35" s="3511"/>
      <c r="V35" s="3511">
        <f>I35</f>
        <v>0</v>
      </c>
      <c r="W35" s="3511"/>
      <c r="X35" s="1556"/>
      <c r="Y35" s="1578"/>
      <c r="Z35" s="1556"/>
      <c r="AA35" s="1556"/>
      <c r="AB35" s="1556"/>
      <c r="AC35" s="1556"/>
    </row>
    <row r="36" spans="1:29" ht="15.75" thickBot="1">
      <c r="A36" s="612" t="s">
        <v>2761</v>
      </c>
      <c r="B36" s="885"/>
      <c r="C36" s="2653" t="e">
        <f>R37</f>
        <v>#DIV/0!</v>
      </c>
      <c r="D36" s="2654"/>
      <c r="E36" s="2655" t="e">
        <f>R36</f>
        <v>#DIV/0!</v>
      </c>
      <c r="F36" s="2655"/>
      <c r="G36" s="2653" t="e">
        <f>T36</f>
        <v>#DIV/0!</v>
      </c>
      <c r="H36" s="2654"/>
      <c r="I36" s="2655" t="e">
        <f>V36</f>
        <v>#DIV/0!</v>
      </c>
      <c r="J36" s="2654"/>
      <c r="K36" s="1609"/>
      <c r="L36" s="2141"/>
      <c r="M36" s="2142"/>
      <c r="N36" s="2131"/>
      <c r="O36" s="2142"/>
      <c r="P36" s="3421" t="str">
        <f>A36</f>
        <v>比较价格（元/平方米）</v>
      </c>
      <c r="Q36" s="3421"/>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6"/>
      <c r="Y36" s="1556"/>
      <c r="Z36" s="1556"/>
      <c r="AA36" s="1556"/>
      <c r="AB36" s="1556"/>
      <c r="AC36" s="1556"/>
    </row>
    <row r="37" spans="1:29" ht="15.75" thickBot="1">
      <c r="A37" s="618" t="s">
        <v>2937</v>
      </c>
      <c r="B37" s="619"/>
      <c r="C37" s="2656" t="e">
        <f>R37</f>
        <v>#DIV/0!</v>
      </c>
      <c r="D37" s="2656"/>
      <c r="E37" s="2656"/>
      <c r="F37" s="2656"/>
      <c r="G37" s="2656"/>
      <c r="H37" s="2656"/>
      <c r="I37" s="2656"/>
      <c r="J37" s="2656"/>
      <c r="K37" s="1610"/>
      <c r="L37" s="2141"/>
      <c r="M37" s="2142"/>
      <c r="N37" s="2142"/>
      <c r="O37" s="2142"/>
      <c r="P37" s="3418" t="str">
        <f>A37</f>
        <v>估价对象XX用房的比较价格（楼面单价，元/平方米）</v>
      </c>
      <c r="Q37" s="3419"/>
      <c r="R37" s="3510" t="e">
        <f>IF(F1="售价",ROUND(AVERAGE(R36:V36),0),ROUND(AVERAGE(R36:V36),1))</f>
        <v>#DIV/0!</v>
      </c>
      <c r="S37" s="3510"/>
      <c r="T37" s="3510"/>
      <c r="U37" s="3510"/>
      <c r="V37" s="3510"/>
      <c r="W37" s="3510"/>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555</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556</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557</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572</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4" customFormat="1" ht="15">
      <c r="A46" s="642" t="s">
        <v>527</v>
      </c>
      <c r="B46" s="643"/>
      <c r="C46" s="2824" t="str">
        <f>YEAR(C7)&amp;"-"&amp;MONTH(C7)</f>
        <v>2018-1</v>
      </c>
      <c r="D46" s="2826">
        <f>EDATE(C46,-1)</f>
        <v>43070</v>
      </c>
      <c r="E46" s="2826">
        <f t="shared" ref="E46:O46" si="16">EDATE(D46,-1)</f>
        <v>43040</v>
      </c>
      <c r="F46" s="2826">
        <f t="shared" si="16"/>
        <v>43009</v>
      </c>
      <c r="G46" s="2826">
        <f t="shared" si="16"/>
        <v>42979</v>
      </c>
      <c r="H46" s="2826">
        <f t="shared" si="16"/>
        <v>42948</v>
      </c>
      <c r="I46" s="2826">
        <f t="shared" si="16"/>
        <v>42917</v>
      </c>
      <c r="J46" s="2826">
        <f t="shared" si="16"/>
        <v>42887</v>
      </c>
      <c r="K46" s="2826">
        <f t="shared" si="16"/>
        <v>42856</v>
      </c>
      <c r="L46" s="2826">
        <f t="shared" si="16"/>
        <v>42826</v>
      </c>
      <c r="M46" s="2826">
        <f t="shared" si="16"/>
        <v>42795</v>
      </c>
      <c r="N46" s="2826">
        <f t="shared" si="16"/>
        <v>42767</v>
      </c>
      <c r="O46" s="2826">
        <f t="shared" si="16"/>
        <v>42736</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573</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529</v>
      </c>
      <c r="B49" s="645"/>
      <c r="C49" s="657" t="s">
        <v>574</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575</v>
      </c>
      <c r="B51" s="662" t="s">
        <v>532</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535</v>
      </c>
      <c r="C53" s="671" t="s">
        <v>735</v>
      </c>
      <c r="D53" s="671" t="s">
        <v>736</v>
      </c>
      <c r="E53" s="671" t="s">
        <v>737</v>
      </c>
      <c r="F53" s="671" t="s">
        <v>738</v>
      </c>
      <c r="G53" s="671" t="s">
        <v>739</v>
      </c>
      <c r="H53" s="671" t="s">
        <v>740</v>
      </c>
      <c r="I53" s="671" t="s">
        <v>741</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537</v>
      </c>
      <c r="B61" s="662" t="s">
        <v>584</v>
      </c>
      <c r="C61" s="700" t="s">
        <v>577</v>
      </c>
      <c r="D61" s="700" t="s">
        <v>578</v>
      </c>
      <c r="E61" s="700" t="s">
        <v>579</v>
      </c>
      <c r="F61" s="700" t="s">
        <v>580</v>
      </c>
      <c r="G61" s="700" t="s">
        <v>581</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2556</v>
      </c>
      <c r="C63" s="705" t="s">
        <v>577</v>
      </c>
      <c r="D63" s="705" t="s">
        <v>578</v>
      </c>
      <c r="E63" s="705" t="s">
        <v>579</v>
      </c>
      <c r="F63" s="705" t="s">
        <v>580</v>
      </c>
      <c r="G63" s="705" t="s">
        <v>581</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617" t="s">
        <v>2557</v>
      </c>
      <c r="C65" s="2618" t="s">
        <v>2558</v>
      </c>
      <c r="D65" s="2618" t="s">
        <v>2559</v>
      </c>
      <c r="E65" s="2618" t="s">
        <v>2560</v>
      </c>
      <c r="F65" s="2618" t="s">
        <v>2561</v>
      </c>
      <c r="G65" s="2618" t="s">
        <v>2562</v>
      </c>
      <c r="H65" s="671"/>
      <c r="I65" s="671"/>
      <c r="J65" s="671"/>
      <c r="K65" s="671"/>
      <c r="L65" s="671"/>
      <c r="M65" s="2621"/>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742</v>
      </c>
      <c r="C67" s="705" t="s">
        <v>577</v>
      </c>
      <c r="D67" s="705" t="s">
        <v>578</v>
      </c>
      <c r="E67" s="705" t="s">
        <v>579</v>
      </c>
      <c r="F67" s="705" t="s">
        <v>580</v>
      </c>
      <c r="G67" s="705" t="s">
        <v>581</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549</v>
      </c>
      <c r="B77" s="662" t="s">
        <v>749</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814</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815</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823</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824</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825</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0" sqref="V30"/>
    </sheetView>
  </sheetViews>
  <sheetFormatPr defaultRowHeight="12.75"/>
  <cols>
    <col min="1" max="1" width="11.5" style="1247" customWidth="1"/>
    <col min="2" max="2" width="9.25" style="1215" customWidth="1"/>
    <col min="3" max="3" width="5" style="1215" hidden="1" customWidth="1"/>
    <col min="4" max="4" width="0" style="1215" hidden="1" customWidth="1"/>
    <col min="5" max="5" width="5" style="1215" hidden="1" customWidth="1"/>
    <col min="6" max="6" width="0" style="1215" hidden="1" customWidth="1"/>
    <col min="7" max="7" width="5" style="1215" hidden="1" customWidth="1"/>
    <col min="8" max="8" width="0" style="1215" hidden="1" customWidth="1"/>
    <col min="9" max="9" width="5" style="1215" hidden="1" customWidth="1"/>
    <col min="10" max="10" width="0" style="1215" hidden="1" customWidth="1"/>
    <col min="11" max="11" width="5" style="1215" hidden="1" customWidth="1"/>
    <col min="12" max="12" width="0" style="1215" hidden="1" customWidth="1"/>
    <col min="13" max="13" width="5" style="1215" hidden="1" customWidth="1"/>
    <col min="14" max="14" width="0" style="1215" hidden="1" customWidth="1"/>
    <col min="15" max="15" width="5" style="1215" hidden="1" customWidth="1"/>
    <col min="16" max="16" width="0" style="1215" hidden="1" customWidth="1"/>
    <col min="17" max="17" width="5" style="1215" hidden="1" customWidth="1"/>
    <col min="18" max="18" width="9" style="1613"/>
    <col min="19" max="19" width="9" style="1247"/>
    <col min="20" max="21" width="9" style="255" customWidth="1"/>
    <col min="22" max="35" width="9" style="255"/>
    <col min="36" max="16384" width="9" style="1247"/>
  </cols>
  <sheetData>
    <row r="1" spans="1:45" s="255" customFormat="1" ht="14.25" customHeight="1" thickBot="1">
      <c r="A1" s="363"/>
      <c r="B1" s="2231" t="s">
        <v>2301</v>
      </c>
      <c r="C1" s="3547" t="s">
        <v>2302</v>
      </c>
      <c r="D1" s="3548"/>
      <c r="E1" s="3548"/>
      <c r="F1" s="3548"/>
      <c r="G1" s="3548"/>
      <c r="H1" s="3548"/>
      <c r="I1" s="3548"/>
      <c r="J1" s="3548"/>
      <c r="K1" s="3548"/>
      <c r="L1" s="3548"/>
      <c r="M1" s="3548"/>
      <c r="N1" s="3548"/>
      <c r="O1" s="3548"/>
      <c r="P1" s="3548"/>
      <c r="Q1" s="3548"/>
      <c r="R1" s="3548"/>
      <c r="S1" s="3549"/>
      <c r="T1" s="2231" t="s">
        <v>2303</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2304</v>
      </c>
      <c r="C2" s="947" t="str">
        <f t="shared" ref="C2:L2" si="0">C3&amp;"(含)"&amp;"-"&amp;D3</f>
        <v>0(含)-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v>0</v>
      </c>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2" t="s">
        <v>2930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4" t="s">
        <v>2929</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4" t="s">
        <v>2928</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2" t="s">
        <v>2943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2" t="s">
        <v>2927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2" t="s">
        <v>2926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2305</v>
      </c>
      <c r="B17" s="2275" t="s">
        <v>2306</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826</v>
      </c>
      <c r="B20" s="772">
        <f ca="1">S22</f>
        <v>92898</v>
      </c>
      <c r="C20" s="1987"/>
      <c r="D20" s="1987"/>
      <c r="E20" s="1987"/>
      <c r="F20" s="1987"/>
      <c r="G20" s="1987"/>
      <c r="H20" s="1987"/>
      <c r="I20" s="1987"/>
      <c r="J20" s="1987"/>
      <c r="K20" s="1987"/>
      <c r="L20" s="1987"/>
      <c r="M20" s="1987"/>
      <c r="N20" s="1987"/>
      <c r="O20" s="1987"/>
      <c r="P20" s="1987"/>
      <c r="Q20" s="1987"/>
      <c r="R20" s="2222"/>
      <c r="S20" s="2025"/>
    </row>
    <row r="21" spans="1:45" ht="15.75">
      <c r="A21" s="3224" t="s">
        <v>3534</v>
      </c>
      <c r="B21" s="772">
        <f ca="1">R22</f>
        <v>12849</v>
      </c>
      <c r="C21" s="1987"/>
      <c r="D21" s="1987"/>
      <c r="E21" s="1987"/>
      <c r="F21" s="1987"/>
      <c r="G21" s="1987"/>
      <c r="H21" s="1987"/>
      <c r="I21" s="1987"/>
      <c r="J21" s="1987"/>
      <c r="K21" s="1987"/>
      <c r="L21" s="1987"/>
      <c r="M21" s="1987"/>
      <c r="N21" s="1987"/>
      <c r="O21" s="1987"/>
      <c r="P21" s="1987"/>
      <c r="Q21" s="1987"/>
      <c r="R21" s="3222" t="s">
        <v>3533</v>
      </c>
      <c r="S21" s="2025"/>
    </row>
    <row r="22" spans="1:45">
      <c r="A22" s="796" t="s">
        <v>827</v>
      </c>
      <c r="B22" s="52">
        <f>SUM(B24:B10000)</f>
        <v>72299.64</v>
      </c>
      <c r="C22" s="3544" t="s">
        <v>20</v>
      </c>
      <c r="D22" s="3545"/>
      <c r="E22" s="3545"/>
      <c r="F22" s="3545"/>
      <c r="G22" s="3545"/>
      <c r="H22" s="3545"/>
      <c r="I22" s="3545"/>
      <c r="J22" s="3545"/>
      <c r="K22" s="3545"/>
      <c r="L22" s="3545"/>
      <c r="M22" s="3545"/>
      <c r="N22" s="3545"/>
      <c r="O22" s="3545"/>
      <c r="P22" s="3545"/>
      <c r="Q22" s="3546"/>
      <c r="R22" s="488">
        <f ca="1">ROUND(S22*10000/B22,0)</f>
        <v>12849</v>
      </c>
      <c r="S22" s="52">
        <f ca="1">SUM(S24:S10000)</f>
        <v>92898</v>
      </c>
    </row>
    <row r="23" spans="1:45" s="1611" customFormat="1" ht="24">
      <c r="A23" s="17" t="s">
        <v>828</v>
      </c>
      <c r="B23" s="3225" t="s">
        <v>3535</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3216" t="s">
        <v>3536</v>
      </c>
      <c r="U23" s="3217" t="s">
        <v>3538</v>
      </c>
      <c r="V23" s="3217" t="s">
        <v>3537</v>
      </c>
      <c r="W23" s="18"/>
      <c r="X23" s="18"/>
      <c r="Y23" s="18"/>
      <c r="Z23" s="18"/>
      <c r="AA23" s="18"/>
      <c r="AB23" s="18"/>
      <c r="AC23" s="18"/>
      <c r="AD23" s="18"/>
      <c r="AE23" s="18"/>
      <c r="AF23" s="18"/>
      <c r="AG23" s="18"/>
      <c r="AH23" s="18"/>
      <c r="AI23" s="18"/>
    </row>
    <row r="24" spans="1:45" s="1612" customFormat="1">
      <c r="A24" s="958" t="str">
        <f>面积表!A9</f>
        <v>1#地块</v>
      </c>
      <c r="B24" s="958">
        <f>面积表!C9</f>
        <v>72299.64</v>
      </c>
      <c r="C24" s="959">
        <v>1</v>
      </c>
      <c r="D24" s="960"/>
      <c r="E24" s="959">
        <v>1</v>
      </c>
      <c r="F24" s="960"/>
      <c r="G24" s="959">
        <v>1</v>
      </c>
      <c r="H24" s="960"/>
      <c r="I24" s="959">
        <v>1</v>
      </c>
      <c r="J24" s="960"/>
      <c r="K24" s="959">
        <v>1</v>
      </c>
      <c r="L24" s="960"/>
      <c r="M24" s="959">
        <v>1</v>
      </c>
      <c r="N24" s="960"/>
      <c r="O24" s="959">
        <v>1</v>
      </c>
      <c r="P24" s="960"/>
      <c r="Q24" s="959">
        <v>1</v>
      </c>
      <c r="R24" s="961">
        <f ca="1">结果表!M38</f>
        <v>12849</v>
      </c>
      <c r="S24" s="959">
        <f t="shared" ref="S24:S54" ca="1" si="11">ROUND(R24*B24/10000,0)</f>
        <v>92898</v>
      </c>
      <c r="T24" s="3216">
        <f ca="1">ROUND(结果表!C32/'数据-汇总表'!E16*10000,0)</f>
        <v>3730</v>
      </c>
      <c r="U24" s="1970">
        <f>面积表!G9</f>
        <v>255941</v>
      </c>
      <c r="V24" s="1970">
        <f ca="1">ROUND(T24*U24/10000,0)</f>
        <v>95466</v>
      </c>
      <c r="W24" s="1970"/>
      <c r="X24" s="1970"/>
      <c r="Y24" s="1970"/>
      <c r="Z24" s="1970"/>
      <c r="AA24" s="1970"/>
      <c r="AB24" s="1970"/>
      <c r="AC24" s="1970"/>
      <c r="AD24" s="1970"/>
      <c r="AE24" s="1970"/>
      <c r="AF24" s="1970"/>
      <c r="AG24" s="1970"/>
      <c r="AH24" s="1970"/>
      <c r="AI24" s="1970"/>
    </row>
    <row r="25" spans="1:45">
      <c r="A25" s="958">
        <f>面积表!A10</f>
        <v>0</v>
      </c>
      <c r="B25" s="958">
        <f>面积表!C10</f>
        <v>0</v>
      </c>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12849</v>
      </c>
      <c r="S25" s="796">
        <f t="shared" ca="1" si="11"/>
        <v>0</v>
      </c>
      <c r="T25" s="3216">
        <f ca="1">$T$24</f>
        <v>3730</v>
      </c>
      <c r="U25" s="1970">
        <f>面积表!G10</f>
        <v>0</v>
      </c>
      <c r="V25" s="1970">
        <f t="shared" ref="V25:V28" ca="1" si="12">ROUND(T25*U25/10000,0)</f>
        <v>0</v>
      </c>
    </row>
    <row r="26" spans="1:45">
      <c r="A26" s="958">
        <f>面积表!A11</f>
        <v>0</v>
      </c>
      <c r="B26" s="958">
        <f>面积表!C11</f>
        <v>0</v>
      </c>
      <c r="C26" s="52">
        <f t="shared" ref="C26:C89" si="13">IF(B26="",1,(LOOKUP(B26,$3:$3,$4:$4)-LOOKUP($B$24,$3:$3,$4:$4)+100)/100)</f>
        <v>1</v>
      </c>
      <c r="D26" s="960"/>
      <c r="E26" s="52">
        <f t="shared" ref="E26:E89" si="14">(SUMIF($5:$5,D26,$6:$6)-SUMIF($5:$5,$D$24,$6:$6)+100)/100</f>
        <v>1</v>
      </c>
      <c r="F26" s="960"/>
      <c r="G26" s="52">
        <f t="shared" ref="G26:G89" si="15">(SUMIF($7:$7,F26,$8:$8)-SUMIF($7:$7,$F$24,$8:$8)+100)/100</f>
        <v>1</v>
      </c>
      <c r="H26" s="960"/>
      <c r="I26" s="52">
        <f t="shared" ref="I26:I89" si="16">(SUMIF($9:$9,H26,$10:$10)-SUMIF($9:$9,$H$24,$10:$10)+100)/100</f>
        <v>1</v>
      </c>
      <c r="J26" s="960"/>
      <c r="K26" s="52">
        <f t="shared" ref="K26:K89" si="17">(SUMIF($11:$11,J26,$12:$12)-SUMIF($11:$11,$J$24,$12:$12)+100)/100</f>
        <v>1</v>
      </c>
      <c r="L26" s="960"/>
      <c r="M26" s="52">
        <f t="shared" ref="M26:M89" si="18">(SUMIF($13:$13,L26,$14:$14)-SUMIF($13:$13,$L$24,$14:$14)+100)/100</f>
        <v>1</v>
      </c>
      <c r="N26" s="960"/>
      <c r="O26" s="52">
        <f t="shared" ref="O26:O89" si="19">(SUMIF($15:$15,N26,$16:$16)-SUMIF($15:$15,$N$24,$16:$16)+100)/100</f>
        <v>1</v>
      </c>
      <c r="P26" s="960"/>
      <c r="Q26" s="52">
        <f t="shared" ref="Q26:Q89" si="20">(SUMIF($17:$17,P26,$18:$18)-SUMIF($17:$17,$P$24,$18:$18)+100)/100</f>
        <v>1</v>
      </c>
      <c r="R26" s="488">
        <f t="shared" ref="R26:R89" ca="1" si="21">IF(B26="",0,ROUND($R$24*C26*E26*G26*I26*K26*M26*O26*Q26,0))</f>
        <v>12849</v>
      </c>
      <c r="S26" s="796">
        <f t="shared" ca="1" si="11"/>
        <v>0</v>
      </c>
      <c r="T26" s="3216">
        <f t="shared" ref="T26:T28" ca="1" si="22">$T$24</f>
        <v>3730</v>
      </c>
      <c r="U26" s="1970">
        <f>面积表!G11</f>
        <v>0</v>
      </c>
      <c r="V26" s="1970">
        <f t="shared" ca="1" si="12"/>
        <v>0</v>
      </c>
    </row>
    <row r="27" spans="1:45">
      <c r="A27" s="958">
        <f>面积表!A12</f>
        <v>0</v>
      </c>
      <c r="B27" s="958">
        <f>面积表!C12</f>
        <v>0</v>
      </c>
      <c r="C27" s="52">
        <f t="shared" si="13"/>
        <v>1</v>
      </c>
      <c r="D27" s="960"/>
      <c r="E27" s="52">
        <f t="shared" si="14"/>
        <v>1</v>
      </c>
      <c r="F27" s="960"/>
      <c r="G27" s="52">
        <f t="shared" si="15"/>
        <v>1</v>
      </c>
      <c r="H27" s="960"/>
      <c r="I27" s="52">
        <f t="shared" si="16"/>
        <v>1</v>
      </c>
      <c r="J27" s="960"/>
      <c r="K27" s="52">
        <f t="shared" si="17"/>
        <v>1</v>
      </c>
      <c r="L27" s="960"/>
      <c r="M27" s="52">
        <f t="shared" si="18"/>
        <v>1</v>
      </c>
      <c r="N27" s="960"/>
      <c r="O27" s="52">
        <f t="shared" si="19"/>
        <v>1</v>
      </c>
      <c r="P27" s="960"/>
      <c r="Q27" s="52">
        <f t="shared" si="20"/>
        <v>1</v>
      </c>
      <c r="R27" s="488">
        <f t="shared" ca="1" si="21"/>
        <v>12849</v>
      </c>
      <c r="S27" s="796">
        <f t="shared" ca="1" si="11"/>
        <v>0</v>
      </c>
      <c r="T27" s="3216">
        <f t="shared" ca="1" si="22"/>
        <v>3730</v>
      </c>
      <c r="U27" s="1970">
        <f>面积表!G12</f>
        <v>0</v>
      </c>
      <c r="V27" s="1970">
        <f t="shared" ca="1" si="12"/>
        <v>0</v>
      </c>
    </row>
    <row r="28" spans="1:45">
      <c r="A28" s="958">
        <f>面积表!A13</f>
        <v>0</v>
      </c>
      <c r="B28" s="958">
        <f>面积表!C13</f>
        <v>0</v>
      </c>
      <c r="C28" s="52">
        <f t="shared" si="13"/>
        <v>1</v>
      </c>
      <c r="D28" s="960"/>
      <c r="E28" s="52">
        <f t="shared" si="14"/>
        <v>1</v>
      </c>
      <c r="F28" s="960"/>
      <c r="G28" s="52">
        <f t="shared" si="15"/>
        <v>1</v>
      </c>
      <c r="H28" s="960"/>
      <c r="I28" s="52">
        <f t="shared" si="16"/>
        <v>1</v>
      </c>
      <c r="J28" s="960"/>
      <c r="K28" s="52">
        <f t="shared" si="17"/>
        <v>1</v>
      </c>
      <c r="L28" s="960"/>
      <c r="M28" s="52">
        <f t="shared" si="18"/>
        <v>1</v>
      </c>
      <c r="N28" s="960"/>
      <c r="O28" s="52">
        <f t="shared" si="19"/>
        <v>1</v>
      </c>
      <c r="P28" s="960"/>
      <c r="Q28" s="52">
        <f t="shared" si="20"/>
        <v>1</v>
      </c>
      <c r="R28" s="488">
        <f t="shared" ca="1" si="21"/>
        <v>12849</v>
      </c>
      <c r="S28" s="796">
        <f t="shared" ca="1" si="11"/>
        <v>0</v>
      </c>
      <c r="T28" s="3216">
        <f t="shared" ca="1" si="22"/>
        <v>3730</v>
      </c>
      <c r="U28" s="1970">
        <f>面积表!G13</f>
        <v>0</v>
      </c>
      <c r="V28" s="1970">
        <f t="shared" ca="1" si="12"/>
        <v>0</v>
      </c>
    </row>
    <row r="29" spans="1:45">
      <c r="A29" s="958">
        <f>面积表!A14</f>
        <v>0</v>
      </c>
      <c r="B29" s="958">
        <f>面积表!C14</f>
        <v>0</v>
      </c>
      <c r="C29" s="52">
        <f t="shared" si="13"/>
        <v>1</v>
      </c>
      <c r="D29" s="960"/>
      <c r="E29" s="52">
        <f t="shared" si="14"/>
        <v>1</v>
      </c>
      <c r="F29" s="960"/>
      <c r="G29" s="52">
        <f t="shared" si="15"/>
        <v>1</v>
      </c>
      <c r="H29" s="960"/>
      <c r="I29" s="52">
        <f t="shared" si="16"/>
        <v>1</v>
      </c>
      <c r="J29" s="960"/>
      <c r="K29" s="52">
        <f t="shared" si="17"/>
        <v>1</v>
      </c>
      <c r="L29" s="960"/>
      <c r="M29" s="52">
        <f t="shared" si="18"/>
        <v>1</v>
      </c>
      <c r="N29" s="960"/>
      <c r="O29" s="52">
        <f t="shared" si="19"/>
        <v>1</v>
      </c>
      <c r="P29" s="960"/>
      <c r="Q29" s="52">
        <f t="shared" si="20"/>
        <v>1</v>
      </c>
      <c r="R29" s="488">
        <f t="shared" ca="1" si="21"/>
        <v>12849</v>
      </c>
      <c r="S29" s="796">
        <f t="shared" ca="1" si="11"/>
        <v>0</v>
      </c>
      <c r="T29" s="3216" t="e">
        <f ca="1">ROUND(V29/U29*10000,0)</f>
        <v>#DIV/0!</v>
      </c>
      <c r="U29" s="1970">
        <f>面积表!G14</f>
        <v>0</v>
      </c>
      <c r="V29" s="1970">
        <f ca="1">V30-V24-V25-V26-V27-V28</f>
        <v>-2567</v>
      </c>
    </row>
    <row r="30" spans="1:45">
      <c r="A30" s="958"/>
      <c r="B30" s="958"/>
      <c r="C30" s="52">
        <f t="shared" si="13"/>
        <v>1</v>
      </c>
      <c r="D30" s="960"/>
      <c r="E30" s="52">
        <f t="shared" si="14"/>
        <v>1</v>
      </c>
      <c r="F30" s="960"/>
      <c r="G30" s="52">
        <f t="shared" si="15"/>
        <v>1</v>
      </c>
      <c r="H30" s="960"/>
      <c r="I30" s="52">
        <f t="shared" si="16"/>
        <v>1</v>
      </c>
      <c r="J30" s="960"/>
      <c r="K30" s="52">
        <f t="shared" si="17"/>
        <v>1</v>
      </c>
      <c r="L30" s="960"/>
      <c r="M30" s="52">
        <f t="shared" si="18"/>
        <v>1</v>
      </c>
      <c r="N30" s="960"/>
      <c r="O30" s="52">
        <f t="shared" si="19"/>
        <v>1</v>
      </c>
      <c r="P30" s="960"/>
      <c r="Q30" s="52">
        <f t="shared" si="20"/>
        <v>1</v>
      </c>
      <c r="R30" s="488">
        <f t="shared" si="21"/>
        <v>0</v>
      </c>
      <c r="S30" s="796">
        <f t="shared" si="11"/>
        <v>0</v>
      </c>
      <c r="T30" s="3223"/>
      <c r="U30" s="3223">
        <f t="shared" ref="U30" si="23">SUM(U24:U29)</f>
        <v>255941</v>
      </c>
      <c r="V30" s="3223">
        <f ca="1">结果表!C44</f>
        <v>92899</v>
      </c>
    </row>
    <row r="31" spans="1:45">
      <c r="A31" s="958"/>
      <c r="B31" s="135"/>
      <c r="C31" s="52">
        <f t="shared" si="13"/>
        <v>1</v>
      </c>
      <c r="D31" s="960"/>
      <c r="E31" s="52">
        <f t="shared" si="14"/>
        <v>1</v>
      </c>
      <c r="F31" s="960"/>
      <c r="G31" s="52">
        <f t="shared" si="15"/>
        <v>1</v>
      </c>
      <c r="H31" s="960"/>
      <c r="I31" s="52">
        <f t="shared" si="16"/>
        <v>1</v>
      </c>
      <c r="J31" s="960"/>
      <c r="K31" s="52">
        <f t="shared" si="17"/>
        <v>1</v>
      </c>
      <c r="L31" s="960"/>
      <c r="M31" s="52">
        <f t="shared" si="18"/>
        <v>1</v>
      </c>
      <c r="N31" s="960"/>
      <c r="O31" s="52">
        <f t="shared" si="19"/>
        <v>1</v>
      </c>
      <c r="P31" s="960"/>
      <c r="Q31" s="52">
        <f t="shared" si="20"/>
        <v>1</v>
      </c>
      <c r="R31" s="488">
        <f t="shared" si="21"/>
        <v>0</v>
      </c>
      <c r="S31" s="796">
        <f t="shared" si="11"/>
        <v>0</v>
      </c>
    </row>
    <row r="32" spans="1:45">
      <c r="A32" s="958"/>
      <c r="B32" s="135"/>
      <c r="C32" s="52">
        <f t="shared" si="13"/>
        <v>1</v>
      </c>
      <c r="D32" s="960"/>
      <c r="E32" s="52">
        <f t="shared" si="14"/>
        <v>1</v>
      </c>
      <c r="F32" s="960"/>
      <c r="G32" s="52">
        <f t="shared" si="15"/>
        <v>1</v>
      </c>
      <c r="H32" s="960"/>
      <c r="I32" s="52">
        <f t="shared" si="16"/>
        <v>1</v>
      </c>
      <c r="J32" s="960"/>
      <c r="K32" s="52">
        <f t="shared" si="17"/>
        <v>1</v>
      </c>
      <c r="L32" s="960"/>
      <c r="M32" s="52">
        <f t="shared" si="18"/>
        <v>1</v>
      </c>
      <c r="N32" s="960"/>
      <c r="O32" s="52">
        <f t="shared" si="19"/>
        <v>1</v>
      </c>
      <c r="P32" s="960"/>
      <c r="Q32" s="52">
        <f t="shared" si="20"/>
        <v>1</v>
      </c>
      <c r="R32" s="488">
        <f t="shared" si="21"/>
        <v>0</v>
      </c>
      <c r="S32" s="796">
        <f t="shared" si="11"/>
        <v>0</v>
      </c>
    </row>
    <row r="33" spans="1:19">
      <c r="A33" s="962"/>
      <c r="B33" s="135"/>
      <c r="C33" s="52">
        <f t="shared" si="13"/>
        <v>1</v>
      </c>
      <c r="D33" s="960"/>
      <c r="E33" s="52">
        <f t="shared" si="14"/>
        <v>1</v>
      </c>
      <c r="F33" s="960"/>
      <c r="G33" s="52">
        <f t="shared" si="15"/>
        <v>1</v>
      </c>
      <c r="H33" s="960"/>
      <c r="I33" s="52">
        <f t="shared" si="16"/>
        <v>1</v>
      </c>
      <c r="J33" s="960"/>
      <c r="K33" s="52">
        <f t="shared" si="17"/>
        <v>1</v>
      </c>
      <c r="L33" s="960"/>
      <c r="M33" s="52">
        <f t="shared" si="18"/>
        <v>1</v>
      </c>
      <c r="N33" s="960"/>
      <c r="O33" s="52">
        <f t="shared" si="19"/>
        <v>1</v>
      </c>
      <c r="P33" s="960"/>
      <c r="Q33" s="52">
        <f t="shared" si="20"/>
        <v>1</v>
      </c>
      <c r="R33" s="488">
        <f t="shared" si="21"/>
        <v>0</v>
      </c>
      <c r="S33" s="796">
        <f t="shared" si="11"/>
        <v>0</v>
      </c>
    </row>
    <row r="34" spans="1:19">
      <c r="A34" s="962"/>
      <c r="B34" s="135"/>
      <c r="C34" s="52">
        <f t="shared" si="13"/>
        <v>1</v>
      </c>
      <c r="D34" s="960"/>
      <c r="E34" s="52">
        <f t="shared" si="14"/>
        <v>1</v>
      </c>
      <c r="F34" s="960"/>
      <c r="G34" s="52">
        <f t="shared" si="15"/>
        <v>1</v>
      </c>
      <c r="H34" s="960"/>
      <c r="I34" s="52">
        <f t="shared" si="16"/>
        <v>1</v>
      </c>
      <c r="J34" s="960"/>
      <c r="K34" s="52">
        <f t="shared" si="17"/>
        <v>1</v>
      </c>
      <c r="L34" s="960"/>
      <c r="M34" s="52">
        <f t="shared" si="18"/>
        <v>1</v>
      </c>
      <c r="N34" s="960"/>
      <c r="O34" s="52">
        <f t="shared" si="19"/>
        <v>1</v>
      </c>
      <c r="P34" s="960"/>
      <c r="Q34" s="52">
        <f t="shared" si="20"/>
        <v>1</v>
      </c>
      <c r="R34" s="488">
        <f t="shared" si="21"/>
        <v>0</v>
      </c>
      <c r="S34" s="796">
        <f t="shared" si="11"/>
        <v>0</v>
      </c>
    </row>
    <row r="35" spans="1:19">
      <c r="A35" s="962"/>
      <c r="B35" s="135"/>
      <c r="C35" s="52">
        <f t="shared" si="13"/>
        <v>1</v>
      </c>
      <c r="D35" s="960"/>
      <c r="E35" s="52">
        <f t="shared" si="14"/>
        <v>1</v>
      </c>
      <c r="F35" s="960"/>
      <c r="G35" s="52">
        <f t="shared" si="15"/>
        <v>1</v>
      </c>
      <c r="H35" s="960"/>
      <c r="I35" s="52">
        <f t="shared" si="16"/>
        <v>1</v>
      </c>
      <c r="J35" s="960"/>
      <c r="K35" s="52">
        <f t="shared" si="17"/>
        <v>1</v>
      </c>
      <c r="L35" s="960"/>
      <c r="M35" s="52">
        <f t="shared" si="18"/>
        <v>1</v>
      </c>
      <c r="N35" s="960"/>
      <c r="O35" s="52">
        <f t="shared" si="19"/>
        <v>1</v>
      </c>
      <c r="P35" s="960"/>
      <c r="Q35" s="52">
        <f t="shared" si="20"/>
        <v>1</v>
      </c>
      <c r="R35" s="488">
        <f t="shared" si="21"/>
        <v>0</v>
      </c>
      <c r="S35" s="796">
        <f t="shared" si="11"/>
        <v>0</v>
      </c>
    </row>
    <row r="36" spans="1:19">
      <c r="A36" s="962"/>
      <c r="B36" s="135"/>
      <c r="C36" s="52">
        <f t="shared" si="13"/>
        <v>1</v>
      </c>
      <c r="D36" s="960"/>
      <c r="E36" s="52">
        <f t="shared" si="14"/>
        <v>1</v>
      </c>
      <c r="F36" s="960"/>
      <c r="G36" s="52">
        <f t="shared" si="15"/>
        <v>1</v>
      </c>
      <c r="H36" s="960"/>
      <c r="I36" s="52">
        <f t="shared" si="16"/>
        <v>1</v>
      </c>
      <c r="J36" s="960"/>
      <c r="K36" s="52">
        <f t="shared" si="17"/>
        <v>1</v>
      </c>
      <c r="L36" s="960"/>
      <c r="M36" s="52">
        <f t="shared" si="18"/>
        <v>1</v>
      </c>
      <c r="N36" s="960"/>
      <c r="O36" s="52">
        <f t="shared" si="19"/>
        <v>1</v>
      </c>
      <c r="P36" s="960"/>
      <c r="Q36" s="52">
        <f t="shared" si="20"/>
        <v>1</v>
      </c>
      <c r="R36" s="488">
        <f t="shared" si="21"/>
        <v>0</v>
      </c>
      <c r="S36" s="796">
        <f t="shared" si="11"/>
        <v>0</v>
      </c>
    </row>
    <row r="37" spans="1:19">
      <c r="A37" s="962"/>
      <c r="B37" s="135"/>
      <c r="C37" s="52">
        <f t="shared" si="13"/>
        <v>1</v>
      </c>
      <c r="D37" s="960"/>
      <c r="E37" s="52">
        <f t="shared" si="14"/>
        <v>1</v>
      </c>
      <c r="F37" s="960"/>
      <c r="G37" s="52">
        <f t="shared" si="15"/>
        <v>1</v>
      </c>
      <c r="H37" s="960"/>
      <c r="I37" s="52">
        <f t="shared" si="16"/>
        <v>1</v>
      </c>
      <c r="J37" s="960"/>
      <c r="K37" s="52">
        <f t="shared" si="17"/>
        <v>1</v>
      </c>
      <c r="L37" s="960"/>
      <c r="M37" s="52">
        <f t="shared" si="18"/>
        <v>1</v>
      </c>
      <c r="N37" s="960"/>
      <c r="O37" s="52">
        <f t="shared" si="19"/>
        <v>1</v>
      </c>
      <c r="P37" s="960"/>
      <c r="Q37" s="52">
        <f t="shared" si="20"/>
        <v>1</v>
      </c>
      <c r="R37" s="488">
        <f t="shared" si="21"/>
        <v>0</v>
      </c>
      <c r="S37" s="796">
        <f t="shared" si="11"/>
        <v>0</v>
      </c>
    </row>
    <row r="38" spans="1:19">
      <c r="A38" s="962"/>
      <c r="B38" s="135"/>
      <c r="C38" s="52">
        <f t="shared" si="13"/>
        <v>1</v>
      </c>
      <c r="D38" s="960"/>
      <c r="E38" s="52">
        <f t="shared" si="14"/>
        <v>1</v>
      </c>
      <c r="F38" s="960"/>
      <c r="G38" s="52">
        <f t="shared" si="15"/>
        <v>1</v>
      </c>
      <c r="H38" s="960"/>
      <c r="I38" s="52">
        <f t="shared" si="16"/>
        <v>1</v>
      </c>
      <c r="J38" s="960"/>
      <c r="K38" s="52">
        <f t="shared" si="17"/>
        <v>1</v>
      </c>
      <c r="L38" s="960"/>
      <c r="M38" s="52">
        <f t="shared" si="18"/>
        <v>1</v>
      </c>
      <c r="N38" s="960"/>
      <c r="O38" s="52">
        <f t="shared" si="19"/>
        <v>1</v>
      </c>
      <c r="P38" s="960"/>
      <c r="Q38" s="52">
        <f t="shared" si="20"/>
        <v>1</v>
      </c>
      <c r="R38" s="488">
        <f t="shared" si="21"/>
        <v>0</v>
      </c>
      <c r="S38" s="796">
        <f t="shared" si="11"/>
        <v>0</v>
      </c>
    </row>
    <row r="39" spans="1:19">
      <c r="A39" s="962"/>
      <c r="B39" s="135"/>
      <c r="C39" s="52">
        <f t="shared" si="13"/>
        <v>1</v>
      </c>
      <c r="D39" s="960"/>
      <c r="E39" s="52">
        <f t="shared" si="14"/>
        <v>1</v>
      </c>
      <c r="F39" s="960"/>
      <c r="G39" s="52">
        <f t="shared" si="15"/>
        <v>1</v>
      </c>
      <c r="H39" s="960"/>
      <c r="I39" s="52">
        <f t="shared" si="16"/>
        <v>1</v>
      </c>
      <c r="J39" s="960"/>
      <c r="K39" s="52">
        <f t="shared" si="17"/>
        <v>1</v>
      </c>
      <c r="L39" s="960"/>
      <c r="M39" s="52">
        <f t="shared" si="18"/>
        <v>1</v>
      </c>
      <c r="N39" s="960"/>
      <c r="O39" s="52">
        <f t="shared" si="19"/>
        <v>1</v>
      </c>
      <c r="P39" s="960"/>
      <c r="Q39" s="52">
        <f t="shared" si="20"/>
        <v>1</v>
      </c>
      <c r="R39" s="488">
        <f t="shared" si="21"/>
        <v>0</v>
      </c>
      <c r="S39" s="796">
        <f t="shared" si="11"/>
        <v>0</v>
      </c>
    </row>
    <row r="40" spans="1:19">
      <c r="A40" s="962"/>
      <c r="B40" s="135"/>
      <c r="C40" s="52">
        <f t="shared" si="13"/>
        <v>1</v>
      </c>
      <c r="D40" s="960"/>
      <c r="E40" s="52">
        <f t="shared" si="14"/>
        <v>1</v>
      </c>
      <c r="F40" s="960"/>
      <c r="G40" s="52">
        <f t="shared" si="15"/>
        <v>1</v>
      </c>
      <c r="H40" s="960"/>
      <c r="I40" s="52">
        <f t="shared" si="16"/>
        <v>1</v>
      </c>
      <c r="J40" s="960"/>
      <c r="K40" s="52">
        <f t="shared" si="17"/>
        <v>1</v>
      </c>
      <c r="L40" s="960"/>
      <c r="M40" s="52">
        <f t="shared" si="18"/>
        <v>1</v>
      </c>
      <c r="N40" s="960"/>
      <c r="O40" s="52">
        <f t="shared" si="19"/>
        <v>1</v>
      </c>
      <c r="P40" s="960"/>
      <c r="Q40" s="52">
        <f t="shared" si="20"/>
        <v>1</v>
      </c>
      <c r="R40" s="488">
        <f t="shared" si="21"/>
        <v>0</v>
      </c>
      <c r="S40" s="796">
        <f t="shared" si="11"/>
        <v>0</v>
      </c>
    </row>
    <row r="41" spans="1:19">
      <c r="A41" s="962"/>
      <c r="B41" s="135"/>
      <c r="C41" s="52">
        <f t="shared" si="13"/>
        <v>1</v>
      </c>
      <c r="D41" s="960"/>
      <c r="E41" s="52">
        <f t="shared" si="14"/>
        <v>1</v>
      </c>
      <c r="F41" s="960"/>
      <c r="G41" s="52">
        <f t="shared" si="15"/>
        <v>1</v>
      </c>
      <c r="H41" s="960"/>
      <c r="I41" s="52">
        <f t="shared" si="16"/>
        <v>1</v>
      </c>
      <c r="J41" s="960"/>
      <c r="K41" s="52">
        <f t="shared" si="17"/>
        <v>1</v>
      </c>
      <c r="L41" s="960"/>
      <c r="M41" s="52">
        <f t="shared" si="18"/>
        <v>1</v>
      </c>
      <c r="N41" s="960"/>
      <c r="O41" s="52">
        <f t="shared" si="19"/>
        <v>1</v>
      </c>
      <c r="P41" s="960"/>
      <c r="Q41" s="52">
        <f t="shared" si="20"/>
        <v>1</v>
      </c>
      <c r="R41" s="488">
        <f t="shared" si="21"/>
        <v>0</v>
      </c>
      <c r="S41" s="796">
        <f t="shared" si="11"/>
        <v>0</v>
      </c>
    </row>
    <row r="42" spans="1:19">
      <c r="A42" s="962"/>
      <c r="B42" s="135"/>
      <c r="C42" s="52">
        <f t="shared" si="13"/>
        <v>1</v>
      </c>
      <c r="D42" s="960"/>
      <c r="E42" s="52">
        <f t="shared" si="14"/>
        <v>1</v>
      </c>
      <c r="F42" s="960"/>
      <c r="G42" s="52">
        <f t="shared" si="15"/>
        <v>1</v>
      </c>
      <c r="H42" s="960"/>
      <c r="I42" s="52">
        <f t="shared" si="16"/>
        <v>1</v>
      </c>
      <c r="J42" s="960"/>
      <c r="K42" s="52">
        <f t="shared" si="17"/>
        <v>1</v>
      </c>
      <c r="L42" s="960"/>
      <c r="M42" s="52">
        <f t="shared" si="18"/>
        <v>1</v>
      </c>
      <c r="N42" s="960"/>
      <c r="O42" s="52">
        <f t="shared" si="19"/>
        <v>1</v>
      </c>
      <c r="P42" s="960"/>
      <c r="Q42" s="52">
        <f t="shared" si="20"/>
        <v>1</v>
      </c>
      <c r="R42" s="488">
        <f t="shared" si="21"/>
        <v>0</v>
      </c>
      <c r="S42" s="796">
        <f t="shared" si="11"/>
        <v>0</v>
      </c>
    </row>
    <row r="43" spans="1:19">
      <c r="A43" s="962"/>
      <c r="B43" s="135"/>
      <c r="C43" s="52">
        <f t="shared" si="13"/>
        <v>1</v>
      </c>
      <c r="D43" s="960"/>
      <c r="E43" s="52">
        <f t="shared" si="14"/>
        <v>1</v>
      </c>
      <c r="F43" s="960"/>
      <c r="G43" s="52">
        <f t="shared" si="15"/>
        <v>1</v>
      </c>
      <c r="H43" s="960"/>
      <c r="I43" s="52">
        <f t="shared" si="16"/>
        <v>1</v>
      </c>
      <c r="J43" s="960"/>
      <c r="K43" s="52">
        <f t="shared" si="17"/>
        <v>1</v>
      </c>
      <c r="L43" s="960"/>
      <c r="M43" s="52">
        <f t="shared" si="18"/>
        <v>1</v>
      </c>
      <c r="N43" s="960"/>
      <c r="O43" s="52">
        <f t="shared" si="19"/>
        <v>1</v>
      </c>
      <c r="P43" s="960"/>
      <c r="Q43" s="52">
        <f t="shared" si="20"/>
        <v>1</v>
      </c>
      <c r="R43" s="488">
        <f t="shared" si="21"/>
        <v>0</v>
      </c>
      <c r="S43" s="796">
        <f t="shared" si="11"/>
        <v>0</v>
      </c>
    </row>
    <row r="44" spans="1:19">
      <c r="A44" s="962"/>
      <c r="B44" s="135"/>
      <c r="C44" s="52">
        <f t="shared" si="13"/>
        <v>1</v>
      </c>
      <c r="D44" s="960"/>
      <c r="E44" s="52">
        <f t="shared" si="14"/>
        <v>1</v>
      </c>
      <c r="F44" s="960"/>
      <c r="G44" s="52">
        <f t="shared" si="15"/>
        <v>1</v>
      </c>
      <c r="H44" s="960"/>
      <c r="I44" s="52">
        <f t="shared" si="16"/>
        <v>1</v>
      </c>
      <c r="J44" s="960"/>
      <c r="K44" s="52">
        <f t="shared" si="17"/>
        <v>1</v>
      </c>
      <c r="L44" s="960"/>
      <c r="M44" s="52">
        <f t="shared" si="18"/>
        <v>1</v>
      </c>
      <c r="N44" s="960"/>
      <c r="O44" s="52">
        <f t="shared" si="19"/>
        <v>1</v>
      </c>
      <c r="P44" s="960"/>
      <c r="Q44" s="52">
        <f t="shared" si="20"/>
        <v>1</v>
      </c>
      <c r="R44" s="488">
        <f t="shared" si="21"/>
        <v>0</v>
      </c>
      <c r="S44" s="796">
        <f t="shared" si="11"/>
        <v>0</v>
      </c>
    </row>
    <row r="45" spans="1:19">
      <c r="A45" s="962"/>
      <c r="B45" s="135"/>
      <c r="C45" s="52">
        <f t="shared" si="13"/>
        <v>1</v>
      </c>
      <c r="D45" s="960"/>
      <c r="E45" s="52">
        <f t="shared" si="14"/>
        <v>1</v>
      </c>
      <c r="F45" s="960"/>
      <c r="G45" s="52">
        <f t="shared" si="15"/>
        <v>1</v>
      </c>
      <c r="H45" s="960"/>
      <c r="I45" s="52">
        <f t="shared" si="16"/>
        <v>1</v>
      </c>
      <c r="J45" s="960"/>
      <c r="K45" s="52">
        <f t="shared" si="17"/>
        <v>1</v>
      </c>
      <c r="L45" s="960"/>
      <c r="M45" s="52">
        <f t="shared" si="18"/>
        <v>1</v>
      </c>
      <c r="N45" s="960"/>
      <c r="O45" s="52">
        <f t="shared" si="19"/>
        <v>1</v>
      </c>
      <c r="P45" s="960"/>
      <c r="Q45" s="52">
        <f t="shared" si="20"/>
        <v>1</v>
      </c>
      <c r="R45" s="488">
        <f t="shared" si="21"/>
        <v>0</v>
      </c>
      <c r="S45" s="796">
        <f t="shared" si="11"/>
        <v>0</v>
      </c>
    </row>
    <row r="46" spans="1:19">
      <c r="A46" s="962"/>
      <c r="B46" s="135"/>
      <c r="C46" s="52">
        <f t="shared" si="13"/>
        <v>1</v>
      </c>
      <c r="D46" s="960"/>
      <c r="E46" s="52">
        <f t="shared" si="14"/>
        <v>1</v>
      </c>
      <c r="F46" s="960"/>
      <c r="G46" s="52">
        <f t="shared" si="15"/>
        <v>1</v>
      </c>
      <c r="H46" s="960"/>
      <c r="I46" s="52">
        <f t="shared" si="16"/>
        <v>1</v>
      </c>
      <c r="J46" s="960"/>
      <c r="K46" s="52">
        <f t="shared" si="17"/>
        <v>1</v>
      </c>
      <c r="L46" s="960"/>
      <c r="M46" s="52">
        <f t="shared" si="18"/>
        <v>1</v>
      </c>
      <c r="N46" s="960"/>
      <c r="O46" s="52">
        <f t="shared" si="19"/>
        <v>1</v>
      </c>
      <c r="P46" s="960"/>
      <c r="Q46" s="52">
        <f t="shared" si="20"/>
        <v>1</v>
      </c>
      <c r="R46" s="488">
        <f t="shared" si="21"/>
        <v>0</v>
      </c>
      <c r="S46" s="796">
        <f t="shared" si="11"/>
        <v>0</v>
      </c>
    </row>
    <row r="47" spans="1:19">
      <c r="A47" s="962"/>
      <c r="B47" s="135"/>
      <c r="C47" s="52">
        <f t="shared" si="13"/>
        <v>1</v>
      </c>
      <c r="D47" s="960"/>
      <c r="E47" s="52">
        <f t="shared" si="14"/>
        <v>1</v>
      </c>
      <c r="F47" s="960"/>
      <c r="G47" s="52">
        <f t="shared" si="15"/>
        <v>1</v>
      </c>
      <c r="H47" s="960"/>
      <c r="I47" s="52">
        <f t="shared" si="16"/>
        <v>1</v>
      </c>
      <c r="J47" s="960"/>
      <c r="K47" s="52">
        <f t="shared" si="17"/>
        <v>1</v>
      </c>
      <c r="L47" s="960"/>
      <c r="M47" s="52">
        <f t="shared" si="18"/>
        <v>1</v>
      </c>
      <c r="N47" s="960"/>
      <c r="O47" s="52">
        <f t="shared" si="19"/>
        <v>1</v>
      </c>
      <c r="P47" s="960"/>
      <c r="Q47" s="52">
        <f t="shared" si="20"/>
        <v>1</v>
      </c>
      <c r="R47" s="488">
        <f t="shared" si="21"/>
        <v>0</v>
      </c>
      <c r="S47" s="796">
        <f t="shared" si="11"/>
        <v>0</v>
      </c>
    </row>
    <row r="48" spans="1:19">
      <c r="A48" s="962"/>
      <c r="B48" s="135"/>
      <c r="C48" s="52">
        <f t="shared" si="13"/>
        <v>1</v>
      </c>
      <c r="D48" s="960"/>
      <c r="E48" s="52">
        <f t="shared" si="14"/>
        <v>1</v>
      </c>
      <c r="F48" s="960"/>
      <c r="G48" s="52">
        <f t="shared" si="15"/>
        <v>1</v>
      </c>
      <c r="H48" s="960"/>
      <c r="I48" s="52">
        <f t="shared" si="16"/>
        <v>1</v>
      </c>
      <c r="J48" s="960"/>
      <c r="K48" s="52">
        <f t="shared" si="17"/>
        <v>1</v>
      </c>
      <c r="L48" s="960"/>
      <c r="M48" s="52">
        <f t="shared" si="18"/>
        <v>1</v>
      </c>
      <c r="N48" s="960"/>
      <c r="O48" s="52">
        <f t="shared" si="19"/>
        <v>1</v>
      </c>
      <c r="P48" s="960"/>
      <c r="Q48" s="52">
        <f t="shared" si="20"/>
        <v>1</v>
      </c>
      <c r="R48" s="488">
        <f t="shared" si="21"/>
        <v>0</v>
      </c>
      <c r="S48" s="796">
        <f t="shared" si="11"/>
        <v>0</v>
      </c>
    </row>
    <row r="49" spans="1:19">
      <c r="A49" s="962"/>
      <c r="B49" s="135"/>
      <c r="C49" s="52">
        <f t="shared" si="13"/>
        <v>1</v>
      </c>
      <c r="D49" s="960"/>
      <c r="E49" s="52">
        <f t="shared" si="14"/>
        <v>1</v>
      </c>
      <c r="F49" s="960"/>
      <c r="G49" s="52">
        <f t="shared" si="15"/>
        <v>1</v>
      </c>
      <c r="H49" s="960"/>
      <c r="I49" s="52">
        <f t="shared" si="16"/>
        <v>1</v>
      </c>
      <c r="J49" s="960"/>
      <c r="K49" s="52">
        <f t="shared" si="17"/>
        <v>1</v>
      </c>
      <c r="L49" s="960"/>
      <c r="M49" s="52">
        <f t="shared" si="18"/>
        <v>1</v>
      </c>
      <c r="N49" s="960"/>
      <c r="O49" s="52">
        <f t="shared" si="19"/>
        <v>1</v>
      </c>
      <c r="P49" s="960"/>
      <c r="Q49" s="52">
        <f t="shared" si="20"/>
        <v>1</v>
      </c>
      <c r="R49" s="488">
        <f t="shared" si="21"/>
        <v>0</v>
      </c>
      <c r="S49" s="796">
        <f t="shared" si="11"/>
        <v>0</v>
      </c>
    </row>
    <row r="50" spans="1:19">
      <c r="A50" s="962"/>
      <c r="B50" s="135"/>
      <c r="C50" s="52">
        <f t="shared" si="13"/>
        <v>1</v>
      </c>
      <c r="D50" s="960"/>
      <c r="E50" s="52">
        <f t="shared" si="14"/>
        <v>1</v>
      </c>
      <c r="F50" s="960"/>
      <c r="G50" s="52">
        <f t="shared" si="15"/>
        <v>1</v>
      </c>
      <c r="H50" s="960"/>
      <c r="I50" s="52">
        <f t="shared" si="16"/>
        <v>1</v>
      </c>
      <c r="J50" s="960"/>
      <c r="K50" s="52">
        <f t="shared" si="17"/>
        <v>1</v>
      </c>
      <c r="L50" s="960"/>
      <c r="M50" s="52">
        <f t="shared" si="18"/>
        <v>1</v>
      </c>
      <c r="N50" s="960"/>
      <c r="O50" s="52">
        <f t="shared" si="19"/>
        <v>1</v>
      </c>
      <c r="P50" s="960"/>
      <c r="Q50" s="52">
        <f t="shared" si="20"/>
        <v>1</v>
      </c>
      <c r="R50" s="488">
        <f t="shared" si="21"/>
        <v>0</v>
      </c>
      <c r="S50" s="796">
        <f t="shared" si="11"/>
        <v>0</v>
      </c>
    </row>
    <row r="51" spans="1:19">
      <c r="A51" s="962"/>
      <c r="B51" s="135"/>
      <c r="C51" s="52">
        <f t="shared" si="13"/>
        <v>1</v>
      </c>
      <c r="D51" s="960"/>
      <c r="E51" s="52">
        <f t="shared" si="14"/>
        <v>1</v>
      </c>
      <c r="F51" s="960"/>
      <c r="G51" s="52">
        <f t="shared" si="15"/>
        <v>1</v>
      </c>
      <c r="H51" s="960"/>
      <c r="I51" s="52">
        <f t="shared" si="16"/>
        <v>1</v>
      </c>
      <c r="J51" s="960"/>
      <c r="K51" s="52">
        <f t="shared" si="17"/>
        <v>1</v>
      </c>
      <c r="L51" s="960"/>
      <c r="M51" s="52">
        <f t="shared" si="18"/>
        <v>1</v>
      </c>
      <c r="N51" s="960"/>
      <c r="O51" s="52">
        <f t="shared" si="19"/>
        <v>1</v>
      </c>
      <c r="P51" s="960"/>
      <c r="Q51" s="52">
        <f t="shared" si="20"/>
        <v>1</v>
      </c>
      <c r="R51" s="488">
        <f t="shared" si="21"/>
        <v>0</v>
      </c>
      <c r="S51" s="796">
        <f t="shared" si="11"/>
        <v>0</v>
      </c>
    </row>
    <row r="52" spans="1:19">
      <c r="A52" s="962"/>
      <c r="B52" s="135"/>
      <c r="C52" s="52">
        <f t="shared" si="13"/>
        <v>1</v>
      </c>
      <c r="D52" s="960"/>
      <c r="E52" s="52">
        <f t="shared" si="14"/>
        <v>1</v>
      </c>
      <c r="F52" s="960"/>
      <c r="G52" s="52">
        <f t="shared" si="15"/>
        <v>1</v>
      </c>
      <c r="H52" s="960"/>
      <c r="I52" s="52">
        <f t="shared" si="16"/>
        <v>1</v>
      </c>
      <c r="J52" s="960"/>
      <c r="K52" s="52">
        <f t="shared" si="17"/>
        <v>1</v>
      </c>
      <c r="L52" s="960"/>
      <c r="M52" s="52">
        <f t="shared" si="18"/>
        <v>1</v>
      </c>
      <c r="N52" s="960"/>
      <c r="O52" s="52">
        <f t="shared" si="19"/>
        <v>1</v>
      </c>
      <c r="P52" s="960"/>
      <c r="Q52" s="52">
        <f t="shared" si="20"/>
        <v>1</v>
      </c>
      <c r="R52" s="488">
        <f t="shared" si="21"/>
        <v>0</v>
      </c>
      <c r="S52" s="796">
        <f t="shared" si="11"/>
        <v>0</v>
      </c>
    </row>
    <row r="53" spans="1:19">
      <c r="A53" s="962"/>
      <c r="B53" s="135"/>
      <c r="C53" s="52">
        <f t="shared" si="13"/>
        <v>1</v>
      </c>
      <c r="D53" s="960"/>
      <c r="E53" s="52">
        <f t="shared" si="14"/>
        <v>1</v>
      </c>
      <c r="F53" s="960"/>
      <c r="G53" s="52">
        <f t="shared" si="15"/>
        <v>1</v>
      </c>
      <c r="H53" s="960"/>
      <c r="I53" s="52">
        <f t="shared" si="16"/>
        <v>1</v>
      </c>
      <c r="J53" s="960"/>
      <c r="K53" s="52">
        <f t="shared" si="17"/>
        <v>1</v>
      </c>
      <c r="L53" s="960"/>
      <c r="M53" s="52">
        <f t="shared" si="18"/>
        <v>1</v>
      </c>
      <c r="N53" s="960"/>
      <c r="O53" s="52">
        <f t="shared" si="19"/>
        <v>1</v>
      </c>
      <c r="P53" s="960"/>
      <c r="Q53" s="52">
        <f t="shared" si="20"/>
        <v>1</v>
      </c>
      <c r="R53" s="488">
        <f t="shared" si="21"/>
        <v>0</v>
      </c>
      <c r="S53" s="796">
        <f t="shared" si="11"/>
        <v>0</v>
      </c>
    </row>
    <row r="54" spans="1:19">
      <c r="A54" s="962"/>
      <c r="B54" s="135"/>
      <c r="C54" s="52">
        <f t="shared" si="13"/>
        <v>1</v>
      </c>
      <c r="D54" s="960"/>
      <c r="E54" s="52">
        <f t="shared" si="14"/>
        <v>1</v>
      </c>
      <c r="F54" s="960"/>
      <c r="G54" s="52">
        <f t="shared" si="15"/>
        <v>1</v>
      </c>
      <c r="H54" s="960"/>
      <c r="I54" s="52">
        <f t="shared" si="16"/>
        <v>1</v>
      </c>
      <c r="J54" s="960"/>
      <c r="K54" s="52">
        <f t="shared" si="17"/>
        <v>1</v>
      </c>
      <c r="L54" s="960"/>
      <c r="M54" s="52">
        <f t="shared" si="18"/>
        <v>1</v>
      </c>
      <c r="N54" s="960"/>
      <c r="O54" s="52">
        <f t="shared" si="19"/>
        <v>1</v>
      </c>
      <c r="P54" s="960"/>
      <c r="Q54" s="52">
        <f t="shared" si="20"/>
        <v>1</v>
      </c>
      <c r="R54" s="488">
        <f t="shared" si="21"/>
        <v>0</v>
      </c>
      <c r="S54" s="796">
        <f t="shared" si="11"/>
        <v>0</v>
      </c>
    </row>
    <row r="55" spans="1:19">
      <c r="A55" s="962"/>
      <c r="B55" s="135"/>
      <c r="C55" s="52">
        <f t="shared" si="13"/>
        <v>1</v>
      </c>
      <c r="D55" s="960"/>
      <c r="E55" s="52">
        <f t="shared" si="14"/>
        <v>1</v>
      </c>
      <c r="F55" s="960"/>
      <c r="G55" s="52">
        <f t="shared" si="15"/>
        <v>1</v>
      </c>
      <c r="H55" s="960"/>
      <c r="I55" s="52">
        <f t="shared" si="16"/>
        <v>1</v>
      </c>
      <c r="J55" s="960"/>
      <c r="K55" s="52">
        <f t="shared" si="17"/>
        <v>1</v>
      </c>
      <c r="L55" s="960"/>
      <c r="M55" s="52">
        <f t="shared" si="18"/>
        <v>1</v>
      </c>
      <c r="N55" s="960"/>
      <c r="O55" s="52">
        <f t="shared" si="19"/>
        <v>1</v>
      </c>
      <c r="P55" s="960"/>
      <c r="Q55" s="52">
        <f t="shared" si="20"/>
        <v>1</v>
      </c>
      <c r="R55" s="488">
        <f t="shared" si="21"/>
        <v>0</v>
      </c>
      <c r="S55" s="796">
        <f t="shared" ref="S55:S77" si="24">ROUND(R55*B55/10000,0)</f>
        <v>0</v>
      </c>
    </row>
    <row r="56" spans="1:19">
      <c r="A56" s="962"/>
      <c r="B56" s="135"/>
      <c r="C56" s="52">
        <f t="shared" si="13"/>
        <v>1</v>
      </c>
      <c r="D56" s="960"/>
      <c r="E56" s="52">
        <f t="shared" si="14"/>
        <v>1</v>
      </c>
      <c r="F56" s="960"/>
      <c r="G56" s="52">
        <f t="shared" si="15"/>
        <v>1</v>
      </c>
      <c r="H56" s="960"/>
      <c r="I56" s="52">
        <f t="shared" si="16"/>
        <v>1</v>
      </c>
      <c r="J56" s="960"/>
      <c r="K56" s="52">
        <f t="shared" si="17"/>
        <v>1</v>
      </c>
      <c r="L56" s="960"/>
      <c r="M56" s="52">
        <f t="shared" si="18"/>
        <v>1</v>
      </c>
      <c r="N56" s="960"/>
      <c r="O56" s="52">
        <f t="shared" si="19"/>
        <v>1</v>
      </c>
      <c r="P56" s="960"/>
      <c r="Q56" s="52">
        <f t="shared" si="20"/>
        <v>1</v>
      </c>
      <c r="R56" s="488">
        <f t="shared" si="21"/>
        <v>0</v>
      </c>
      <c r="S56" s="796">
        <f t="shared" si="24"/>
        <v>0</v>
      </c>
    </row>
    <row r="57" spans="1:19">
      <c r="A57" s="962"/>
      <c r="B57" s="135"/>
      <c r="C57" s="52">
        <f t="shared" si="13"/>
        <v>1</v>
      </c>
      <c r="D57" s="960"/>
      <c r="E57" s="52">
        <f t="shared" si="14"/>
        <v>1</v>
      </c>
      <c r="F57" s="960"/>
      <c r="G57" s="52">
        <f t="shared" si="15"/>
        <v>1</v>
      </c>
      <c r="H57" s="960"/>
      <c r="I57" s="52">
        <f t="shared" si="16"/>
        <v>1</v>
      </c>
      <c r="J57" s="960"/>
      <c r="K57" s="52">
        <f t="shared" si="17"/>
        <v>1</v>
      </c>
      <c r="L57" s="960"/>
      <c r="M57" s="52">
        <f t="shared" si="18"/>
        <v>1</v>
      </c>
      <c r="N57" s="960"/>
      <c r="O57" s="52">
        <f t="shared" si="19"/>
        <v>1</v>
      </c>
      <c r="P57" s="960"/>
      <c r="Q57" s="52">
        <f t="shared" si="20"/>
        <v>1</v>
      </c>
      <c r="R57" s="488">
        <f t="shared" si="21"/>
        <v>0</v>
      </c>
      <c r="S57" s="796">
        <f t="shared" si="24"/>
        <v>0</v>
      </c>
    </row>
    <row r="58" spans="1:19">
      <c r="A58" s="962"/>
      <c r="B58" s="135"/>
      <c r="C58" s="52">
        <f t="shared" si="13"/>
        <v>1</v>
      </c>
      <c r="D58" s="960"/>
      <c r="E58" s="52">
        <f t="shared" si="14"/>
        <v>1</v>
      </c>
      <c r="F58" s="960"/>
      <c r="G58" s="52">
        <f t="shared" si="15"/>
        <v>1</v>
      </c>
      <c r="H58" s="960"/>
      <c r="I58" s="52">
        <f t="shared" si="16"/>
        <v>1</v>
      </c>
      <c r="J58" s="960"/>
      <c r="K58" s="52">
        <f t="shared" si="17"/>
        <v>1</v>
      </c>
      <c r="L58" s="960"/>
      <c r="M58" s="52">
        <f t="shared" si="18"/>
        <v>1</v>
      </c>
      <c r="N58" s="960"/>
      <c r="O58" s="52">
        <f t="shared" si="19"/>
        <v>1</v>
      </c>
      <c r="P58" s="960"/>
      <c r="Q58" s="52">
        <f t="shared" si="20"/>
        <v>1</v>
      </c>
      <c r="R58" s="488">
        <f t="shared" si="21"/>
        <v>0</v>
      </c>
      <c r="S58" s="796">
        <f t="shared" si="24"/>
        <v>0</v>
      </c>
    </row>
    <row r="59" spans="1:19">
      <c r="A59" s="962"/>
      <c r="B59" s="135"/>
      <c r="C59" s="52">
        <f t="shared" si="13"/>
        <v>1</v>
      </c>
      <c r="D59" s="960"/>
      <c r="E59" s="52">
        <f t="shared" si="14"/>
        <v>1</v>
      </c>
      <c r="F59" s="960"/>
      <c r="G59" s="52">
        <f t="shared" si="15"/>
        <v>1</v>
      </c>
      <c r="H59" s="960"/>
      <c r="I59" s="52">
        <f t="shared" si="16"/>
        <v>1</v>
      </c>
      <c r="J59" s="960"/>
      <c r="K59" s="52">
        <f t="shared" si="17"/>
        <v>1</v>
      </c>
      <c r="L59" s="960"/>
      <c r="M59" s="52">
        <f t="shared" si="18"/>
        <v>1</v>
      </c>
      <c r="N59" s="960"/>
      <c r="O59" s="52">
        <f t="shared" si="19"/>
        <v>1</v>
      </c>
      <c r="P59" s="960"/>
      <c r="Q59" s="52">
        <f t="shared" si="20"/>
        <v>1</v>
      </c>
      <c r="R59" s="488">
        <f t="shared" si="21"/>
        <v>0</v>
      </c>
      <c r="S59" s="796">
        <f t="shared" si="24"/>
        <v>0</v>
      </c>
    </row>
    <row r="60" spans="1:19">
      <c r="A60" s="962"/>
      <c r="B60" s="135"/>
      <c r="C60" s="52">
        <f t="shared" si="13"/>
        <v>1</v>
      </c>
      <c r="D60" s="960"/>
      <c r="E60" s="52">
        <f t="shared" si="14"/>
        <v>1</v>
      </c>
      <c r="F60" s="960"/>
      <c r="G60" s="52">
        <f t="shared" si="15"/>
        <v>1</v>
      </c>
      <c r="H60" s="960"/>
      <c r="I60" s="52">
        <f t="shared" si="16"/>
        <v>1</v>
      </c>
      <c r="J60" s="960"/>
      <c r="K60" s="52">
        <f t="shared" si="17"/>
        <v>1</v>
      </c>
      <c r="L60" s="960"/>
      <c r="M60" s="52">
        <f t="shared" si="18"/>
        <v>1</v>
      </c>
      <c r="N60" s="960"/>
      <c r="O60" s="52">
        <f t="shared" si="19"/>
        <v>1</v>
      </c>
      <c r="P60" s="960"/>
      <c r="Q60" s="52">
        <f t="shared" si="20"/>
        <v>1</v>
      </c>
      <c r="R60" s="488">
        <f t="shared" si="21"/>
        <v>0</v>
      </c>
      <c r="S60" s="796">
        <f t="shared" si="24"/>
        <v>0</v>
      </c>
    </row>
    <row r="61" spans="1:19">
      <c r="A61" s="962"/>
      <c r="B61" s="135"/>
      <c r="C61" s="52">
        <f t="shared" si="13"/>
        <v>1</v>
      </c>
      <c r="D61" s="960"/>
      <c r="E61" s="52">
        <f t="shared" si="14"/>
        <v>1</v>
      </c>
      <c r="F61" s="960"/>
      <c r="G61" s="52">
        <f t="shared" si="15"/>
        <v>1</v>
      </c>
      <c r="H61" s="960"/>
      <c r="I61" s="52">
        <f t="shared" si="16"/>
        <v>1</v>
      </c>
      <c r="J61" s="960"/>
      <c r="K61" s="52">
        <f t="shared" si="17"/>
        <v>1</v>
      </c>
      <c r="L61" s="960"/>
      <c r="M61" s="52">
        <f t="shared" si="18"/>
        <v>1</v>
      </c>
      <c r="N61" s="960"/>
      <c r="O61" s="52">
        <f t="shared" si="19"/>
        <v>1</v>
      </c>
      <c r="P61" s="960"/>
      <c r="Q61" s="52">
        <f t="shared" si="20"/>
        <v>1</v>
      </c>
      <c r="R61" s="488">
        <f t="shared" si="21"/>
        <v>0</v>
      </c>
      <c r="S61" s="796">
        <f t="shared" si="24"/>
        <v>0</v>
      </c>
    </row>
    <row r="62" spans="1:19">
      <c r="A62" s="962"/>
      <c r="B62" s="135"/>
      <c r="C62" s="52">
        <f t="shared" si="13"/>
        <v>1</v>
      </c>
      <c r="D62" s="960"/>
      <c r="E62" s="52">
        <f t="shared" si="14"/>
        <v>1</v>
      </c>
      <c r="F62" s="960"/>
      <c r="G62" s="52">
        <f t="shared" si="15"/>
        <v>1</v>
      </c>
      <c r="H62" s="960"/>
      <c r="I62" s="52">
        <f t="shared" si="16"/>
        <v>1</v>
      </c>
      <c r="J62" s="960"/>
      <c r="K62" s="52">
        <f t="shared" si="17"/>
        <v>1</v>
      </c>
      <c r="L62" s="960"/>
      <c r="M62" s="52">
        <f t="shared" si="18"/>
        <v>1</v>
      </c>
      <c r="N62" s="960"/>
      <c r="O62" s="52">
        <f t="shared" si="19"/>
        <v>1</v>
      </c>
      <c r="P62" s="960"/>
      <c r="Q62" s="52">
        <f t="shared" si="20"/>
        <v>1</v>
      </c>
      <c r="R62" s="488">
        <f t="shared" si="21"/>
        <v>0</v>
      </c>
      <c r="S62" s="796">
        <f t="shared" si="24"/>
        <v>0</v>
      </c>
    </row>
    <row r="63" spans="1:19">
      <c r="A63" s="962"/>
      <c r="B63" s="135"/>
      <c r="C63" s="52">
        <f t="shared" si="13"/>
        <v>1</v>
      </c>
      <c r="D63" s="960"/>
      <c r="E63" s="52">
        <f t="shared" si="14"/>
        <v>1</v>
      </c>
      <c r="F63" s="960"/>
      <c r="G63" s="52">
        <f t="shared" si="15"/>
        <v>1</v>
      </c>
      <c r="H63" s="960"/>
      <c r="I63" s="52">
        <f t="shared" si="16"/>
        <v>1</v>
      </c>
      <c r="J63" s="960"/>
      <c r="K63" s="52">
        <f t="shared" si="17"/>
        <v>1</v>
      </c>
      <c r="L63" s="960"/>
      <c r="M63" s="52">
        <f t="shared" si="18"/>
        <v>1</v>
      </c>
      <c r="N63" s="960"/>
      <c r="O63" s="52">
        <f t="shared" si="19"/>
        <v>1</v>
      </c>
      <c r="P63" s="960"/>
      <c r="Q63" s="52">
        <f t="shared" si="20"/>
        <v>1</v>
      </c>
      <c r="R63" s="488">
        <f t="shared" si="21"/>
        <v>0</v>
      </c>
      <c r="S63" s="796">
        <f t="shared" si="24"/>
        <v>0</v>
      </c>
    </row>
    <row r="64" spans="1:19">
      <c r="A64" s="962"/>
      <c r="B64" s="135"/>
      <c r="C64" s="52">
        <f t="shared" si="13"/>
        <v>1</v>
      </c>
      <c r="D64" s="960"/>
      <c r="E64" s="52">
        <f t="shared" si="14"/>
        <v>1</v>
      </c>
      <c r="F64" s="960"/>
      <c r="G64" s="52">
        <f t="shared" si="15"/>
        <v>1</v>
      </c>
      <c r="H64" s="960"/>
      <c r="I64" s="52">
        <f t="shared" si="16"/>
        <v>1</v>
      </c>
      <c r="J64" s="960"/>
      <c r="K64" s="52">
        <f t="shared" si="17"/>
        <v>1</v>
      </c>
      <c r="L64" s="960"/>
      <c r="M64" s="52">
        <f t="shared" si="18"/>
        <v>1</v>
      </c>
      <c r="N64" s="960"/>
      <c r="O64" s="52">
        <f t="shared" si="19"/>
        <v>1</v>
      </c>
      <c r="P64" s="960"/>
      <c r="Q64" s="52">
        <f t="shared" si="20"/>
        <v>1</v>
      </c>
      <c r="R64" s="488">
        <f t="shared" si="21"/>
        <v>0</v>
      </c>
      <c r="S64" s="796">
        <f t="shared" si="24"/>
        <v>0</v>
      </c>
    </row>
    <row r="65" spans="1:19">
      <c r="A65" s="962"/>
      <c r="B65" s="135"/>
      <c r="C65" s="52">
        <f t="shared" si="13"/>
        <v>1</v>
      </c>
      <c r="D65" s="960"/>
      <c r="E65" s="52">
        <f t="shared" si="14"/>
        <v>1</v>
      </c>
      <c r="F65" s="960"/>
      <c r="G65" s="52">
        <f t="shared" si="15"/>
        <v>1</v>
      </c>
      <c r="H65" s="960"/>
      <c r="I65" s="52">
        <f t="shared" si="16"/>
        <v>1</v>
      </c>
      <c r="J65" s="960"/>
      <c r="K65" s="52">
        <f t="shared" si="17"/>
        <v>1</v>
      </c>
      <c r="L65" s="960"/>
      <c r="M65" s="52">
        <f t="shared" si="18"/>
        <v>1</v>
      </c>
      <c r="N65" s="960"/>
      <c r="O65" s="52">
        <f t="shared" si="19"/>
        <v>1</v>
      </c>
      <c r="P65" s="960"/>
      <c r="Q65" s="52">
        <f t="shared" si="20"/>
        <v>1</v>
      </c>
      <c r="R65" s="488">
        <f t="shared" si="21"/>
        <v>0</v>
      </c>
      <c r="S65" s="796">
        <f t="shared" si="24"/>
        <v>0</v>
      </c>
    </row>
    <row r="66" spans="1:19">
      <c r="A66" s="962"/>
      <c r="B66" s="135"/>
      <c r="C66" s="52">
        <f t="shared" si="13"/>
        <v>1</v>
      </c>
      <c r="D66" s="960"/>
      <c r="E66" s="52">
        <f t="shared" si="14"/>
        <v>1</v>
      </c>
      <c r="F66" s="960"/>
      <c r="G66" s="52">
        <f t="shared" si="15"/>
        <v>1</v>
      </c>
      <c r="H66" s="960"/>
      <c r="I66" s="52">
        <f t="shared" si="16"/>
        <v>1</v>
      </c>
      <c r="J66" s="960"/>
      <c r="K66" s="52">
        <f t="shared" si="17"/>
        <v>1</v>
      </c>
      <c r="L66" s="960"/>
      <c r="M66" s="52">
        <f t="shared" si="18"/>
        <v>1</v>
      </c>
      <c r="N66" s="960"/>
      <c r="O66" s="52">
        <f t="shared" si="19"/>
        <v>1</v>
      </c>
      <c r="P66" s="960"/>
      <c r="Q66" s="52">
        <f t="shared" si="20"/>
        <v>1</v>
      </c>
      <c r="R66" s="488">
        <f t="shared" si="21"/>
        <v>0</v>
      </c>
      <c r="S66" s="796">
        <f t="shared" si="24"/>
        <v>0</v>
      </c>
    </row>
    <row r="67" spans="1:19">
      <c r="A67" s="962"/>
      <c r="B67" s="135"/>
      <c r="C67" s="52">
        <f t="shared" si="13"/>
        <v>1</v>
      </c>
      <c r="D67" s="960"/>
      <c r="E67" s="52">
        <f t="shared" si="14"/>
        <v>1</v>
      </c>
      <c r="F67" s="960"/>
      <c r="G67" s="52">
        <f t="shared" si="15"/>
        <v>1</v>
      </c>
      <c r="H67" s="960"/>
      <c r="I67" s="52">
        <f t="shared" si="16"/>
        <v>1</v>
      </c>
      <c r="J67" s="960"/>
      <c r="K67" s="52">
        <f t="shared" si="17"/>
        <v>1</v>
      </c>
      <c r="L67" s="960"/>
      <c r="M67" s="52">
        <f t="shared" si="18"/>
        <v>1</v>
      </c>
      <c r="N67" s="960"/>
      <c r="O67" s="52">
        <f t="shared" si="19"/>
        <v>1</v>
      </c>
      <c r="P67" s="960"/>
      <c r="Q67" s="52">
        <f t="shared" si="20"/>
        <v>1</v>
      </c>
      <c r="R67" s="488">
        <f t="shared" si="21"/>
        <v>0</v>
      </c>
      <c r="S67" s="796">
        <f t="shared" si="24"/>
        <v>0</v>
      </c>
    </row>
    <row r="68" spans="1:19">
      <c r="A68" s="962"/>
      <c r="B68" s="135"/>
      <c r="C68" s="52">
        <f t="shared" si="13"/>
        <v>1</v>
      </c>
      <c r="D68" s="960"/>
      <c r="E68" s="52">
        <f t="shared" si="14"/>
        <v>1</v>
      </c>
      <c r="F68" s="960"/>
      <c r="G68" s="52">
        <f t="shared" si="15"/>
        <v>1</v>
      </c>
      <c r="H68" s="960"/>
      <c r="I68" s="52">
        <f t="shared" si="16"/>
        <v>1</v>
      </c>
      <c r="J68" s="960"/>
      <c r="K68" s="52">
        <f t="shared" si="17"/>
        <v>1</v>
      </c>
      <c r="L68" s="960"/>
      <c r="M68" s="52">
        <f t="shared" si="18"/>
        <v>1</v>
      </c>
      <c r="N68" s="960"/>
      <c r="O68" s="52">
        <f t="shared" si="19"/>
        <v>1</v>
      </c>
      <c r="P68" s="960"/>
      <c r="Q68" s="52">
        <f t="shared" si="20"/>
        <v>1</v>
      </c>
      <c r="R68" s="488">
        <f t="shared" si="21"/>
        <v>0</v>
      </c>
      <c r="S68" s="796">
        <f t="shared" si="24"/>
        <v>0</v>
      </c>
    </row>
    <row r="69" spans="1:19">
      <c r="A69" s="962"/>
      <c r="B69" s="135"/>
      <c r="C69" s="52">
        <f t="shared" si="13"/>
        <v>1</v>
      </c>
      <c r="D69" s="960"/>
      <c r="E69" s="52">
        <f t="shared" si="14"/>
        <v>1</v>
      </c>
      <c r="F69" s="960"/>
      <c r="G69" s="52">
        <f t="shared" si="15"/>
        <v>1</v>
      </c>
      <c r="H69" s="960"/>
      <c r="I69" s="52">
        <f t="shared" si="16"/>
        <v>1</v>
      </c>
      <c r="J69" s="960"/>
      <c r="K69" s="52">
        <f t="shared" si="17"/>
        <v>1</v>
      </c>
      <c r="L69" s="960"/>
      <c r="M69" s="52">
        <f t="shared" si="18"/>
        <v>1</v>
      </c>
      <c r="N69" s="960"/>
      <c r="O69" s="52">
        <f t="shared" si="19"/>
        <v>1</v>
      </c>
      <c r="P69" s="960"/>
      <c r="Q69" s="52">
        <f t="shared" si="20"/>
        <v>1</v>
      </c>
      <c r="R69" s="488">
        <f t="shared" si="21"/>
        <v>0</v>
      </c>
      <c r="S69" s="796">
        <f t="shared" si="24"/>
        <v>0</v>
      </c>
    </row>
    <row r="70" spans="1:19">
      <c r="A70" s="962"/>
      <c r="B70" s="135"/>
      <c r="C70" s="52">
        <f t="shared" si="13"/>
        <v>1</v>
      </c>
      <c r="D70" s="960"/>
      <c r="E70" s="52">
        <f t="shared" si="14"/>
        <v>1</v>
      </c>
      <c r="F70" s="960"/>
      <c r="G70" s="52">
        <f t="shared" si="15"/>
        <v>1</v>
      </c>
      <c r="H70" s="960"/>
      <c r="I70" s="52">
        <f t="shared" si="16"/>
        <v>1</v>
      </c>
      <c r="J70" s="960"/>
      <c r="K70" s="52">
        <f t="shared" si="17"/>
        <v>1</v>
      </c>
      <c r="L70" s="960"/>
      <c r="M70" s="52">
        <f t="shared" si="18"/>
        <v>1</v>
      </c>
      <c r="N70" s="960"/>
      <c r="O70" s="52">
        <f t="shared" si="19"/>
        <v>1</v>
      </c>
      <c r="P70" s="960"/>
      <c r="Q70" s="52">
        <f t="shared" si="20"/>
        <v>1</v>
      </c>
      <c r="R70" s="488">
        <f t="shared" si="21"/>
        <v>0</v>
      </c>
      <c r="S70" s="796">
        <f t="shared" si="24"/>
        <v>0</v>
      </c>
    </row>
    <row r="71" spans="1:19">
      <c r="A71" s="962"/>
      <c r="B71" s="135"/>
      <c r="C71" s="52">
        <f t="shared" si="13"/>
        <v>1</v>
      </c>
      <c r="D71" s="960"/>
      <c r="E71" s="52">
        <f t="shared" si="14"/>
        <v>1</v>
      </c>
      <c r="F71" s="960"/>
      <c r="G71" s="52">
        <f t="shared" si="15"/>
        <v>1</v>
      </c>
      <c r="H71" s="960"/>
      <c r="I71" s="52">
        <f t="shared" si="16"/>
        <v>1</v>
      </c>
      <c r="J71" s="960"/>
      <c r="K71" s="52">
        <f t="shared" si="17"/>
        <v>1</v>
      </c>
      <c r="L71" s="960"/>
      <c r="M71" s="52">
        <f t="shared" si="18"/>
        <v>1</v>
      </c>
      <c r="N71" s="960"/>
      <c r="O71" s="52">
        <f t="shared" si="19"/>
        <v>1</v>
      </c>
      <c r="P71" s="960"/>
      <c r="Q71" s="52">
        <f t="shared" si="20"/>
        <v>1</v>
      </c>
      <c r="R71" s="488">
        <f t="shared" si="21"/>
        <v>0</v>
      </c>
      <c r="S71" s="796">
        <f t="shared" si="24"/>
        <v>0</v>
      </c>
    </row>
    <row r="72" spans="1:19">
      <c r="A72" s="962"/>
      <c r="B72" s="135"/>
      <c r="C72" s="52">
        <f t="shared" si="13"/>
        <v>1</v>
      </c>
      <c r="D72" s="960"/>
      <c r="E72" s="52">
        <f t="shared" si="14"/>
        <v>1</v>
      </c>
      <c r="F72" s="960"/>
      <c r="G72" s="52">
        <f t="shared" si="15"/>
        <v>1</v>
      </c>
      <c r="H72" s="960"/>
      <c r="I72" s="52">
        <f t="shared" si="16"/>
        <v>1</v>
      </c>
      <c r="J72" s="960"/>
      <c r="K72" s="52">
        <f t="shared" si="17"/>
        <v>1</v>
      </c>
      <c r="L72" s="960"/>
      <c r="M72" s="52">
        <f t="shared" si="18"/>
        <v>1</v>
      </c>
      <c r="N72" s="960"/>
      <c r="O72" s="52">
        <f t="shared" si="19"/>
        <v>1</v>
      </c>
      <c r="P72" s="960"/>
      <c r="Q72" s="52">
        <f t="shared" si="20"/>
        <v>1</v>
      </c>
      <c r="R72" s="488">
        <f t="shared" si="21"/>
        <v>0</v>
      </c>
      <c r="S72" s="796">
        <f t="shared" si="24"/>
        <v>0</v>
      </c>
    </row>
    <row r="73" spans="1:19">
      <c r="A73" s="962"/>
      <c r="B73" s="135"/>
      <c r="C73" s="52">
        <f t="shared" si="13"/>
        <v>1</v>
      </c>
      <c r="D73" s="960"/>
      <c r="E73" s="52">
        <f t="shared" si="14"/>
        <v>1</v>
      </c>
      <c r="F73" s="960"/>
      <c r="G73" s="52">
        <f t="shared" si="15"/>
        <v>1</v>
      </c>
      <c r="H73" s="960"/>
      <c r="I73" s="52">
        <f t="shared" si="16"/>
        <v>1</v>
      </c>
      <c r="J73" s="960"/>
      <c r="K73" s="52">
        <f t="shared" si="17"/>
        <v>1</v>
      </c>
      <c r="L73" s="960"/>
      <c r="M73" s="52">
        <f t="shared" si="18"/>
        <v>1</v>
      </c>
      <c r="N73" s="960"/>
      <c r="O73" s="52">
        <f t="shared" si="19"/>
        <v>1</v>
      </c>
      <c r="P73" s="960"/>
      <c r="Q73" s="52">
        <f t="shared" si="20"/>
        <v>1</v>
      </c>
      <c r="R73" s="488">
        <f t="shared" si="21"/>
        <v>0</v>
      </c>
      <c r="S73" s="796">
        <f t="shared" si="24"/>
        <v>0</v>
      </c>
    </row>
    <row r="74" spans="1:19">
      <c r="A74" s="962"/>
      <c r="B74" s="135"/>
      <c r="C74" s="52">
        <f t="shared" si="13"/>
        <v>1</v>
      </c>
      <c r="D74" s="960"/>
      <c r="E74" s="52">
        <f t="shared" si="14"/>
        <v>1</v>
      </c>
      <c r="F74" s="960"/>
      <c r="G74" s="52">
        <f t="shared" si="15"/>
        <v>1</v>
      </c>
      <c r="H74" s="960"/>
      <c r="I74" s="52">
        <f t="shared" si="16"/>
        <v>1</v>
      </c>
      <c r="J74" s="960"/>
      <c r="K74" s="52">
        <f t="shared" si="17"/>
        <v>1</v>
      </c>
      <c r="L74" s="960"/>
      <c r="M74" s="52">
        <f t="shared" si="18"/>
        <v>1</v>
      </c>
      <c r="N74" s="960"/>
      <c r="O74" s="52">
        <f t="shared" si="19"/>
        <v>1</v>
      </c>
      <c r="P74" s="960"/>
      <c r="Q74" s="52">
        <f t="shared" si="20"/>
        <v>1</v>
      </c>
      <c r="R74" s="488">
        <f t="shared" si="21"/>
        <v>0</v>
      </c>
      <c r="S74" s="796">
        <f t="shared" si="24"/>
        <v>0</v>
      </c>
    </row>
    <row r="75" spans="1:19">
      <c r="A75" s="962"/>
      <c r="B75" s="135"/>
      <c r="C75" s="52">
        <f t="shared" si="13"/>
        <v>1</v>
      </c>
      <c r="D75" s="960"/>
      <c r="E75" s="52">
        <f t="shared" si="14"/>
        <v>1</v>
      </c>
      <c r="F75" s="960"/>
      <c r="G75" s="52">
        <f t="shared" si="15"/>
        <v>1</v>
      </c>
      <c r="H75" s="960"/>
      <c r="I75" s="52">
        <f t="shared" si="16"/>
        <v>1</v>
      </c>
      <c r="J75" s="960"/>
      <c r="K75" s="52">
        <f t="shared" si="17"/>
        <v>1</v>
      </c>
      <c r="L75" s="960"/>
      <c r="M75" s="52">
        <f t="shared" si="18"/>
        <v>1</v>
      </c>
      <c r="N75" s="960"/>
      <c r="O75" s="52">
        <f t="shared" si="19"/>
        <v>1</v>
      </c>
      <c r="P75" s="960"/>
      <c r="Q75" s="52">
        <f t="shared" si="20"/>
        <v>1</v>
      </c>
      <c r="R75" s="488">
        <f t="shared" si="21"/>
        <v>0</v>
      </c>
      <c r="S75" s="796">
        <f t="shared" si="24"/>
        <v>0</v>
      </c>
    </row>
    <row r="76" spans="1:19">
      <c r="A76" s="962"/>
      <c r="B76" s="135"/>
      <c r="C76" s="52">
        <f t="shared" si="13"/>
        <v>1</v>
      </c>
      <c r="D76" s="960"/>
      <c r="E76" s="52">
        <f t="shared" si="14"/>
        <v>1</v>
      </c>
      <c r="F76" s="960"/>
      <c r="G76" s="52">
        <f t="shared" si="15"/>
        <v>1</v>
      </c>
      <c r="H76" s="960"/>
      <c r="I76" s="52">
        <f t="shared" si="16"/>
        <v>1</v>
      </c>
      <c r="J76" s="960"/>
      <c r="K76" s="52">
        <f t="shared" si="17"/>
        <v>1</v>
      </c>
      <c r="L76" s="960"/>
      <c r="M76" s="52">
        <f t="shared" si="18"/>
        <v>1</v>
      </c>
      <c r="N76" s="960"/>
      <c r="O76" s="52">
        <f t="shared" si="19"/>
        <v>1</v>
      </c>
      <c r="P76" s="960"/>
      <c r="Q76" s="52">
        <f t="shared" si="20"/>
        <v>1</v>
      </c>
      <c r="R76" s="488">
        <f t="shared" si="21"/>
        <v>0</v>
      </c>
      <c r="S76" s="796">
        <f t="shared" si="24"/>
        <v>0</v>
      </c>
    </row>
    <row r="77" spans="1:19">
      <c r="A77" s="962"/>
      <c r="B77" s="135"/>
      <c r="C77" s="52">
        <f t="shared" si="13"/>
        <v>1</v>
      </c>
      <c r="D77" s="960"/>
      <c r="E77" s="52">
        <f t="shared" si="14"/>
        <v>1</v>
      </c>
      <c r="F77" s="960"/>
      <c r="G77" s="52">
        <f t="shared" si="15"/>
        <v>1</v>
      </c>
      <c r="H77" s="960"/>
      <c r="I77" s="52">
        <f t="shared" si="16"/>
        <v>1</v>
      </c>
      <c r="J77" s="960"/>
      <c r="K77" s="52">
        <f t="shared" si="17"/>
        <v>1</v>
      </c>
      <c r="L77" s="960"/>
      <c r="M77" s="52">
        <f t="shared" si="18"/>
        <v>1</v>
      </c>
      <c r="N77" s="960"/>
      <c r="O77" s="52">
        <f t="shared" si="19"/>
        <v>1</v>
      </c>
      <c r="P77" s="960"/>
      <c r="Q77" s="52">
        <f t="shared" si="20"/>
        <v>1</v>
      </c>
      <c r="R77" s="488">
        <f t="shared" si="21"/>
        <v>0</v>
      </c>
      <c r="S77" s="796">
        <f t="shared" si="24"/>
        <v>0</v>
      </c>
    </row>
    <row r="78" spans="1:19">
      <c r="A78" s="962"/>
      <c r="B78" s="135"/>
      <c r="C78" s="52">
        <f t="shared" si="13"/>
        <v>1</v>
      </c>
      <c r="D78" s="960"/>
      <c r="E78" s="52">
        <f t="shared" si="14"/>
        <v>1</v>
      </c>
      <c r="F78" s="960"/>
      <c r="G78" s="52">
        <f t="shared" si="15"/>
        <v>1</v>
      </c>
      <c r="H78" s="960"/>
      <c r="I78" s="52">
        <f t="shared" si="16"/>
        <v>1</v>
      </c>
      <c r="J78" s="960"/>
      <c r="K78" s="52">
        <f t="shared" si="17"/>
        <v>1</v>
      </c>
      <c r="L78" s="960"/>
      <c r="M78" s="52">
        <f t="shared" si="18"/>
        <v>1</v>
      </c>
      <c r="N78" s="960"/>
      <c r="O78" s="52">
        <f t="shared" si="19"/>
        <v>1</v>
      </c>
      <c r="P78" s="960"/>
      <c r="Q78" s="52">
        <f t="shared" si="20"/>
        <v>1</v>
      </c>
      <c r="R78" s="488">
        <f t="shared" si="21"/>
        <v>0</v>
      </c>
      <c r="S78" s="796">
        <f t="shared" ref="S78:S122" si="25">ROUND(R78*B78/10000,0)</f>
        <v>0</v>
      </c>
    </row>
    <row r="79" spans="1:19">
      <c r="A79" s="962"/>
      <c r="B79" s="135"/>
      <c r="C79" s="52">
        <f t="shared" si="13"/>
        <v>1</v>
      </c>
      <c r="D79" s="960"/>
      <c r="E79" s="52">
        <f t="shared" si="14"/>
        <v>1</v>
      </c>
      <c r="F79" s="960"/>
      <c r="G79" s="52">
        <f t="shared" si="15"/>
        <v>1</v>
      </c>
      <c r="H79" s="960"/>
      <c r="I79" s="52">
        <f t="shared" si="16"/>
        <v>1</v>
      </c>
      <c r="J79" s="960"/>
      <c r="K79" s="52">
        <f t="shared" si="17"/>
        <v>1</v>
      </c>
      <c r="L79" s="960"/>
      <c r="M79" s="52">
        <f t="shared" si="18"/>
        <v>1</v>
      </c>
      <c r="N79" s="960"/>
      <c r="O79" s="52">
        <f t="shared" si="19"/>
        <v>1</v>
      </c>
      <c r="P79" s="960"/>
      <c r="Q79" s="52">
        <f t="shared" si="20"/>
        <v>1</v>
      </c>
      <c r="R79" s="488">
        <f t="shared" si="21"/>
        <v>0</v>
      </c>
      <c r="S79" s="796">
        <f t="shared" si="25"/>
        <v>0</v>
      </c>
    </row>
    <row r="80" spans="1:19">
      <c r="A80" s="962"/>
      <c r="B80" s="135"/>
      <c r="C80" s="52">
        <f t="shared" si="13"/>
        <v>1</v>
      </c>
      <c r="D80" s="960"/>
      <c r="E80" s="52">
        <f t="shared" si="14"/>
        <v>1</v>
      </c>
      <c r="F80" s="960"/>
      <c r="G80" s="52">
        <f t="shared" si="15"/>
        <v>1</v>
      </c>
      <c r="H80" s="960"/>
      <c r="I80" s="52">
        <f t="shared" si="16"/>
        <v>1</v>
      </c>
      <c r="J80" s="960"/>
      <c r="K80" s="52">
        <f t="shared" si="17"/>
        <v>1</v>
      </c>
      <c r="L80" s="960"/>
      <c r="M80" s="52">
        <f t="shared" si="18"/>
        <v>1</v>
      </c>
      <c r="N80" s="960"/>
      <c r="O80" s="52">
        <f t="shared" si="19"/>
        <v>1</v>
      </c>
      <c r="P80" s="960"/>
      <c r="Q80" s="52">
        <f t="shared" si="20"/>
        <v>1</v>
      </c>
      <c r="R80" s="488">
        <f t="shared" si="21"/>
        <v>0</v>
      </c>
      <c r="S80" s="796">
        <f t="shared" si="25"/>
        <v>0</v>
      </c>
    </row>
    <row r="81" spans="1:19">
      <c r="A81" s="962"/>
      <c r="B81" s="135"/>
      <c r="C81" s="52">
        <f t="shared" si="13"/>
        <v>1</v>
      </c>
      <c r="D81" s="960"/>
      <c r="E81" s="52">
        <f t="shared" si="14"/>
        <v>1</v>
      </c>
      <c r="F81" s="960"/>
      <c r="G81" s="52">
        <f t="shared" si="15"/>
        <v>1</v>
      </c>
      <c r="H81" s="960"/>
      <c r="I81" s="52">
        <f t="shared" si="16"/>
        <v>1</v>
      </c>
      <c r="J81" s="960"/>
      <c r="K81" s="52">
        <f t="shared" si="17"/>
        <v>1</v>
      </c>
      <c r="L81" s="960"/>
      <c r="M81" s="52">
        <f t="shared" si="18"/>
        <v>1</v>
      </c>
      <c r="N81" s="960"/>
      <c r="O81" s="52">
        <f t="shared" si="19"/>
        <v>1</v>
      </c>
      <c r="P81" s="960"/>
      <c r="Q81" s="52">
        <f t="shared" si="20"/>
        <v>1</v>
      </c>
      <c r="R81" s="488">
        <f t="shared" si="21"/>
        <v>0</v>
      </c>
      <c r="S81" s="796">
        <f t="shared" si="25"/>
        <v>0</v>
      </c>
    </row>
    <row r="82" spans="1:19">
      <c r="A82" s="962"/>
      <c r="B82" s="135"/>
      <c r="C82" s="52">
        <f t="shared" si="13"/>
        <v>1</v>
      </c>
      <c r="D82" s="960"/>
      <c r="E82" s="52">
        <f t="shared" si="14"/>
        <v>1</v>
      </c>
      <c r="F82" s="960"/>
      <c r="G82" s="52">
        <f t="shared" si="15"/>
        <v>1</v>
      </c>
      <c r="H82" s="960"/>
      <c r="I82" s="52">
        <f t="shared" si="16"/>
        <v>1</v>
      </c>
      <c r="J82" s="960"/>
      <c r="K82" s="52">
        <f t="shared" si="17"/>
        <v>1</v>
      </c>
      <c r="L82" s="960"/>
      <c r="M82" s="52">
        <f t="shared" si="18"/>
        <v>1</v>
      </c>
      <c r="N82" s="960"/>
      <c r="O82" s="52">
        <f t="shared" si="19"/>
        <v>1</v>
      </c>
      <c r="P82" s="960"/>
      <c r="Q82" s="52">
        <f t="shared" si="20"/>
        <v>1</v>
      </c>
      <c r="R82" s="488">
        <f t="shared" si="21"/>
        <v>0</v>
      </c>
      <c r="S82" s="796">
        <f t="shared" si="25"/>
        <v>0</v>
      </c>
    </row>
    <row r="83" spans="1:19">
      <c r="A83" s="962"/>
      <c r="B83" s="135"/>
      <c r="C83" s="52">
        <f t="shared" si="13"/>
        <v>1</v>
      </c>
      <c r="D83" s="960"/>
      <c r="E83" s="52">
        <f t="shared" si="14"/>
        <v>1</v>
      </c>
      <c r="F83" s="960"/>
      <c r="G83" s="52">
        <f t="shared" si="15"/>
        <v>1</v>
      </c>
      <c r="H83" s="960"/>
      <c r="I83" s="52">
        <f t="shared" si="16"/>
        <v>1</v>
      </c>
      <c r="J83" s="960"/>
      <c r="K83" s="52">
        <f t="shared" si="17"/>
        <v>1</v>
      </c>
      <c r="L83" s="960"/>
      <c r="M83" s="52">
        <f t="shared" si="18"/>
        <v>1</v>
      </c>
      <c r="N83" s="960"/>
      <c r="O83" s="52">
        <f t="shared" si="19"/>
        <v>1</v>
      </c>
      <c r="P83" s="960"/>
      <c r="Q83" s="52">
        <f t="shared" si="20"/>
        <v>1</v>
      </c>
      <c r="R83" s="488">
        <f t="shared" si="21"/>
        <v>0</v>
      </c>
      <c r="S83" s="796">
        <f t="shared" si="25"/>
        <v>0</v>
      </c>
    </row>
    <row r="84" spans="1:19">
      <c r="A84" s="962"/>
      <c r="B84" s="135"/>
      <c r="C84" s="52">
        <f t="shared" si="13"/>
        <v>1</v>
      </c>
      <c r="D84" s="960"/>
      <c r="E84" s="52">
        <f t="shared" si="14"/>
        <v>1</v>
      </c>
      <c r="F84" s="960"/>
      <c r="G84" s="52">
        <f t="shared" si="15"/>
        <v>1</v>
      </c>
      <c r="H84" s="960"/>
      <c r="I84" s="52">
        <f t="shared" si="16"/>
        <v>1</v>
      </c>
      <c r="J84" s="960"/>
      <c r="K84" s="52">
        <f t="shared" si="17"/>
        <v>1</v>
      </c>
      <c r="L84" s="960"/>
      <c r="M84" s="52">
        <f t="shared" si="18"/>
        <v>1</v>
      </c>
      <c r="N84" s="960"/>
      <c r="O84" s="52">
        <f t="shared" si="19"/>
        <v>1</v>
      </c>
      <c r="P84" s="960"/>
      <c r="Q84" s="52">
        <f t="shared" si="20"/>
        <v>1</v>
      </c>
      <c r="R84" s="488">
        <f t="shared" si="21"/>
        <v>0</v>
      </c>
      <c r="S84" s="796">
        <f t="shared" si="25"/>
        <v>0</v>
      </c>
    </row>
    <row r="85" spans="1:19">
      <c r="A85" s="962"/>
      <c r="B85" s="135"/>
      <c r="C85" s="52">
        <f t="shared" si="13"/>
        <v>1</v>
      </c>
      <c r="D85" s="960"/>
      <c r="E85" s="52">
        <f t="shared" si="14"/>
        <v>1</v>
      </c>
      <c r="F85" s="960"/>
      <c r="G85" s="52">
        <f t="shared" si="15"/>
        <v>1</v>
      </c>
      <c r="H85" s="960"/>
      <c r="I85" s="52">
        <f t="shared" si="16"/>
        <v>1</v>
      </c>
      <c r="J85" s="960"/>
      <c r="K85" s="52">
        <f t="shared" si="17"/>
        <v>1</v>
      </c>
      <c r="L85" s="960"/>
      <c r="M85" s="52">
        <f t="shared" si="18"/>
        <v>1</v>
      </c>
      <c r="N85" s="960"/>
      <c r="O85" s="52">
        <f t="shared" si="19"/>
        <v>1</v>
      </c>
      <c r="P85" s="960"/>
      <c r="Q85" s="52">
        <f t="shared" si="20"/>
        <v>1</v>
      </c>
      <c r="R85" s="488">
        <f t="shared" si="21"/>
        <v>0</v>
      </c>
      <c r="S85" s="796">
        <f t="shared" si="25"/>
        <v>0</v>
      </c>
    </row>
    <row r="86" spans="1:19">
      <c r="A86" s="962"/>
      <c r="B86" s="135"/>
      <c r="C86" s="52">
        <f t="shared" si="13"/>
        <v>1</v>
      </c>
      <c r="D86" s="960"/>
      <c r="E86" s="52">
        <f t="shared" si="14"/>
        <v>1</v>
      </c>
      <c r="F86" s="960"/>
      <c r="G86" s="52">
        <f t="shared" si="15"/>
        <v>1</v>
      </c>
      <c r="H86" s="960"/>
      <c r="I86" s="52">
        <f t="shared" si="16"/>
        <v>1</v>
      </c>
      <c r="J86" s="960"/>
      <c r="K86" s="52">
        <f t="shared" si="17"/>
        <v>1</v>
      </c>
      <c r="L86" s="960"/>
      <c r="M86" s="52">
        <f t="shared" si="18"/>
        <v>1</v>
      </c>
      <c r="N86" s="960"/>
      <c r="O86" s="52">
        <f t="shared" si="19"/>
        <v>1</v>
      </c>
      <c r="P86" s="960"/>
      <c r="Q86" s="52">
        <f t="shared" si="20"/>
        <v>1</v>
      </c>
      <c r="R86" s="488">
        <f t="shared" si="21"/>
        <v>0</v>
      </c>
      <c r="S86" s="796">
        <f t="shared" si="25"/>
        <v>0</v>
      </c>
    </row>
    <row r="87" spans="1:19">
      <c r="A87" s="962"/>
      <c r="B87" s="135"/>
      <c r="C87" s="52">
        <f t="shared" si="13"/>
        <v>1</v>
      </c>
      <c r="D87" s="960"/>
      <c r="E87" s="52">
        <f t="shared" si="14"/>
        <v>1</v>
      </c>
      <c r="F87" s="960"/>
      <c r="G87" s="52">
        <f t="shared" si="15"/>
        <v>1</v>
      </c>
      <c r="H87" s="960"/>
      <c r="I87" s="52">
        <f t="shared" si="16"/>
        <v>1</v>
      </c>
      <c r="J87" s="960"/>
      <c r="K87" s="52">
        <f t="shared" si="17"/>
        <v>1</v>
      </c>
      <c r="L87" s="960"/>
      <c r="M87" s="52">
        <f t="shared" si="18"/>
        <v>1</v>
      </c>
      <c r="N87" s="960"/>
      <c r="O87" s="52">
        <f t="shared" si="19"/>
        <v>1</v>
      </c>
      <c r="P87" s="960"/>
      <c r="Q87" s="52">
        <f t="shared" si="20"/>
        <v>1</v>
      </c>
      <c r="R87" s="488">
        <f t="shared" si="21"/>
        <v>0</v>
      </c>
      <c r="S87" s="796">
        <f t="shared" si="25"/>
        <v>0</v>
      </c>
    </row>
    <row r="88" spans="1:19">
      <c r="A88" s="962"/>
      <c r="B88" s="135"/>
      <c r="C88" s="52">
        <f t="shared" si="13"/>
        <v>1</v>
      </c>
      <c r="D88" s="960"/>
      <c r="E88" s="52">
        <f t="shared" si="14"/>
        <v>1</v>
      </c>
      <c r="F88" s="960"/>
      <c r="G88" s="52">
        <f t="shared" si="15"/>
        <v>1</v>
      </c>
      <c r="H88" s="960"/>
      <c r="I88" s="52">
        <f t="shared" si="16"/>
        <v>1</v>
      </c>
      <c r="J88" s="960"/>
      <c r="K88" s="52">
        <f t="shared" si="17"/>
        <v>1</v>
      </c>
      <c r="L88" s="960"/>
      <c r="M88" s="52">
        <f t="shared" si="18"/>
        <v>1</v>
      </c>
      <c r="N88" s="960"/>
      <c r="O88" s="52">
        <f t="shared" si="19"/>
        <v>1</v>
      </c>
      <c r="P88" s="960"/>
      <c r="Q88" s="52">
        <f t="shared" si="20"/>
        <v>1</v>
      </c>
      <c r="R88" s="488">
        <f t="shared" si="21"/>
        <v>0</v>
      </c>
      <c r="S88" s="796">
        <f t="shared" si="25"/>
        <v>0</v>
      </c>
    </row>
    <row r="89" spans="1:19">
      <c r="A89" s="962"/>
      <c r="B89" s="135"/>
      <c r="C89" s="52">
        <f t="shared" si="13"/>
        <v>1</v>
      </c>
      <c r="D89" s="960"/>
      <c r="E89" s="52">
        <f t="shared" si="14"/>
        <v>1</v>
      </c>
      <c r="F89" s="960"/>
      <c r="G89" s="52">
        <f t="shared" si="15"/>
        <v>1</v>
      </c>
      <c r="H89" s="960"/>
      <c r="I89" s="52">
        <f t="shared" si="16"/>
        <v>1</v>
      </c>
      <c r="J89" s="960"/>
      <c r="K89" s="52">
        <f t="shared" si="17"/>
        <v>1</v>
      </c>
      <c r="L89" s="960"/>
      <c r="M89" s="52">
        <f t="shared" si="18"/>
        <v>1</v>
      </c>
      <c r="N89" s="960"/>
      <c r="O89" s="52">
        <f t="shared" si="19"/>
        <v>1</v>
      </c>
      <c r="P89" s="960"/>
      <c r="Q89" s="52">
        <f t="shared" si="20"/>
        <v>1</v>
      </c>
      <c r="R89" s="488">
        <f t="shared" si="21"/>
        <v>0</v>
      </c>
      <c r="S89" s="796">
        <f t="shared" si="25"/>
        <v>0</v>
      </c>
    </row>
    <row r="90" spans="1:19">
      <c r="A90" s="962"/>
      <c r="B90" s="135"/>
      <c r="C90" s="52">
        <f t="shared" ref="C90:C153" si="26">IF(B90="",1,(LOOKUP(B90,$3:$3,$4:$4)-LOOKUP($B$24,$3:$3,$4:$4)+100)/100)</f>
        <v>1</v>
      </c>
      <c r="D90" s="960"/>
      <c r="E90" s="52">
        <f t="shared" ref="E90:E153" si="27">(SUMIF($5:$5,D90,$6:$6)-SUMIF($5:$5,$D$24,$6:$6)+100)/100</f>
        <v>1</v>
      </c>
      <c r="F90" s="960"/>
      <c r="G90" s="52">
        <f t="shared" ref="G90:G153" si="28">(SUMIF($7:$7,F90,$8:$8)-SUMIF($7:$7,$F$24,$8:$8)+100)/100</f>
        <v>1</v>
      </c>
      <c r="H90" s="960"/>
      <c r="I90" s="52">
        <f t="shared" ref="I90:I153" si="29">(SUMIF($9:$9,H90,$10:$10)-SUMIF($9:$9,$H$24,$10:$10)+100)/100</f>
        <v>1</v>
      </c>
      <c r="J90" s="960"/>
      <c r="K90" s="52">
        <f t="shared" ref="K90:K153" si="30">(SUMIF($11:$11,J90,$12:$12)-SUMIF($11:$11,$J$24,$12:$12)+100)/100</f>
        <v>1</v>
      </c>
      <c r="L90" s="960"/>
      <c r="M90" s="52">
        <f t="shared" ref="M90:M153" si="31">(SUMIF($13:$13,L90,$14:$14)-SUMIF($13:$13,$L$24,$14:$14)+100)/100</f>
        <v>1</v>
      </c>
      <c r="N90" s="960"/>
      <c r="O90" s="52">
        <f t="shared" ref="O90:O153" si="32">(SUMIF($15:$15,N90,$16:$16)-SUMIF($15:$15,$N$24,$16:$16)+100)/100</f>
        <v>1</v>
      </c>
      <c r="P90" s="960"/>
      <c r="Q90" s="52">
        <f t="shared" ref="Q90:Q153" si="33">(SUMIF($17:$17,P90,$18:$18)-SUMIF($17:$17,$P$24,$18:$18)+100)/100</f>
        <v>1</v>
      </c>
      <c r="R90" s="488">
        <f t="shared" ref="R90:R153" si="34">IF(B90="",0,ROUND($R$24*C90*E90*G90*I90*K90*M90*O90*Q90,0))</f>
        <v>0</v>
      </c>
      <c r="S90" s="796">
        <f t="shared" si="25"/>
        <v>0</v>
      </c>
    </row>
    <row r="91" spans="1:19">
      <c r="A91" s="962"/>
      <c r="B91" s="135"/>
      <c r="C91" s="52">
        <f t="shared" si="26"/>
        <v>1</v>
      </c>
      <c r="D91" s="960"/>
      <c r="E91" s="52">
        <f t="shared" si="27"/>
        <v>1</v>
      </c>
      <c r="F91" s="960"/>
      <c r="G91" s="52">
        <f t="shared" si="28"/>
        <v>1</v>
      </c>
      <c r="H91" s="960"/>
      <c r="I91" s="52">
        <f t="shared" si="29"/>
        <v>1</v>
      </c>
      <c r="J91" s="960"/>
      <c r="K91" s="52">
        <f t="shared" si="30"/>
        <v>1</v>
      </c>
      <c r="L91" s="960"/>
      <c r="M91" s="52">
        <f t="shared" si="31"/>
        <v>1</v>
      </c>
      <c r="N91" s="960"/>
      <c r="O91" s="52">
        <f t="shared" si="32"/>
        <v>1</v>
      </c>
      <c r="P91" s="960"/>
      <c r="Q91" s="52">
        <f t="shared" si="33"/>
        <v>1</v>
      </c>
      <c r="R91" s="488">
        <f t="shared" si="34"/>
        <v>0</v>
      </c>
      <c r="S91" s="796">
        <f t="shared" si="25"/>
        <v>0</v>
      </c>
    </row>
    <row r="92" spans="1:19">
      <c r="A92" s="962"/>
      <c r="B92" s="135"/>
      <c r="C92" s="52">
        <f t="shared" si="26"/>
        <v>1</v>
      </c>
      <c r="D92" s="960"/>
      <c r="E92" s="52">
        <f t="shared" si="27"/>
        <v>1</v>
      </c>
      <c r="F92" s="960"/>
      <c r="G92" s="52">
        <f t="shared" si="28"/>
        <v>1</v>
      </c>
      <c r="H92" s="960"/>
      <c r="I92" s="52">
        <f t="shared" si="29"/>
        <v>1</v>
      </c>
      <c r="J92" s="960"/>
      <c r="K92" s="52">
        <f t="shared" si="30"/>
        <v>1</v>
      </c>
      <c r="L92" s="960"/>
      <c r="M92" s="52">
        <f t="shared" si="31"/>
        <v>1</v>
      </c>
      <c r="N92" s="960"/>
      <c r="O92" s="52">
        <f t="shared" si="32"/>
        <v>1</v>
      </c>
      <c r="P92" s="960"/>
      <c r="Q92" s="52">
        <f t="shared" si="33"/>
        <v>1</v>
      </c>
      <c r="R92" s="488">
        <f t="shared" si="34"/>
        <v>0</v>
      </c>
      <c r="S92" s="796">
        <f t="shared" si="25"/>
        <v>0</v>
      </c>
    </row>
    <row r="93" spans="1:19">
      <c r="A93" s="962"/>
      <c r="B93" s="135"/>
      <c r="C93" s="52">
        <f t="shared" si="26"/>
        <v>1</v>
      </c>
      <c r="D93" s="960"/>
      <c r="E93" s="52">
        <f t="shared" si="27"/>
        <v>1</v>
      </c>
      <c r="F93" s="960"/>
      <c r="G93" s="52">
        <f t="shared" si="28"/>
        <v>1</v>
      </c>
      <c r="H93" s="960"/>
      <c r="I93" s="52">
        <f t="shared" si="29"/>
        <v>1</v>
      </c>
      <c r="J93" s="960"/>
      <c r="K93" s="52">
        <f t="shared" si="30"/>
        <v>1</v>
      </c>
      <c r="L93" s="960"/>
      <c r="M93" s="52">
        <f t="shared" si="31"/>
        <v>1</v>
      </c>
      <c r="N93" s="960"/>
      <c r="O93" s="52">
        <f t="shared" si="32"/>
        <v>1</v>
      </c>
      <c r="P93" s="960"/>
      <c r="Q93" s="52">
        <f t="shared" si="33"/>
        <v>1</v>
      </c>
      <c r="R93" s="488">
        <f t="shared" si="34"/>
        <v>0</v>
      </c>
      <c r="S93" s="796">
        <f t="shared" si="25"/>
        <v>0</v>
      </c>
    </row>
    <row r="94" spans="1:19">
      <c r="A94" s="962"/>
      <c r="B94" s="135"/>
      <c r="C94" s="52">
        <f t="shared" si="26"/>
        <v>1</v>
      </c>
      <c r="D94" s="960"/>
      <c r="E94" s="52">
        <f t="shared" si="27"/>
        <v>1</v>
      </c>
      <c r="F94" s="960"/>
      <c r="G94" s="52">
        <f t="shared" si="28"/>
        <v>1</v>
      </c>
      <c r="H94" s="960"/>
      <c r="I94" s="52">
        <f t="shared" si="29"/>
        <v>1</v>
      </c>
      <c r="J94" s="960"/>
      <c r="K94" s="52">
        <f t="shared" si="30"/>
        <v>1</v>
      </c>
      <c r="L94" s="960"/>
      <c r="M94" s="52">
        <f t="shared" si="31"/>
        <v>1</v>
      </c>
      <c r="N94" s="960"/>
      <c r="O94" s="52">
        <f t="shared" si="32"/>
        <v>1</v>
      </c>
      <c r="P94" s="960"/>
      <c r="Q94" s="52">
        <f t="shared" si="33"/>
        <v>1</v>
      </c>
      <c r="R94" s="488">
        <f t="shared" si="34"/>
        <v>0</v>
      </c>
      <c r="S94" s="796">
        <f t="shared" si="25"/>
        <v>0</v>
      </c>
    </row>
    <row r="95" spans="1:19">
      <c r="A95" s="962"/>
      <c r="B95" s="135"/>
      <c r="C95" s="52">
        <f t="shared" si="26"/>
        <v>1</v>
      </c>
      <c r="D95" s="960"/>
      <c r="E95" s="52">
        <f t="shared" si="27"/>
        <v>1</v>
      </c>
      <c r="F95" s="960"/>
      <c r="G95" s="52">
        <f t="shared" si="28"/>
        <v>1</v>
      </c>
      <c r="H95" s="960"/>
      <c r="I95" s="52">
        <f t="shared" si="29"/>
        <v>1</v>
      </c>
      <c r="J95" s="960"/>
      <c r="K95" s="52">
        <f t="shared" si="30"/>
        <v>1</v>
      </c>
      <c r="L95" s="960"/>
      <c r="M95" s="52">
        <f t="shared" si="31"/>
        <v>1</v>
      </c>
      <c r="N95" s="960"/>
      <c r="O95" s="52">
        <f t="shared" si="32"/>
        <v>1</v>
      </c>
      <c r="P95" s="960"/>
      <c r="Q95" s="52">
        <f t="shared" si="33"/>
        <v>1</v>
      </c>
      <c r="R95" s="488">
        <f t="shared" si="34"/>
        <v>0</v>
      </c>
      <c r="S95" s="796">
        <f t="shared" si="25"/>
        <v>0</v>
      </c>
    </row>
    <row r="96" spans="1:19">
      <c r="A96" s="962"/>
      <c r="B96" s="135"/>
      <c r="C96" s="52">
        <f t="shared" si="26"/>
        <v>1</v>
      </c>
      <c r="D96" s="960"/>
      <c r="E96" s="52">
        <f t="shared" si="27"/>
        <v>1</v>
      </c>
      <c r="F96" s="960"/>
      <c r="G96" s="52">
        <f t="shared" si="28"/>
        <v>1</v>
      </c>
      <c r="H96" s="960"/>
      <c r="I96" s="52">
        <f t="shared" si="29"/>
        <v>1</v>
      </c>
      <c r="J96" s="960"/>
      <c r="K96" s="52">
        <f t="shared" si="30"/>
        <v>1</v>
      </c>
      <c r="L96" s="960"/>
      <c r="M96" s="52">
        <f t="shared" si="31"/>
        <v>1</v>
      </c>
      <c r="N96" s="960"/>
      <c r="O96" s="52">
        <f t="shared" si="32"/>
        <v>1</v>
      </c>
      <c r="P96" s="960"/>
      <c r="Q96" s="52">
        <f t="shared" si="33"/>
        <v>1</v>
      </c>
      <c r="R96" s="488">
        <f t="shared" si="34"/>
        <v>0</v>
      </c>
      <c r="S96" s="796">
        <f t="shared" si="25"/>
        <v>0</v>
      </c>
    </row>
    <row r="97" spans="1:19">
      <c r="A97" s="962"/>
      <c r="B97" s="135"/>
      <c r="C97" s="52">
        <f t="shared" si="26"/>
        <v>1</v>
      </c>
      <c r="D97" s="960"/>
      <c r="E97" s="52">
        <f t="shared" si="27"/>
        <v>1</v>
      </c>
      <c r="F97" s="960"/>
      <c r="G97" s="52">
        <f t="shared" si="28"/>
        <v>1</v>
      </c>
      <c r="H97" s="960"/>
      <c r="I97" s="52">
        <f t="shared" si="29"/>
        <v>1</v>
      </c>
      <c r="J97" s="960"/>
      <c r="K97" s="52">
        <f t="shared" si="30"/>
        <v>1</v>
      </c>
      <c r="L97" s="960"/>
      <c r="M97" s="52">
        <f t="shared" si="31"/>
        <v>1</v>
      </c>
      <c r="N97" s="960"/>
      <c r="O97" s="52">
        <f t="shared" si="32"/>
        <v>1</v>
      </c>
      <c r="P97" s="960"/>
      <c r="Q97" s="52">
        <f t="shared" si="33"/>
        <v>1</v>
      </c>
      <c r="R97" s="488">
        <f t="shared" si="34"/>
        <v>0</v>
      </c>
      <c r="S97" s="796">
        <f t="shared" si="25"/>
        <v>0</v>
      </c>
    </row>
    <row r="98" spans="1:19">
      <c r="A98" s="962"/>
      <c r="B98" s="135"/>
      <c r="C98" s="52">
        <f t="shared" si="26"/>
        <v>1</v>
      </c>
      <c r="D98" s="960"/>
      <c r="E98" s="52">
        <f t="shared" si="27"/>
        <v>1</v>
      </c>
      <c r="F98" s="960"/>
      <c r="G98" s="52">
        <f t="shared" si="28"/>
        <v>1</v>
      </c>
      <c r="H98" s="960"/>
      <c r="I98" s="52">
        <f t="shared" si="29"/>
        <v>1</v>
      </c>
      <c r="J98" s="960"/>
      <c r="K98" s="52">
        <f t="shared" si="30"/>
        <v>1</v>
      </c>
      <c r="L98" s="960"/>
      <c r="M98" s="52">
        <f t="shared" si="31"/>
        <v>1</v>
      </c>
      <c r="N98" s="960"/>
      <c r="O98" s="52">
        <f t="shared" si="32"/>
        <v>1</v>
      </c>
      <c r="P98" s="960"/>
      <c r="Q98" s="52">
        <f t="shared" si="33"/>
        <v>1</v>
      </c>
      <c r="R98" s="488">
        <f t="shared" si="34"/>
        <v>0</v>
      </c>
      <c r="S98" s="796">
        <f t="shared" si="25"/>
        <v>0</v>
      </c>
    </row>
    <row r="99" spans="1:19">
      <c r="A99" s="962"/>
      <c r="B99" s="135"/>
      <c r="C99" s="52">
        <f t="shared" si="26"/>
        <v>1</v>
      </c>
      <c r="D99" s="960"/>
      <c r="E99" s="52">
        <f t="shared" si="27"/>
        <v>1</v>
      </c>
      <c r="F99" s="960"/>
      <c r="G99" s="52">
        <f t="shared" si="28"/>
        <v>1</v>
      </c>
      <c r="H99" s="960"/>
      <c r="I99" s="52">
        <f t="shared" si="29"/>
        <v>1</v>
      </c>
      <c r="J99" s="960"/>
      <c r="K99" s="52">
        <f t="shared" si="30"/>
        <v>1</v>
      </c>
      <c r="L99" s="960"/>
      <c r="M99" s="52">
        <f t="shared" si="31"/>
        <v>1</v>
      </c>
      <c r="N99" s="960"/>
      <c r="O99" s="52">
        <f t="shared" si="32"/>
        <v>1</v>
      </c>
      <c r="P99" s="960"/>
      <c r="Q99" s="52">
        <f t="shared" si="33"/>
        <v>1</v>
      </c>
      <c r="R99" s="488">
        <f t="shared" si="34"/>
        <v>0</v>
      </c>
      <c r="S99" s="796">
        <f t="shared" si="25"/>
        <v>0</v>
      </c>
    </row>
    <row r="100" spans="1:19">
      <c r="A100" s="962"/>
      <c r="B100" s="135"/>
      <c r="C100" s="52">
        <f t="shared" si="26"/>
        <v>1</v>
      </c>
      <c r="D100" s="960"/>
      <c r="E100" s="52">
        <f t="shared" si="27"/>
        <v>1</v>
      </c>
      <c r="F100" s="960"/>
      <c r="G100" s="52">
        <f t="shared" si="28"/>
        <v>1</v>
      </c>
      <c r="H100" s="960"/>
      <c r="I100" s="52">
        <f t="shared" si="29"/>
        <v>1</v>
      </c>
      <c r="J100" s="960"/>
      <c r="K100" s="52">
        <f t="shared" si="30"/>
        <v>1</v>
      </c>
      <c r="L100" s="960"/>
      <c r="M100" s="52">
        <f t="shared" si="31"/>
        <v>1</v>
      </c>
      <c r="N100" s="960"/>
      <c r="O100" s="52">
        <f t="shared" si="32"/>
        <v>1</v>
      </c>
      <c r="P100" s="960"/>
      <c r="Q100" s="52">
        <f t="shared" si="33"/>
        <v>1</v>
      </c>
      <c r="R100" s="488">
        <f t="shared" si="34"/>
        <v>0</v>
      </c>
      <c r="S100" s="796">
        <f t="shared" si="25"/>
        <v>0</v>
      </c>
    </row>
    <row r="101" spans="1:19">
      <c r="A101" s="962"/>
      <c r="B101" s="135"/>
      <c r="C101" s="52">
        <f t="shared" si="26"/>
        <v>1</v>
      </c>
      <c r="D101" s="960"/>
      <c r="E101" s="52">
        <f t="shared" si="27"/>
        <v>1</v>
      </c>
      <c r="F101" s="960"/>
      <c r="G101" s="52">
        <f t="shared" si="28"/>
        <v>1</v>
      </c>
      <c r="H101" s="960"/>
      <c r="I101" s="52">
        <f t="shared" si="29"/>
        <v>1</v>
      </c>
      <c r="J101" s="960"/>
      <c r="K101" s="52">
        <f t="shared" si="30"/>
        <v>1</v>
      </c>
      <c r="L101" s="960"/>
      <c r="M101" s="52">
        <f t="shared" si="31"/>
        <v>1</v>
      </c>
      <c r="N101" s="960"/>
      <c r="O101" s="52">
        <f t="shared" si="32"/>
        <v>1</v>
      </c>
      <c r="P101" s="960"/>
      <c r="Q101" s="52">
        <f t="shared" si="33"/>
        <v>1</v>
      </c>
      <c r="R101" s="488">
        <f t="shared" si="34"/>
        <v>0</v>
      </c>
      <c r="S101" s="796">
        <f t="shared" si="25"/>
        <v>0</v>
      </c>
    </row>
    <row r="102" spans="1:19">
      <c r="A102" s="962"/>
      <c r="B102" s="135"/>
      <c r="C102" s="52">
        <f t="shared" si="26"/>
        <v>1</v>
      </c>
      <c r="D102" s="960"/>
      <c r="E102" s="52">
        <f t="shared" si="27"/>
        <v>1</v>
      </c>
      <c r="F102" s="960"/>
      <c r="G102" s="52">
        <f t="shared" si="28"/>
        <v>1</v>
      </c>
      <c r="H102" s="960"/>
      <c r="I102" s="52">
        <f t="shared" si="29"/>
        <v>1</v>
      </c>
      <c r="J102" s="960"/>
      <c r="K102" s="52">
        <f t="shared" si="30"/>
        <v>1</v>
      </c>
      <c r="L102" s="960"/>
      <c r="M102" s="52">
        <f t="shared" si="31"/>
        <v>1</v>
      </c>
      <c r="N102" s="960"/>
      <c r="O102" s="52">
        <f t="shared" si="32"/>
        <v>1</v>
      </c>
      <c r="P102" s="960"/>
      <c r="Q102" s="52">
        <f t="shared" si="33"/>
        <v>1</v>
      </c>
      <c r="R102" s="488">
        <f t="shared" si="34"/>
        <v>0</v>
      </c>
      <c r="S102" s="796">
        <f t="shared" si="25"/>
        <v>0</v>
      </c>
    </row>
    <row r="103" spans="1:19">
      <c r="A103" s="962"/>
      <c r="B103" s="135"/>
      <c r="C103" s="52">
        <f t="shared" si="26"/>
        <v>1</v>
      </c>
      <c r="D103" s="960"/>
      <c r="E103" s="52">
        <f t="shared" si="27"/>
        <v>1</v>
      </c>
      <c r="F103" s="960"/>
      <c r="G103" s="52">
        <f t="shared" si="28"/>
        <v>1</v>
      </c>
      <c r="H103" s="960"/>
      <c r="I103" s="52">
        <f t="shared" si="29"/>
        <v>1</v>
      </c>
      <c r="J103" s="960"/>
      <c r="K103" s="52">
        <f t="shared" si="30"/>
        <v>1</v>
      </c>
      <c r="L103" s="960"/>
      <c r="M103" s="52">
        <f t="shared" si="31"/>
        <v>1</v>
      </c>
      <c r="N103" s="960"/>
      <c r="O103" s="52">
        <f t="shared" si="32"/>
        <v>1</v>
      </c>
      <c r="P103" s="960"/>
      <c r="Q103" s="52">
        <f t="shared" si="33"/>
        <v>1</v>
      </c>
      <c r="R103" s="488">
        <f t="shared" si="34"/>
        <v>0</v>
      </c>
      <c r="S103" s="796">
        <f t="shared" si="25"/>
        <v>0</v>
      </c>
    </row>
    <row r="104" spans="1:19">
      <c r="A104" s="962"/>
      <c r="B104" s="135"/>
      <c r="C104" s="52">
        <f t="shared" si="26"/>
        <v>1</v>
      </c>
      <c r="D104" s="960"/>
      <c r="E104" s="52">
        <f t="shared" si="27"/>
        <v>1</v>
      </c>
      <c r="F104" s="960"/>
      <c r="G104" s="52">
        <f t="shared" si="28"/>
        <v>1</v>
      </c>
      <c r="H104" s="960"/>
      <c r="I104" s="52">
        <f t="shared" si="29"/>
        <v>1</v>
      </c>
      <c r="J104" s="960"/>
      <c r="K104" s="52">
        <f t="shared" si="30"/>
        <v>1</v>
      </c>
      <c r="L104" s="960"/>
      <c r="M104" s="52">
        <f t="shared" si="31"/>
        <v>1</v>
      </c>
      <c r="N104" s="960"/>
      <c r="O104" s="52">
        <f t="shared" si="32"/>
        <v>1</v>
      </c>
      <c r="P104" s="960"/>
      <c r="Q104" s="52">
        <f t="shared" si="33"/>
        <v>1</v>
      </c>
      <c r="R104" s="488">
        <f t="shared" si="34"/>
        <v>0</v>
      </c>
      <c r="S104" s="796">
        <f t="shared" si="25"/>
        <v>0</v>
      </c>
    </row>
    <row r="105" spans="1:19">
      <c r="A105" s="962"/>
      <c r="B105" s="135"/>
      <c r="C105" s="52">
        <f t="shared" si="26"/>
        <v>1</v>
      </c>
      <c r="D105" s="960"/>
      <c r="E105" s="52">
        <f t="shared" si="27"/>
        <v>1</v>
      </c>
      <c r="F105" s="960"/>
      <c r="G105" s="52">
        <f t="shared" si="28"/>
        <v>1</v>
      </c>
      <c r="H105" s="960"/>
      <c r="I105" s="52">
        <f t="shared" si="29"/>
        <v>1</v>
      </c>
      <c r="J105" s="960"/>
      <c r="K105" s="52">
        <f t="shared" si="30"/>
        <v>1</v>
      </c>
      <c r="L105" s="960"/>
      <c r="M105" s="52">
        <f t="shared" si="31"/>
        <v>1</v>
      </c>
      <c r="N105" s="960"/>
      <c r="O105" s="52">
        <f t="shared" si="32"/>
        <v>1</v>
      </c>
      <c r="P105" s="960"/>
      <c r="Q105" s="52">
        <f t="shared" si="33"/>
        <v>1</v>
      </c>
      <c r="R105" s="488">
        <f t="shared" si="34"/>
        <v>0</v>
      </c>
      <c r="S105" s="796">
        <f t="shared" si="25"/>
        <v>0</v>
      </c>
    </row>
    <row r="106" spans="1:19">
      <c r="A106" s="962"/>
      <c r="B106" s="135"/>
      <c r="C106" s="52">
        <f t="shared" si="26"/>
        <v>1</v>
      </c>
      <c r="D106" s="960"/>
      <c r="E106" s="52">
        <f t="shared" si="27"/>
        <v>1</v>
      </c>
      <c r="F106" s="960"/>
      <c r="G106" s="52">
        <f t="shared" si="28"/>
        <v>1</v>
      </c>
      <c r="H106" s="960"/>
      <c r="I106" s="52">
        <f t="shared" si="29"/>
        <v>1</v>
      </c>
      <c r="J106" s="960"/>
      <c r="K106" s="52">
        <f t="shared" si="30"/>
        <v>1</v>
      </c>
      <c r="L106" s="960"/>
      <c r="M106" s="52">
        <f t="shared" si="31"/>
        <v>1</v>
      </c>
      <c r="N106" s="960"/>
      <c r="O106" s="52">
        <f t="shared" si="32"/>
        <v>1</v>
      </c>
      <c r="P106" s="960"/>
      <c r="Q106" s="52">
        <f t="shared" si="33"/>
        <v>1</v>
      </c>
      <c r="R106" s="488">
        <f t="shared" si="34"/>
        <v>0</v>
      </c>
      <c r="S106" s="796">
        <f t="shared" si="25"/>
        <v>0</v>
      </c>
    </row>
    <row r="107" spans="1:19">
      <c r="A107" s="962"/>
      <c r="B107" s="135"/>
      <c r="C107" s="52">
        <f t="shared" si="26"/>
        <v>1</v>
      </c>
      <c r="D107" s="960"/>
      <c r="E107" s="52">
        <f t="shared" si="27"/>
        <v>1</v>
      </c>
      <c r="F107" s="960"/>
      <c r="G107" s="52">
        <f t="shared" si="28"/>
        <v>1</v>
      </c>
      <c r="H107" s="960"/>
      <c r="I107" s="52">
        <f t="shared" si="29"/>
        <v>1</v>
      </c>
      <c r="J107" s="960"/>
      <c r="K107" s="52">
        <f t="shared" si="30"/>
        <v>1</v>
      </c>
      <c r="L107" s="960"/>
      <c r="M107" s="52">
        <f t="shared" si="31"/>
        <v>1</v>
      </c>
      <c r="N107" s="960"/>
      <c r="O107" s="52">
        <f t="shared" si="32"/>
        <v>1</v>
      </c>
      <c r="P107" s="960"/>
      <c r="Q107" s="52">
        <f t="shared" si="33"/>
        <v>1</v>
      </c>
      <c r="R107" s="488">
        <f t="shared" si="34"/>
        <v>0</v>
      </c>
      <c r="S107" s="796">
        <f t="shared" si="25"/>
        <v>0</v>
      </c>
    </row>
    <row r="108" spans="1:19">
      <c r="A108" s="962"/>
      <c r="B108" s="135"/>
      <c r="C108" s="52">
        <f t="shared" si="26"/>
        <v>1</v>
      </c>
      <c r="D108" s="960"/>
      <c r="E108" s="52">
        <f t="shared" si="27"/>
        <v>1</v>
      </c>
      <c r="F108" s="960"/>
      <c r="G108" s="52">
        <f t="shared" si="28"/>
        <v>1</v>
      </c>
      <c r="H108" s="960"/>
      <c r="I108" s="52">
        <f t="shared" si="29"/>
        <v>1</v>
      </c>
      <c r="J108" s="960"/>
      <c r="K108" s="52">
        <f t="shared" si="30"/>
        <v>1</v>
      </c>
      <c r="L108" s="960"/>
      <c r="M108" s="52">
        <f t="shared" si="31"/>
        <v>1</v>
      </c>
      <c r="N108" s="960"/>
      <c r="O108" s="52">
        <f t="shared" si="32"/>
        <v>1</v>
      </c>
      <c r="P108" s="960"/>
      <c r="Q108" s="52">
        <f t="shared" si="33"/>
        <v>1</v>
      </c>
      <c r="R108" s="488">
        <f t="shared" si="34"/>
        <v>0</v>
      </c>
      <c r="S108" s="796">
        <f t="shared" si="25"/>
        <v>0</v>
      </c>
    </row>
    <row r="109" spans="1:19">
      <c r="A109" s="962"/>
      <c r="B109" s="135"/>
      <c r="C109" s="52">
        <f t="shared" si="26"/>
        <v>1</v>
      </c>
      <c r="D109" s="960"/>
      <c r="E109" s="52">
        <f t="shared" si="27"/>
        <v>1</v>
      </c>
      <c r="F109" s="960"/>
      <c r="G109" s="52">
        <f t="shared" si="28"/>
        <v>1</v>
      </c>
      <c r="H109" s="960"/>
      <c r="I109" s="52">
        <f t="shared" si="29"/>
        <v>1</v>
      </c>
      <c r="J109" s="960"/>
      <c r="K109" s="52">
        <f t="shared" si="30"/>
        <v>1</v>
      </c>
      <c r="L109" s="960"/>
      <c r="M109" s="52">
        <f t="shared" si="31"/>
        <v>1</v>
      </c>
      <c r="N109" s="960"/>
      <c r="O109" s="52">
        <f t="shared" si="32"/>
        <v>1</v>
      </c>
      <c r="P109" s="960"/>
      <c r="Q109" s="52">
        <f t="shared" si="33"/>
        <v>1</v>
      </c>
      <c r="R109" s="488">
        <f t="shared" si="34"/>
        <v>0</v>
      </c>
      <c r="S109" s="796">
        <f t="shared" si="25"/>
        <v>0</v>
      </c>
    </row>
    <row r="110" spans="1:19">
      <c r="A110" s="962"/>
      <c r="B110" s="135"/>
      <c r="C110" s="52">
        <f t="shared" si="26"/>
        <v>1</v>
      </c>
      <c r="D110" s="960"/>
      <c r="E110" s="52">
        <f t="shared" si="27"/>
        <v>1</v>
      </c>
      <c r="F110" s="960"/>
      <c r="G110" s="52">
        <f t="shared" si="28"/>
        <v>1</v>
      </c>
      <c r="H110" s="960"/>
      <c r="I110" s="52">
        <f t="shared" si="29"/>
        <v>1</v>
      </c>
      <c r="J110" s="960"/>
      <c r="K110" s="52">
        <f t="shared" si="30"/>
        <v>1</v>
      </c>
      <c r="L110" s="960"/>
      <c r="M110" s="52">
        <f t="shared" si="31"/>
        <v>1</v>
      </c>
      <c r="N110" s="960"/>
      <c r="O110" s="52">
        <f t="shared" si="32"/>
        <v>1</v>
      </c>
      <c r="P110" s="960"/>
      <c r="Q110" s="52">
        <f t="shared" si="33"/>
        <v>1</v>
      </c>
      <c r="R110" s="488">
        <f t="shared" si="34"/>
        <v>0</v>
      </c>
      <c r="S110" s="796">
        <f t="shared" si="25"/>
        <v>0</v>
      </c>
    </row>
    <row r="111" spans="1:19">
      <c r="A111" s="962"/>
      <c r="B111" s="135"/>
      <c r="C111" s="52">
        <f t="shared" si="26"/>
        <v>1</v>
      </c>
      <c r="D111" s="960"/>
      <c r="E111" s="52">
        <f t="shared" si="27"/>
        <v>1</v>
      </c>
      <c r="F111" s="960"/>
      <c r="G111" s="52">
        <f t="shared" si="28"/>
        <v>1</v>
      </c>
      <c r="H111" s="960"/>
      <c r="I111" s="52">
        <f t="shared" si="29"/>
        <v>1</v>
      </c>
      <c r="J111" s="960"/>
      <c r="K111" s="52">
        <f t="shared" si="30"/>
        <v>1</v>
      </c>
      <c r="L111" s="960"/>
      <c r="M111" s="52">
        <f t="shared" si="31"/>
        <v>1</v>
      </c>
      <c r="N111" s="960"/>
      <c r="O111" s="52">
        <f t="shared" si="32"/>
        <v>1</v>
      </c>
      <c r="P111" s="960"/>
      <c r="Q111" s="52">
        <f t="shared" si="33"/>
        <v>1</v>
      </c>
      <c r="R111" s="488">
        <f t="shared" si="34"/>
        <v>0</v>
      </c>
      <c r="S111" s="796">
        <f t="shared" si="25"/>
        <v>0</v>
      </c>
    </row>
    <row r="112" spans="1:19">
      <c r="A112" s="962"/>
      <c r="B112" s="135"/>
      <c r="C112" s="52">
        <f t="shared" si="26"/>
        <v>1</v>
      </c>
      <c r="D112" s="960"/>
      <c r="E112" s="52">
        <f t="shared" si="27"/>
        <v>1</v>
      </c>
      <c r="F112" s="960"/>
      <c r="G112" s="52">
        <f t="shared" si="28"/>
        <v>1</v>
      </c>
      <c r="H112" s="960"/>
      <c r="I112" s="52">
        <f t="shared" si="29"/>
        <v>1</v>
      </c>
      <c r="J112" s="960"/>
      <c r="K112" s="52">
        <f t="shared" si="30"/>
        <v>1</v>
      </c>
      <c r="L112" s="960"/>
      <c r="M112" s="52">
        <f t="shared" si="31"/>
        <v>1</v>
      </c>
      <c r="N112" s="960"/>
      <c r="O112" s="52">
        <f t="shared" si="32"/>
        <v>1</v>
      </c>
      <c r="P112" s="960"/>
      <c r="Q112" s="52">
        <f t="shared" si="33"/>
        <v>1</v>
      </c>
      <c r="R112" s="488">
        <f t="shared" si="34"/>
        <v>0</v>
      </c>
      <c r="S112" s="796">
        <f t="shared" si="25"/>
        <v>0</v>
      </c>
    </row>
    <row r="113" spans="1:19">
      <c r="A113" s="962"/>
      <c r="B113" s="135"/>
      <c r="C113" s="52">
        <f t="shared" si="26"/>
        <v>1</v>
      </c>
      <c r="D113" s="960"/>
      <c r="E113" s="52">
        <f t="shared" si="27"/>
        <v>1</v>
      </c>
      <c r="F113" s="960"/>
      <c r="G113" s="52">
        <f t="shared" si="28"/>
        <v>1</v>
      </c>
      <c r="H113" s="960"/>
      <c r="I113" s="52">
        <f t="shared" si="29"/>
        <v>1</v>
      </c>
      <c r="J113" s="960"/>
      <c r="K113" s="52">
        <f t="shared" si="30"/>
        <v>1</v>
      </c>
      <c r="L113" s="960"/>
      <c r="M113" s="52">
        <f t="shared" si="31"/>
        <v>1</v>
      </c>
      <c r="N113" s="960"/>
      <c r="O113" s="52">
        <f t="shared" si="32"/>
        <v>1</v>
      </c>
      <c r="P113" s="960"/>
      <c r="Q113" s="52">
        <f t="shared" si="33"/>
        <v>1</v>
      </c>
      <c r="R113" s="488">
        <f t="shared" si="34"/>
        <v>0</v>
      </c>
      <c r="S113" s="796">
        <f t="shared" si="25"/>
        <v>0</v>
      </c>
    </row>
    <row r="114" spans="1:19">
      <c r="A114" s="962"/>
      <c r="B114" s="135"/>
      <c r="C114" s="52">
        <f t="shared" si="26"/>
        <v>1</v>
      </c>
      <c r="D114" s="960"/>
      <c r="E114" s="52">
        <f t="shared" si="27"/>
        <v>1</v>
      </c>
      <c r="F114" s="960"/>
      <c r="G114" s="52">
        <f t="shared" si="28"/>
        <v>1</v>
      </c>
      <c r="H114" s="960"/>
      <c r="I114" s="52">
        <f t="shared" si="29"/>
        <v>1</v>
      </c>
      <c r="J114" s="960"/>
      <c r="K114" s="52">
        <f t="shared" si="30"/>
        <v>1</v>
      </c>
      <c r="L114" s="960"/>
      <c r="M114" s="52">
        <f t="shared" si="31"/>
        <v>1</v>
      </c>
      <c r="N114" s="960"/>
      <c r="O114" s="52">
        <f t="shared" si="32"/>
        <v>1</v>
      </c>
      <c r="P114" s="960"/>
      <c r="Q114" s="52">
        <f t="shared" si="33"/>
        <v>1</v>
      </c>
      <c r="R114" s="488">
        <f t="shared" si="34"/>
        <v>0</v>
      </c>
      <c r="S114" s="796">
        <f t="shared" si="25"/>
        <v>0</v>
      </c>
    </row>
    <row r="115" spans="1:19">
      <c r="A115" s="962"/>
      <c r="B115" s="135"/>
      <c r="C115" s="52">
        <f t="shared" si="26"/>
        <v>1</v>
      </c>
      <c r="D115" s="960"/>
      <c r="E115" s="52">
        <f t="shared" si="27"/>
        <v>1</v>
      </c>
      <c r="F115" s="960"/>
      <c r="G115" s="52">
        <f t="shared" si="28"/>
        <v>1</v>
      </c>
      <c r="H115" s="960"/>
      <c r="I115" s="52">
        <f t="shared" si="29"/>
        <v>1</v>
      </c>
      <c r="J115" s="960"/>
      <c r="K115" s="52">
        <f t="shared" si="30"/>
        <v>1</v>
      </c>
      <c r="L115" s="960"/>
      <c r="M115" s="52">
        <f t="shared" si="31"/>
        <v>1</v>
      </c>
      <c r="N115" s="960"/>
      <c r="O115" s="52">
        <f t="shared" si="32"/>
        <v>1</v>
      </c>
      <c r="P115" s="960"/>
      <c r="Q115" s="52">
        <f t="shared" si="33"/>
        <v>1</v>
      </c>
      <c r="R115" s="488">
        <f t="shared" si="34"/>
        <v>0</v>
      </c>
      <c r="S115" s="796">
        <f t="shared" si="25"/>
        <v>0</v>
      </c>
    </row>
    <row r="116" spans="1:19">
      <c r="A116" s="962"/>
      <c r="B116" s="135"/>
      <c r="C116" s="52">
        <f t="shared" si="26"/>
        <v>1</v>
      </c>
      <c r="D116" s="960"/>
      <c r="E116" s="52">
        <f t="shared" si="27"/>
        <v>1</v>
      </c>
      <c r="F116" s="960"/>
      <c r="G116" s="52">
        <f t="shared" si="28"/>
        <v>1</v>
      </c>
      <c r="H116" s="960"/>
      <c r="I116" s="52">
        <f t="shared" si="29"/>
        <v>1</v>
      </c>
      <c r="J116" s="960"/>
      <c r="K116" s="52">
        <f t="shared" si="30"/>
        <v>1</v>
      </c>
      <c r="L116" s="960"/>
      <c r="M116" s="52">
        <f t="shared" si="31"/>
        <v>1</v>
      </c>
      <c r="N116" s="960"/>
      <c r="O116" s="52">
        <f t="shared" si="32"/>
        <v>1</v>
      </c>
      <c r="P116" s="960"/>
      <c r="Q116" s="52">
        <f t="shared" si="33"/>
        <v>1</v>
      </c>
      <c r="R116" s="488">
        <f t="shared" si="34"/>
        <v>0</v>
      </c>
      <c r="S116" s="796">
        <f t="shared" si="25"/>
        <v>0</v>
      </c>
    </row>
    <row r="117" spans="1:19">
      <c r="A117" s="962"/>
      <c r="B117" s="135"/>
      <c r="C117" s="52">
        <f t="shared" si="26"/>
        <v>1</v>
      </c>
      <c r="D117" s="960"/>
      <c r="E117" s="52">
        <f t="shared" si="27"/>
        <v>1</v>
      </c>
      <c r="F117" s="960"/>
      <c r="G117" s="52">
        <f t="shared" si="28"/>
        <v>1</v>
      </c>
      <c r="H117" s="960"/>
      <c r="I117" s="52">
        <f t="shared" si="29"/>
        <v>1</v>
      </c>
      <c r="J117" s="960"/>
      <c r="K117" s="52">
        <f t="shared" si="30"/>
        <v>1</v>
      </c>
      <c r="L117" s="960"/>
      <c r="M117" s="52">
        <f t="shared" si="31"/>
        <v>1</v>
      </c>
      <c r="N117" s="960"/>
      <c r="O117" s="52">
        <f t="shared" si="32"/>
        <v>1</v>
      </c>
      <c r="P117" s="960"/>
      <c r="Q117" s="52">
        <f t="shared" si="33"/>
        <v>1</v>
      </c>
      <c r="R117" s="488">
        <f t="shared" si="34"/>
        <v>0</v>
      </c>
      <c r="S117" s="796">
        <f t="shared" si="25"/>
        <v>0</v>
      </c>
    </row>
    <row r="118" spans="1:19">
      <c r="A118" s="962"/>
      <c r="B118" s="135"/>
      <c r="C118" s="52">
        <f t="shared" si="26"/>
        <v>1</v>
      </c>
      <c r="D118" s="960"/>
      <c r="E118" s="52">
        <f t="shared" si="27"/>
        <v>1</v>
      </c>
      <c r="F118" s="960"/>
      <c r="G118" s="52">
        <f t="shared" si="28"/>
        <v>1</v>
      </c>
      <c r="H118" s="960"/>
      <c r="I118" s="52">
        <f t="shared" si="29"/>
        <v>1</v>
      </c>
      <c r="J118" s="960"/>
      <c r="K118" s="52">
        <f t="shared" si="30"/>
        <v>1</v>
      </c>
      <c r="L118" s="960"/>
      <c r="M118" s="52">
        <f t="shared" si="31"/>
        <v>1</v>
      </c>
      <c r="N118" s="960"/>
      <c r="O118" s="52">
        <f t="shared" si="32"/>
        <v>1</v>
      </c>
      <c r="P118" s="960"/>
      <c r="Q118" s="52">
        <f t="shared" si="33"/>
        <v>1</v>
      </c>
      <c r="R118" s="488">
        <f t="shared" si="34"/>
        <v>0</v>
      </c>
      <c r="S118" s="796">
        <f t="shared" si="25"/>
        <v>0</v>
      </c>
    </row>
    <row r="119" spans="1:19">
      <c r="A119" s="962"/>
      <c r="B119" s="135"/>
      <c r="C119" s="52">
        <f t="shared" si="26"/>
        <v>1</v>
      </c>
      <c r="D119" s="960"/>
      <c r="E119" s="52">
        <f t="shared" si="27"/>
        <v>1</v>
      </c>
      <c r="F119" s="960"/>
      <c r="G119" s="52">
        <f t="shared" si="28"/>
        <v>1</v>
      </c>
      <c r="H119" s="960"/>
      <c r="I119" s="52">
        <f t="shared" si="29"/>
        <v>1</v>
      </c>
      <c r="J119" s="960"/>
      <c r="K119" s="52">
        <f t="shared" si="30"/>
        <v>1</v>
      </c>
      <c r="L119" s="960"/>
      <c r="M119" s="52">
        <f t="shared" si="31"/>
        <v>1</v>
      </c>
      <c r="N119" s="960"/>
      <c r="O119" s="52">
        <f t="shared" si="32"/>
        <v>1</v>
      </c>
      <c r="P119" s="960"/>
      <c r="Q119" s="52">
        <f t="shared" si="33"/>
        <v>1</v>
      </c>
      <c r="R119" s="488">
        <f t="shared" si="34"/>
        <v>0</v>
      </c>
      <c r="S119" s="796">
        <f t="shared" si="25"/>
        <v>0</v>
      </c>
    </row>
    <row r="120" spans="1:19">
      <c r="A120" s="962"/>
      <c r="B120" s="135"/>
      <c r="C120" s="52">
        <f t="shared" si="26"/>
        <v>1</v>
      </c>
      <c r="D120" s="960"/>
      <c r="E120" s="52">
        <f t="shared" si="27"/>
        <v>1</v>
      </c>
      <c r="F120" s="960"/>
      <c r="G120" s="52">
        <f t="shared" si="28"/>
        <v>1</v>
      </c>
      <c r="H120" s="960"/>
      <c r="I120" s="52">
        <f t="shared" si="29"/>
        <v>1</v>
      </c>
      <c r="J120" s="960"/>
      <c r="K120" s="52">
        <f t="shared" si="30"/>
        <v>1</v>
      </c>
      <c r="L120" s="960"/>
      <c r="M120" s="52">
        <f t="shared" si="31"/>
        <v>1</v>
      </c>
      <c r="N120" s="960"/>
      <c r="O120" s="52">
        <f t="shared" si="32"/>
        <v>1</v>
      </c>
      <c r="P120" s="960"/>
      <c r="Q120" s="52">
        <f t="shared" si="33"/>
        <v>1</v>
      </c>
      <c r="R120" s="488">
        <f t="shared" si="34"/>
        <v>0</v>
      </c>
      <c r="S120" s="796">
        <f t="shared" si="25"/>
        <v>0</v>
      </c>
    </row>
    <row r="121" spans="1:19">
      <c r="A121" s="962"/>
      <c r="B121" s="135"/>
      <c r="C121" s="52">
        <f t="shared" si="26"/>
        <v>1</v>
      </c>
      <c r="D121" s="960"/>
      <c r="E121" s="52">
        <f t="shared" si="27"/>
        <v>1</v>
      </c>
      <c r="F121" s="960"/>
      <c r="G121" s="52">
        <f t="shared" si="28"/>
        <v>1</v>
      </c>
      <c r="H121" s="960"/>
      <c r="I121" s="52">
        <f t="shared" si="29"/>
        <v>1</v>
      </c>
      <c r="J121" s="960"/>
      <c r="K121" s="52">
        <f t="shared" si="30"/>
        <v>1</v>
      </c>
      <c r="L121" s="960"/>
      <c r="M121" s="52">
        <f t="shared" si="31"/>
        <v>1</v>
      </c>
      <c r="N121" s="960"/>
      <c r="O121" s="52">
        <f t="shared" si="32"/>
        <v>1</v>
      </c>
      <c r="P121" s="960"/>
      <c r="Q121" s="52">
        <f t="shared" si="33"/>
        <v>1</v>
      </c>
      <c r="R121" s="488">
        <f t="shared" si="34"/>
        <v>0</v>
      </c>
      <c r="S121" s="796">
        <f t="shared" si="25"/>
        <v>0</v>
      </c>
    </row>
    <row r="122" spans="1:19">
      <c r="A122" s="962"/>
      <c r="B122" s="135"/>
      <c r="C122" s="52">
        <f t="shared" si="26"/>
        <v>1</v>
      </c>
      <c r="D122" s="960"/>
      <c r="E122" s="52">
        <f t="shared" si="27"/>
        <v>1</v>
      </c>
      <c r="F122" s="960"/>
      <c r="G122" s="52">
        <f t="shared" si="28"/>
        <v>1</v>
      </c>
      <c r="H122" s="960"/>
      <c r="I122" s="52">
        <f t="shared" si="29"/>
        <v>1</v>
      </c>
      <c r="J122" s="960"/>
      <c r="K122" s="52">
        <f t="shared" si="30"/>
        <v>1</v>
      </c>
      <c r="L122" s="960"/>
      <c r="M122" s="52">
        <f t="shared" si="31"/>
        <v>1</v>
      </c>
      <c r="N122" s="960"/>
      <c r="O122" s="52">
        <f t="shared" si="32"/>
        <v>1</v>
      </c>
      <c r="P122" s="960"/>
      <c r="Q122" s="52">
        <f t="shared" si="33"/>
        <v>1</v>
      </c>
      <c r="R122" s="488">
        <f t="shared" si="34"/>
        <v>0</v>
      </c>
      <c r="S122" s="796">
        <f t="shared" si="25"/>
        <v>0</v>
      </c>
    </row>
    <row r="123" spans="1:19">
      <c r="A123" s="962"/>
      <c r="B123" s="135"/>
      <c r="C123" s="52">
        <f t="shared" si="26"/>
        <v>1</v>
      </c>
      <c r="D123" s="960"/>
      <c r="E123" s="52">
        <f t="shared" si="27"/>
        <v>1</v>
      </c>
      <c r="F123" s="960"/>
      <c r="G123" s="52">
        <f t="shared" si="28"/>
        <v>1</v>
      </c>
      <c r="H123" s="960"/>
      <c r="I123" s="52">
        <f t="shared" si="29"/>
        <v>1</v>
      </c>
      <c r="J123" s="960"/>
      <c r="K123" s="52">
        <f t="shared" si="30"/>
        <v>1</v>
      </c>
      <c r="L123" s="960"/>
      <c r="M123" s="52">
        <f t="shared" si="31"/>
        <v>1</v>
      </c>
      <c r="N123" s="960"/>
      <c r="O123" s="52">
        <f t="shared" si="32"/>
        <v>1</v>
      </c>
      <c r="P123" s="960"/>
      <c r="Q123" s="52">
        <f t="shared" si="33"/>
        <v>1</v>
      </c>
      <c r="R123" s="488">
        <f t="shared" si="34"/>
        <v>0</v>
      </c>
      <c r="S123" s="796">
        <f t="shared" ref="S123:S186" si="35">ROUND(R123*B123/10000,0)</f>
        <v>0</v>
      </c>
    </row>
    <row r="124" spans="1:19">
      <c r="A124" s="962"/>
      <c r="B124" s="135"/>
      <c r="C124" s="52">
        <f t="shared" si="26"/>
        <v>1</v>
      </c>
      <c r="D124" s="960"/>
      <c r="E124" s="52">
        <f t="shared" si="27"/>
        <v>1</v>
      </c>
      <c r="F124" s="960"/>
      <c r="G124" s="52">
        <f t="shared" si="28"/>
        <v>1</v>
      </c>
      <c r="H124" s="960"/>
      <c r="I124" s="52">
        <f t="shared" si="29"/>
        <v>1</v>
      </c>
      <c r="J124" s="960"/>
      <c r="K124" s="52">
        <f t="shared" si="30"/>
        <v>1</v>
      </c>
      <c r="L124" s="960"/>
      <c r="M124" s="52">
        <f t="shared" si="31"/>
        <v>1</v>
      </c>
      <c r="N124" s="960"/>
      <c r="O124" s="52">
        <f t="shared" si="32"/>
        <v>1</v>
      </c>
      <c r="P124" s="960"/>
      <c r="Q124" s="52">
        <f t="shared" si="33"/>
        <v>1</v>
      </c>
      <c r="R124" s="488">
        <f t="shared" si="34"/>
        <v>0</v>
      </c>
      <c r="S124" s="796">
        <f t="shared" si="35"/>
        <v>0</v>
      </c>
    </row>
    <row r="125" spans="1:19">
      <c r="A125" s="962"/>
      <c r="B125" s="135"/>
      <c r="C125" s="52">
        <f t="shared" si="26"/>
        <v>1</v>
      </c>
      <c r="D125" s="960"/>
      <c r="E125" s="52">
        <f t="shared" si="27"/>
        <v>1</v>
      </c>
      <c r="F125" s="960"/>
      <c r="G125" s="52">
        <f t="shared" si="28"/>
        <v>1</v>
      </c>
      <c r="H125" s="960"/>
      <c r="I125" s="52">
        <f t="shared" si="29"/>
        <v>1</v>
      </c>
      <c r="J125" s="960"/>
      <c r="K125" s="52">
        <f t="shared" si="30"/>
        <v>1</v>
      </c>
      <c r="L125" s="960"/>
      <c r="M125" s="52">
        <f t="shared" si="31"/>
        <v>1</v>
      </c>
      <c r="N125" s="960"/>
      <c r="O125" s="52">
        <f t="shared" si="32"/>
        <v>1</v>
      </c>
      <c r="P125" s="960"/>
      <c r="Q125" s="52">
        <f t="shared" si="33"/>
        <v>1</v>
      </c>
      <c r="R125" s="488">
        <f t="shared" si="34"/>
        <v>0</v>
      </c>
      <c r="S125" s="796">
        <f t="shared" si="35"/>
        <v>0</v>
      </c>
    </row>
    <row r="126" spans="1:19">
      <c r="A126" s="962"/>
      <c r="B126" s="135"/>
      <c r="C126" s="52">
        <f t="shared" si="26"/>
        <v>1</v>
      </c>
      <c r="D126" s="960"/>
      <c r="E126" s="52">
        <f t="shared" si="27"/>
        <v>1</v>
      </c>
      <c r="F126" s="960"/>
      <c r="G126" s="52">
        <f t="shared" si="28"/>
        <v>1</v>
      </c>
      <c r="H126" s="960"/>
      <c r="I126" s="52">
        <f t="shared" si="29"/>
        <v>1</v>
      </c>
      <c r="J126" s="960"/>
      <c r="K126" s="52">
        <f t="shared" si="30"/>
        <v>1</v>
      </c>
      <c r="L126" s="960"/>
      <c r="M126" s="52">
        <f t="shared" si="31"/>
        <v>1</v>
      </c>
      <c r="N126" s="960"/>
      <c r="O126" s="52">
        <f t="shared" si="32"/>
        <v>1</v>
      </c>
      <c r="P126" s="960"/>
      <c r="Q126" s="52">
        <f t="shared" si="33"/>
        <v>1</v>
      </c>
      <c r="R126" s="488">
        <f t="shared" si="34"/>
        <v>0</v>
      </c>
      <c r="S126" s="796">
        <f t="shared" si="35"/>
        <v>0</v>
      </c>
    </row>
    <row r="127" spans="1:19">
      <c r="A127" s="962"/>
      <c r="B127" s="135"/>
      <c r="C127" s="52">
        <f t="shared" si="26"/>
        <v>1</v>
      </c>
      <c r="D127" s="960"/>
      <c r="E127" s="52">
        <f t="shared" si="27"/>
        <v>1</v>
      </c>
      <c r="F127" s="960"/>
      <c r="G127" s="52">
        <f t="shared" si="28"/>
        <v>1</v>
      </c>
      <c r="H127" s="960"/>
      <c r="I127" s="52">
        <f t="shared" si="29"/>
        <v>1</v>
      </c>
      <c r="J127" s="960"/>
      <c r="K127" s="52">
        <f t="shared" si="30"/>
        <v>1</v>
      </c>
      <c r="L127" s="960"/>
      <c r="M127" s="52">
        <f t="shared" si="31"/>
        <v>1</v>
      </c>
      <c r="N127" s="960"/>
      <c r="O127" s="52">
        <f t="shared" si="32"/>
        <v>1</v>
      </c>
      <c r="P127" s="960"/>
      <c r="Q127" s="52">
        <f t="shared" si="33"/>
        <v>1</v>
      </c>
      <c r="R127" s="488">
        <f t="shared" si="34"/>
        <v>0</v>
      </c>
      <c r="S127" s="796">
        <f t="shared" si="35"/>
        <v>0</v>
      </c>
    </row>
    <row r="128" spans="1:19">
      <c r="A128" s="962"/>
      <c r="B128" s="135"/>
      <c r="C128" s="52">
        <f t="shared" si="26"/>
        <v>1</v>
      </c>
      <c r="D128" s="960"/>
      <c r="E128" s="52">
        <f t="shared" si="27"/>
        <v>1</v>
      </c>
      <c r="F128" s="960"/>
      <c r="G128" s="52">
        <f t="shared" si="28"/>
        <v>1</v>
      </c>
      <c r="H128" s="960"/>
      <c r="I128" s="52">
        <f t="shared" si="29"/>
        <v>1</v>
      </c>
      <c r="J128" s="960"/>
      <c r="K128" s="52">
        <f t="shared" si="30"/>
        <v>1</v>
      </c>
      <c r="L128" s="960"/>
      <c r="M128" s="52">
        <f t="shared" si="31"/>
        <v>1</v>
      </c>
      <c r="N128" s="960"/>
      <c r="O128" s="52">
        <f t="shared" si="32"/>
        <v>1</v>
      </c>
      <c r="P128" s="960"/>
      <c r="Q128" s="52">
        <f t="shared" si="33"/>
        <v>1</v>
      </c>
      <c r="R128" s="488">
        <f t="shared" si="34"/>
        <v>0</v>
      </c>
      <c r="S128" s="796">
        <f t="shared" si="35"/>
        <v>0</v>
      </c>
    </row>
    <row r="129" spans="1:19">
      <c r="A129" s="962"/>
      <c r="B129" s="135"/>
      <c r="C129" s="52">
        <f t="shared" si="26"/>
        <v>1</v>
      </c>
      <c r="D129" s="960"/>
      <c r="E129" s="52">
        <f t="shared" si="27"/>
        <v>1</v>
      </c>
      <c r="F129" s="960"/>
      <c r="G129" s="52">
        <f t="shared" si="28"/>
        <v>1</v>
      </c>
      <c r="H129" s="960"/>
      <c r="I129" s="52">
        <f t="shared" si="29"/>
        <v>1</v>
      </c>
      <c r="J129" s="960"/>
      <c r="K129" s="52">
        <f t="shared" si="30"/>
        <v>1</v>
      </c>
      <c r="L129" s="960"/>
      <c r="M129" s="52">
        <f t="shared" si="31"/>
        <v>1</v>
      </c>
      <c r="N129" s="960"/>
      <c r="O129" s="52">
        <f t="shared" si="32"/>
        <v>1</v>
      </c>
      <c r="P129" s="960"/>
      <c r="Q129" s="52">
        <f t="shared" si="33"/>
        <v>1</v>
      </c>
      <c r="R129" s="488">
        <f t="shared" si="34"/>
        <v>0</v>
      </c>
      <c r="S129" s="796">
        <f t="shared" si="35"/>
        <v>0</v>
      </c>
    </row>
    <row r="130" spans="1:19">
      <c r="A130" s="962"/>
      <c r="B130" s="135"/>
      <c r="C130" s="52">
        <f t="shared" si="26"/>
        <v>1</v>
      </c>
      <c r="D130" s="960"/>
      <c r="E130" s="52">
        <f t="shared" si="27"/>
        <v>1</v>
      </c>
      <c r="F130" s="960"/>
      <c r="G130" s="52">
        <f t="shared" si="28"/>
        <v>1</v>
      </c>
      <c r="H130" s="960"/>
      <c r="I130" s="52">
        <f t="shared" si="29"/>
        <v>1</v>
      </c>
      <c r="J130" s="960"/>
      <c r="K130" s="52">
        <f t="shared" si="30"/>
        <v>1</v>
      </c>
      <c r="L130" s="960"/>
      <c r="M130" s="52">
        <f t="shared" si="31"/>
        <v>1</v>
      </c>
      <c r="N130" s="960"/>
      <c r="O130" s="52">
        <f t="shared" si="32"/>
        <v>1</v>
      </c>
      <c r="P130" s="960"/>
      <c r="Q130" s="52">
        <f t="shared" si="33"/>
        <v>1</v>
      </c>
      <c r="R130" s="488">
        <f t="shared" si="34"/>
        <v>0</v>
      </c>
      <c r="S130" s="796">
        <f t="shared" si="35"/>
        <v>0</v>
      </c>
    </row>
    <row r="131" spans="1:19">
      <c r="A131" s="962"/>
      <c r="B131" s="135"/>
      <c r="C131" s="52">
        <f t="shared" si="26"/>
        <v>1</v>
      </c>
      <c r="D131" s="960"/>
      <c r="E131" s="52">
        <f t="shared" si="27"/>
        <v>1</v>
      </c>
      <c r="F131" s="960"/>
      <c r="G131" s="52">
        <f t="shared" si="28"/>
        <v>1</v>
      </c>
      <c r="H131" s="960"/>
      <c r="I131" s="52">
        <f t="shared" si="29"/>
        <v>1</v>
      </c>
      <c r="J131" s="960"/>
      <c r="K131" s="52">
        <f t="shared" si="30"/>
        <v>1</v>
      </c>
      <c r="L131" s="960"/>
      <c r="M131" s="52">
        <f t="shared" si="31"/>
        <v>1</v>
      </c>
      <c r="N131" s="960"/>
      <c r="O131" s="52">
        <f t="shared" si="32"/>
        <v>1</v>
      </c>
      <c r="P131" s="960"/>
      <c r="Q131" s="52">
        <f t="shared" si="33"/>
        <v>1</v>
      </c>
      <c r="R131" s="488">
        <f t="shared" si="34"/>
        <v>0</v>
      </c>
      <c r="S131" s="796">
        <f t="shared" si="35"/>
        <v>0</v>
      </c>
    </row>
    <row r="132" spans="1:19">
      <c r="A132" s="962"/>
      <c r="B132" s="135"/>
      <c r="C132" s="52">
        <f t="shared" si="26"/>
        <v>1</v>
      </c>
      <c r="D132" s="960"/>
      <c r="E132" s="52">
        <f t="shared" si="27"/>
        <v>1</v>
      </c>
      <c r="F132" s="960"/>
      <c r="G132" s="52">
        <f t="shared" si="28"/>
        <v>1</v>
      </c>
      <c r="H132" s="960"/>
      <c r="I132" s="52">
        <f t="shared" si="29"/>
        <v>1</v>
      </c>
      <c r="J132" s="960"/>
      <c r="K132" s="52">
        <f t="shared" si="30"/>
        <v>1</v>
      </c>
      <c r="L132" s="960"/>
      <c r="M132" s="52">
        <f t="shared" si="31"/>
        <v>1</v>
      </c>
      <c r="N132" s="960"/>
      <c r="O132" s="52">
        <f t="shared" si="32"/>
        <v>1</v>
      </c>
      <c r="P132" s="960"/>
      <c r="Q132" s="52">
        <f t="shared" si="33"/>
        <v>1</v>
      </c>
      <c r="R132" s="488">
        <f t="shared" si="34"/>
        <v>0</v>
      </c>
      <c r="S132" s="796">
        <f t="shared" si="35"/>
        <v>0</v>
      </c>
    </row>
    <row r="133" spans="1:19">
      <c r="A133" s="962"/>
      <c r="B133" s="135"/>
      <c r="C133" s="52">
        <f t="shared" si="26"/>
        <v>1</v>
      </c>
      <c r="D133" s="960"/>
      <c r="E133" s="52">
        <f t="shared" si="27"/>
        <v>1</v>
      </c>
      <c r="F133" s="960"/>
      <c r="G133" s="52">
        <f t="shared" si="28"/>
        <v>1</v>
      </c>
      <c r="H133" s="960"/>
      <c r="I133" s="52">
        <f t="shared" si="29"/>
        <v>1</v>
      </c>
      <c r="J133" s="960"/>
      <c r="K133" s="52">
        <f t="shared" si="30"/>
        <v>1</v>
      </c>
      <c r="L133" s="960"/>
      <c r="M133" s="52">
        <f t="shared" si="31"/>
        <v>1</v>
      </c>
      <c r="N133" s="960"/>
      <c r="O133" s="52">
        <f t="shared" si="32"/>
        <v>1</v>
      </c>
      <c r="P133" s="960"/>
      <c r="Q133" s="52">
        <f t="shared" si="33"/>
        <v>1</v>
      </c>
      <c r="R133" s="488">
        <f t="shared" si="34"/>
        <v>0</v>
      </c>
      <c r="S133" s="796">
        <f t="shared" si="35"/>
        <v>0</v>
      </c>
    </row>
    <row r="134" spans="1:19">
      <c r="A134" s="962"/>
      <c r="B134" s="135"/>
      <c r="C134" s="52">
        <f t="shared" si="26"/>
        <v>1</v>
      </c>
      <c r="D134" s="960"/>
      <c r="E134" s="52">
        <f t="shared" si="27"/>
        <v>1</v>
      </c>
      <c r="F134" s="960"/>
      <c r="G134" s="52">
        <f t="shared" si="28"/>
        <v>1</v>
      </c>
      <c r="H134" s="960"/>
      <c r="I134" s="52">
        <f t="shared" si="29"/>
        <v>1</v>
      </c>
      <c r="J134" s="960"/>
      <c r="K134" s="52">
        <f t="shared" si="30"/>
        <v>1</v>
      </c>
      <c r="L134" s="960"/>
      <c r="M134" s="52">
        <f t="shared" si="31"/>
        <v>1</v>
      </c>
      <c r="N134" s="960"/>
      <c r="O134" s="52">
        <f t="shared" si="32"/>
        <v>1</v>
      </c>
      <c r="P134" s="960"/>
      <c r="Q134" s="52">
        <f t="shared" si="33"/>
        <v>1</v>
      </c>
      <c r="R134" s="488">
        <f t="shared" si="34"/>
        <v>0</v>
      </c>
      <c r="S134" s="796">
        <f t="shared" si="35"/>
        <v>0</v>
      </c>
    </row>
    <row r="135" spans="1:19">
      <c r="A135" s="962"/>
      <c r="B135" s="135"/>
      <c r="C135" s="52">
        <f t="shared" si="26"/>
        <v>1</v>
      </c>
      <c r="D135" s="960"/>
      <c r="E135" s="52">
        <f t="shared" si="27"/>
        <v>1</v>
      </c>
      <c r="F135" s="960"/>
      <c r="G135" s="52">
        <f t="shared" si="28"/>
        <v>1</v>
      </c>
      <c r="H135" s="960"/>
      <c r="I135" s="52">
        <f t="shared" si="29"/>
        <v>1</v>
      </c>
      <c r="J135" s="960"/>
      <c r="K135" s="52">
        <f t="shared" si="30"/>
        <v>1</v>
      </c>
      <c r="L135" s="960"/>
      <c r="M135" s="52">
        <f t="shared" si="31"/>
        <v>1</v>
      </c>
      <c r="N135" s="960"/>
      <c r="O135" s="52">
        <f t="shared" si="32"/>
        <v>1</v>
      </c>
      <c r="P135" s="960"/>
      <c r="Q135" s="52">
        <f t="shared" si="33"/>
        <v>1</v>
      </c>
      <c r="R135" s="488">
        <f t="shared" si="34"/>
        <v>0</v>
      </c>
      <c r="S135" s="796">
        <f t="shared" si="35"/>
        <v>0</v>
      </c>
    </row>
    <row r="136" spans="1:19">
      <c r="A136" s="962"/>
      <c r="B136" s="135"/>
      <c r="C136" s="52">
        <f t="shared" si="26"/>
        <v>1</v>
      </c>
      <c r="D136" s="960"/>
      <c r="E136" s="52">
        <f t="shared" si="27"/>
        <v>1</v>
      </c>
      <c r="F136" s="960"/>
      <c r="G136" s="52">
        <f t="shared" si="28"/>
        <v>1</v>
      </c>
      <c r="H136" s="960"/>
      <c r="I136" s="52">
        <f t="shared" si="29"/>
        <v>1</v>
      </c>
      <c r="J136" s="960"/>
      <c r="K136" s="52">
        <f t="shared" si="30"/>
        <v>1</v>
      </c>
      <c r="L136" s="960"/>
      <c r="M136" s="52">
        <f t="shared" si="31"/>
        <v>1</v>
      </c>
      <c r="N136" s="960"/>
      <c r="O136" s="52">
        <f t="shared" si="32"/>
        <v>1</v>
      </c>
      <c r="P136" s="960"/>
      <c r="Q136" s="52">
        <f t="shared" si="33"/>
        <v>1</v>
      </c>
      <c r="R136" s="488">
        <f t="shared" si="34"/>
        <v>0</v>
      </c>
      <c r="S136" s="796">
        <f t="shared" si="35"/>
        <v>0</v>
      </c>
    </row>
    <row r="137" spans="1:19">
      <c r="A137" s="962"/>
      <c r="B137" s="135"/>
      <c r="C137" s="52">
        <f t="shared" si="26"/>
        <v>1</v>
      </c>
      <c r="D137" s="960"/>
      <c r="E137" s="52">
        <f t="shared" si="27"/>
        <v>1</v>
      </c>
      <c r="F137" s="960"/>
      <c r="G137" s="52">
        <f t="shared" si="28"/>
        <v>1</v>
      </c>
      <c r="H137" s="960"/>
      <c r="I137" s="52">
        <f t="shared" si="29"/>
        <v>1</v>
      </c>
      <c r="J137" s="960"/>
      <c r="K137" s="52">
        <f t="shared" si="30"/>
        <v>1</v>
      </c>
      <c r="L137" s="960"/>
      <c r="M137" s="52">
        <f t="shared" si="31"/>
        <v>1</v>
      </c>
      <c r="N137" s="960"/>
      <c r="O137" s="52">
        <f t="shared" si="32"/>
        <v>1</v>
      </c>
      <c r="P137" s="960"/>
      <c r="Q137" s="52">
        <f t="shared" si="33"/>
        <v>1</v>
      </c>
      <c r="R137" s="488">
        <f t="shared" si="34"/>
        <v>0</v>
      </c>
      <c r="S137" s="796">
        <f t="shared" si="35"/>
        <v>0</v>
      </c>
    </row>
    <row r="138" spans="1:19">
      <c r="A138" s="962"/>
      <c r="B138" s="135"/>
      <c r="C138" s="52">
        <f t="shared" si="26"/>
        <v>1</v>
      </c>
      <c r="D138" s="960"/>
      <c r="E138" s="52">
        <f t="shared" si="27"/>
        <v>1</v>
      </c>
      <c r="F138" s="960"/>
      <c r="G138" s="52">
        <f t="shared" si="28"/>
        <v>1</v>
      </c>
      <c r="H138" s="960"/>
      <c r="I138" s="52">
        <f t="shared" si="29"/>
        <v>1</v>
      </c>
      <c r="J138" s="960"/>
      <c r="K138" s="52">
        <f t="shared" si="30"/>
        <v>1</v>
      </c>
      <c r="L138" s="960"/>
      <c r="M138" s="52">
        <f t="shared" si="31"/>
        <v>1</v>
      </c>
      <c r="N138" s="960"/>
      <c r="O138" s="52">
        <f t="shared" si="32"/>
        <v>1</v>
      </c>
      <c r="P138" s="960"/>
      <c r="Q138" s="52">
        <f t="shared" si="33"/>
        <v>1</v>
      </c>
      <c r="R138" s="488">
        <f t="shared" si="34"/>
        <v>0</v>
      </c>
      <c r="S138" s="796">
        <f t="shared" si="35"/>
        <v>0</v>
      </c>
    </row>
    <row r="139" spans="1:19">
      <c r="A139" s="962"/>
      <c r="B139" s="135"/>
      <c r="C139" s="52">
        <f t="shared" si="26"/>
        <v>1</v>
      </c>
      <c r="D139" s="960"/>
      <c r="E139" s="52">
        <f t="shared" si="27"/>
        <v>1</v>
      </c>
      <c r="F139" s="960"/>
      <c r="G139" s="52">
        <f t="shared" si="28"/>
        <v>1</v>
      </c>
      <c r="H139" s="960"/>
      <c r="I139" s="52">
        <f t="shared" si="29"/>
        <v>1</v>
      </c>
      <c r="J139" s="960"/>
      <c r="K139" s="52">
        <f t="shared" si="30"/>
        <v>1</v>
      </c>
      <c r="L139" s="960"/>
      <c r="M139" s="52">
        <f t="shared" si="31"/>
        <v>1</v>
      </c>
      <c r="N139" s="960"/>
      <c r="O139" s="52">
        <f t="shared" si="32"/>
        <v>1</v>
      </c>
      <c r="P139" s="960"/>
      <c r="Q139" s="52">
        <f t="shared" si="33"/>
        <v>1</v>
      </c>
      <c r="R139" s="488">
        <f t="shared" si="34"/>
        <v>0</v>
      </c>
      <c r="S139" s="796">
        <f t="shared" si="35"/>
        <v>0</v>
      </c>
    </row>
    <row r="140" spans="1:19">
      <c r="A140" s="962"/>
      <c r="B140" s="135"/>
      <c r="C140" s="52">
        <f t="shared" si="26"/>
        <v>1</v>
      </c>
      <c r="D140" s="960"/>
      <c r="E140" s="52">
        <f t="shared" si="27"/>
        <v>1</v>
      </c>
      <c r="F140" s="960"/>
      <c r="G140" s="52">
        <f t="shared" si="28"/>
        <v>1</v>
      </c>
      <c r="H140" s="960"/>
      <c r="I140" s="52">
        <f t="shared" si="29"/>
        <v>1</v>
      </c>
      <c r="J140" s="960"/>
      <c r="K140" s="52">
        <f t="shared" si="30"/>
        <v>1</v>
      </c>
      <c r="L140" s="960"/>
      <c r="M140" s="52">
        <f t="shared" si="31"/>
        <v>1</v>
      </c>
      <c r="N140" s="960"/>
      <c r="O140" s="52">
        <f t="shared" si="32"/>
        <v>1</v>
      </c>
      <c r="P140" s="960"/>
      <c r="Q140" s="52">
        <f t="shared" si="33"/>
        <v>1</v>
      </c>
      <c r="R140" s="488">
        <f t="shared" si="34"/>
        <v>0</v>
      </c>
      <c r="S140" s="796">
        <f t="shared" si="35"/>
        <v>0</v>
      </c>
    </row>
    <row r="141" spans="1:19">
      <c r="A141" s="962"/>
      <c r="B141" s="135"/>
      <c r="C141" s="52">
        <f t="shared" si="26"/>
        <v>1</v>
      </c>
      <c r="D141" s="960"/>
      <c r="E141" s="52">
        <f t="shared" si="27"/>
        <v>1</v>
      </c>
      <c r="F141" s="960"/>
      <c r="G141" s="52">
        <f t="shared" si="28"/>
        <v>1</v>
      </c>
      <c r="H141" s="960"/>
      <c r="I141" s="52">
        <f t="shared" si="29"/>
        <v>1</v>
      </c>
      <c r="J141" s="960"/>
      <c r="K141" s="52">
        <f t="shared" si="30"/>
        <v>1</v>
      </c>
      <c r="L141" s="960"/>
      <c r="M141" s="52">
        <f t="shared" si="31"/>
        <v>1</v>
      </c>
      <c r="N141" s="960"/>
      <c r="O141" s="52">
        <f t="shared" si="32"/>
        <v>1</v>
      </c>
      <c r="P141" s="960"/>
      <c r="Q141" s="52">
        <f t="shared" si="33"/>
        <v>1</v>
      </c>
      <c r="R141" s="488">
        <f t="shared" si="34"/>
        <v>0</v>
      </c>
      <c r="S141" s="796">
        <f t="shared" si="35"/>
        <v>0</v>
      </c>
    </row>
    <row r="142" spans="1:19">
      <c r="A142" s="962"/>
      <c r="B142" s="135"/>
      <c r="C142" s="52">
        <f t="shared" si="26"/>
        <v>1</v>
      </c>
      <c r="D142" s="960"/>
      <c r="E142" s="52">
        <f t="shared" si="27"/>
        <v>1</v>
      </c>
      <c r="F142" s="960"/>
      <c r="G142" s="52">
        <f t="shared" si="28"/>
        <v>1</v>
      </c>
      <c r="H142" s="960"/>
      <c r="I142" s="52">
        <f t="shared" si="29"/>
        <v>1</v>
      </c>
      <c r="J142" s="960"/>
      <c r="K142" s="52">
        <f t="shared" si="30"/>
        <v>1</v>
      </c>
      <c r="L142" s="960"/>
      <c r="M142" s="52">
        <f t="shared" si="31"/>
        <v>1</v>
      </c>
      <c r="N142" s="960"/>
      <c r="O142" s="52">
        <f t="shared" si="32"/>
        <v>1</v>
      </c>
      <c r="P142" s="960"/>
      <c r="Q142" s="52">
        <f t="shared" si="33"/>
        <v>1</v>
      </c>
      <c r="R142" s="488">
        <f t="shared" si="34"/>
        <v>0</v>
      </c>
      <c r="S142" s="796">
        <f t="shared" si="35"/>
        <v>0</v>
      </c>
    </row>
    <row r="143" spans="1:19">
      <c r="A143" s="962"/>
      <c r="B143" s="135"/>
      <c r="C143" s="52">
        <f t="shared" si="26"/>
        <v>1</v>
      </c>
      <c r="D143" s="960"/>
      <c r="E143" s="52">
        <f t="shared" si="27"/>
        <v>1</v>
      </c>
      <c r="F143" s="960"/>
      <c r="G143" s="52">
        <f t="shared" si="28"/>
        <v>1</v>
      </c>
      <c r="H143" s="960"/>
      <c r="I143" s="52">
        <f t="shared" si="29"/>
        <v>1</v>
      </c>
      <c r="J143" s="960"/>
      <c r="K143" s="52">
        <f t="shared" si="30"/>
        <v>1</v>
      </c>
      <c r="L143" s="960"/>
      <c r="M143" s="52">
        <f t="shared" si="31"/>
        <v>1</v>
      </c>
      <c r="N143" s="960"/>
      <c r="O143" s="52">
        <f t="shared" si="32"/>
        <v>1</v>
      </c>
      <c r="P143" s="960"/>
      <c r="Q143" s="52">
        <f t="shared" si="33"/>
        <v>1</v>
      </c>
      <c r="R143" s="488">
        <f t="shared" si="34"/>
        <v>0</v>
      </c>
      <c r="S143" s="796">
        <f t="shared" si="35"/>
        <v>0</v>
      </c>
    </row>
    <row r="144" spans="1:19">
      <c r="A144" s="962"/>
      <c r="B144" s="135"/>
      <c r="C144" s="52">
        <f t="shared" si="26"/>
        <v>1</v>
      </c>
      <c r="D144" s="960"/>
      <c r="E144" s="52">
        <f t="shared" si="27"/>
        <v>1</v>
      </c>
      <c r="F144" s="960"/>
      <c r="G144" s="52">
        <f t="shared" si="28"/>
        <v>1</v>
      </c>
      <c r="H144" s="960"/>
      <c r="I144" s="52">
        <f t="shared" si="29"/>
        <v>1</v>
      </c>
      <c r="J144" s="960"/>
      <c r="K144" s="52">
        <f t="shared" si="30"/>
        <v>1</v>
      </c>
      <c r="L144" s="960"/>
      <c r="M144" s="52">
        <f t="shared" si="31"/>
        <v>1</v>
      </c>
      <c r="N144" s="960"/>
      <c r="O144" s="52">
        <f t="shared" si="32"/>
        <v>1</v>
      </c>
      <c r="P144" s="960"/>
      <c r="Q144" s="52">
        <f t="shared" si="33"/>
        <v>1</v>
      </c>
      <c r="R144" s="488">
        <f t="shared" si="34"/>
        <v>0</v>
      </c>
      <c r="S144" s="796">
        <f t="shared" si="35"/>
        <v>0</v>
      </c>
    </row>
    <row r="145" spans="1:19">
      <c r="A145" s="962"/>
      <c r="B145" s="135"/>
      <c r="C145" s="52">
        <f t="shared" si="26"/>
        <v>1</v>
      </c>
      <c r="D145" s="960"/>
      <c r="E145" s="52">
        <f t="shared" si="27"/>
        <v>1</v>
      </c>
      <c r="F145" s="960"/>
      <c r="G145" s="52">
        <f t="shared" si="28"/>
        <v>1</v>
      </c>
      <c r="H145" s="960"/>
      <c r="I145" s="52">
        <f t="shared" si="29"/>
        <v>1</v>
      </c>
      <c r="J145" s="960"/>
      <c r="K145" s="52">
        <f t="shared" si="30"/>
        <v>1</v>
      </c>
      <c r="L145" s="960"/>
      <c r="M145" s="52">
        <f t="shared" si="31"/>
        <v>1</v>
      </c>
      <c r="N145" s="960"/>
      <c r="O145" s="52">
        <f t="shared" si="32"/>
        <v>1</v>
      </c>
      <c r="P145" s="960"/>
      <c r="Q145" s="52">
        <f t="shared" si="33"/>
        <v>1</v>
      </c>
      <c r="R145" s="488">
        <f t="shared" si="34"/>
        <v>0</v>
      </c>
      <c r="S145" s="796">
        <f t="shared" si="35"/>
        <v>0</v>
      </c>
    </row>
    <row r="146" spans="1:19">
      <c r="A146" s="962"/>
      <c r="B146" s="135"/>
      <c r="C146" s="52">
        <f t="shared" si="26"/>
        <v>1</v>
      </c>
      <c r="D146" s="960"/>
      <c r="E146" s="52">
        <f t="shared" si="27"/>
        <v>1</v>
      </c>
      <c r="F146" s="960"/>
      <c r="G146" s="52">
        <f t="shared" si="28"/>
        <v>1</v>
      </c>
      <c r="H146" s="960"/>
      <c r="I146" s="52">
        <f t="shared" si="29"/>
        <v>1</v>
      </c>
      <c r="J146" s="960"/>
      <c r="K146" s="52">
        <f t="shared" si="30"/>
        <v>1</v>
      </c>
      <c r="L146" s="960"/>
      <c r="M146" s="52">
        <f t="shared" si="31"/>
        <v>1</v>
      </c>
      <c r="N146" s="960"/>
      <c r="O146" s="52">
        <f t="shared" si="32"/>
        <v>1</v>
      </c>
      <c r="P146" s="960"/>
      <c r="Q146" s="52">
        <f t="shared" si="33"/>
        <v>1</v>
      </c>
      <c r="R146" s="488">
        <f t="shared" si="34"/>
        <v>0</v>
      </c>
      <c r="S146" s="796">
        <f t="shared" si="35"/>
        <v>0</v>
      </c>
    </row>
    <row r="147" spans="1:19">
      <c r="A147" s="962"/>
      <c r="B147" s="135"/>
      <c r="C147" s="52">
        <f t="shared" si="26"/>
        <v>1</v>
      </c>
      <c r="D147" s="960"/>
      <c r="E147" s="52">
        <f t="shared" si="27"/>
        <v>1</v>
      </c>
      <c r="F147" s="960"/>
      <c r="G147" s="52">
        <f t="shared" si="28"/>
        <v>1</v>
      </c>
      <c r="H147" s="960"/>
      <c r="I147" s="52">
        <f t="shared" si="29"/>
        <v>1</v>
      </c>
      <c r="J147" s="960"/>
      <c r="K147" s="52">
        <f t="shared" si="30"/>
        <v>1</v>
      </c>
      <c r="L147" s="960"/>
      <c r="M147" s="52">
        <f t="shared" si="31"/>
        <v>1</v>
      </c>
      <c r="N147" s="960"/>
      <c r="O147" s="52">
        <f t="shared" si="32"/>
        <v>1</v>
      </c>
      <c r="P147" s="960"/>
      <c r="Q147" s="52">
        <f t="shared" si="33"/>
        <v>1</v>
      </c>
      <c r="R147" s="488">
        <f t="shared" si="34"/>
        <v>0</v>
      </c>
      <c r="S147" s="796">
        <f t="shared" si="35"/>
        <v>0</v>
      </c>
    </row>
    <row r="148" spans="1:19">
      <c r="A148" s="962"/>
      <c r="B148" s="135"/>
      <c r="C148" s="52">
        <f t="shared" si="26"/>
        <v>1</v>
      </c>
      <c r="D148" s="960"/>
      <c r="E148" s="52">
        <f t="shared" si="27"/>
        <v>1</v>
      </c>
      <c r="F148" s="960"/>
      <c r="G148" s="52">
        <f t="shared" si="28"/>
        <v>1</v>
      </c>
      <c r="H148" s="960"/>
      <c r="I148" s="52">
        <f t="shared" si="29"/>
        <v>1</v>
      </c>
      <c r="J148" s="960"/>
      <c r="K148" s="52">
        <f t="shared" si="30"/>
        <v>1</v>
      </c>
      <c r="L148" s="960"/>
      <c r="M148" s="52">
        <f t="shared" si="31"/>
        <v>1</v>
      </c>
      <c r="N148" s="960"/>
      <c r="O148" s="52">
        <f t="shared" si="32"/>
        <v>1</v>
      </c>
      <c r="P148" s="960"/>
      <c r="Q148" s="52">
        <f t="shared" si="33"/>
        <v>1</v>
      </c>
      <c r="R148" s="488">
        <f t="shared" si="34"/>
        <v>0</v>
      </c>
      <c r="S148" s="796">
        <f t="shared" si="35"/>
        <v>0</v>
      </c>
    </row>
    <row r="149" spans="1:19">
      <c r="A149" s="962"/>
      <c r="B149" s="135"/>
      <c r="C149" s="52">
        <f t="shared" si="26"/>
        <v>1</v>
      </c>
      <c r="D149" s="960"/>
      <c r="E149" s="52">
        <f t="shared" si="27"/>
        <v>1</v>
      </c>
      <c r="F149" s="960"/>
      <c r="G149" s="52">
        <f t="shared" si="28"/>
        <v>1</v>
      </c>
      <c r="H149" s="960"/>
      <c r="I149" s="52">
        <f t="shared" si="29"/>
        <v>1</v>
      </c>
      <c r="J149" s="960"/>
      <c r="K149" s="52">
        <f t="shared" si="30"/>
        <v>1</v>
      </c>
      <c r="L149" s="960"/>
      <c r="M149" s="52">
        <f t="shared" si="31"/>
        <v>1</v>
      </c>
      <c r="N149" s="960"/>
      <c r="O149" s="52">
        <f t="shared" si="32"/>
        <v>1</v>
      </c>
      <c r="P149" s="960"/>
      <c r="Q149" s="52">
        <f t="shared" si="33"/>
        <v>1</v>
      </c>
      <c r="R149" s="488">
        <f t="shared" si="34"/>
        <v>0</v>
      </c>
      <c r="S149" s="796">
        <f t="shared" si="35"/>
        <v>0</v>
      </c>
    </row>
    <row r="150" spans="1:19">
      <c r="A150" s="962"/>
      <c r="B150" s="135"/>
      <c r="C150" s="52">
        <f t="shared" si="26"/>
        <v>1</v>
      </c>
      <c r="D150" s="960"/>
      <c r="E150" s="52">
        <f t="shared" si="27"/>
        <v>1</v>
      </c>
      <c r="F150" s="960"/>
      <c r="G150" s="52">
        <f t="shared" si="28"/>
        <v>1</v>
      </c>
      <c r="H150" s="960"/>
      <c r="I150" s="52">
        <f t="shared" si="29"/>
        <v>1</v>
      </c>
      <c r="J150" s="960"/>
      <c r="K150" s="52">
        <f t="shared" si="30"/>
        <v>1</v>
      </c>
      <c r="L150" s="960"/>
      <c r="M150" s="52">
        <f t="shared" si="31"/>
        <v>1</v>
      </c>
      <c r="N150" s="960"/>
      <c r="O150" s="52">
        <f t="shared" si="32"/>
        <v>1</v>
      </c>
      <c r="P150" s="960"/>
      <c r="Q150" s="52">
        <f t="shared" si="33"/>
        <v>1</v>
      </c>
      <c r="R150" s="488">
        <f t="shared" si="34"/>
        <v>0</v>
      </c>
      <c r="S150" s="796">
        <f t="shared" si="35"/>
        <v>0</v>
      </c>
    </row>
    <row r="151" spans="1:19">
      <c r="A151" s="962"/>
      <c r="B151" s="135"/>
      <c r="C151" s="52">
        <f t="shared" si="26"/>
        <v>1</v>
      </c>
      <c r="D151" s="960"/>
      <c r="E151" s="52">
        <f t="shared" si="27"/>
        <v>1</v>
      </c>
      <c r="F151" s="960"/>
      <c r="G151" s="52">
        <f t="shared" si="28"/>
        <v>1</v>
      </c>
      <c r="H151" s="960"/>
      <c r="I151" s="52">
        <f t="shared" si="29"/>
        <v>1</v>
      </c>
      <c r="J151" s="960"/>
      <c r="K151" s="52">
        <f t="shared" si="30"/>
        <v>1</v>
      </c>
      <c r="L151" s="960"/>
      <c r="M151" s="52">
        <f t="shared" si="31"/>
        <v>1</v>
      </c>
      <c r="N151" s="960"/>
      <c r="O151" s="52">
        <f t="shared" si="32"/>
        <v>1</v>
      </c>
      <c r="P151" s="960"/>
      <c r="Q151" s="52">
        <f t="shared" si="33"/>
        <v>1</v>
      </c>
      <c r="R151" s="488">
        <f t="shared" si="34"/>
        <v>0</v>
      </c>
      <c r="S151" s="796">
        <f t="shared" si="35"/>
        <v>0</v>
      </c>
    </row>
    <row r="152" spans="1:19">
      <c r="A152" s="962"/>
      <c r="B152" s="135"/>
      <c r="C152" s="52">
        <f t="shared" si="26"/>
        <v>1</v>
      </c>
      <c r="D152" s="960"/>
      <c r="E152" s="52">
        <f t="shared" si="27"/>
        <v>1</v>
      </c>
      <c r="F152" s="960"/>
      <c r="G152" s="52">
        <f t="shared" si="28"/>
        <v>1</v>
      </c>
      <c r="H152" s="960"/>
      <c r="I152" s="52">
        <f t="shared" si="29"/>
        <v>1</v>
      </c>
      <c r="J152" s="960"/>
      <c r="K152" s="52">
        <f t="shared" si="30"/>
        <v>1</v>
      </c>
      <c r="L152" s="960"/>
      <c r="M152" s="52">
        <f t="shared" si="31"/>
        <v>1</v>
      </c>
      <c r="N152" s="960"/>
      <c r="O152" s="52">
        <f t="shared" si="32"/>
        <v>1</v>
      </c>
      <c r="P152" s="960"/>
      <c r="Q152" s="52">
        <f t="shared" si="33"/>
        <v>1</v>
      </c>
      <c r="R152" s="488">
        <f t="shared" si="34"/>
        <v>0</v>
      </c>
      <c r="S152" s="796">
        <f t="shared" si="35"/>
        <v>0</v>
      </c>
    </row>
    <row r="153" spans="1:19">
      <c r="A153" s="962"/>
      <c r="B153" s="135"/>
      <c r="C153" s="52">
        <f t="shared" si="26"/>
        <v>1</v>
      </c>
      <c r="D153" s="960"/>
      <c r="E153" s="52">
        <f t="shared" si="27"/>
        <v>1</v>
      </c>
      <c r="F153" s="960"/>
      <c r="G153" s="52">
        <f t="shared" si="28"/>
        <v>1</v>
      </c>
      <c r="H153" s="960"/>
      <c r="I153" s="52">
        <f t="shared" si="29"/>
        <v>1</v>
      </c>
      <c r="J153" s="960"/>
      <c r="K153" s="52">
        <f t="shared" si="30"/>
        <v>1</v>
      </c>
      <c r="L153" s="960"/>
      <c r="M153" s="52">
        <f t="shared" si="31"/>
        <v>1</v>
      </c>
      <c r="N153" s="960"/>
      <c r="O153" s="52">
        <f t="shared" si="32"/>
        <v>1</v>
      </c>
      <c r="P153" s="960"/>
      <c r="Q153" s="52">
        <f t="shared" si="33"/>
        <v>1</v>
      </c>
      <c r="R153" s="488">
        <f t="shared" si="34"/>
        <v>0</v>
      </c>
      <c r="S153" s="796">
        <f t="shared" si="35"/>
        <v>0</v>
      </c>
    </row>
    <row r="154" spans="1:19">
      <c r="A154" s="962"/>
      <c r="B154" s="135"/>
      <c r="C154" s="52">
        <f t="shared" ref="C154:C217" si="36">IF(B154="",1,(LOOKUP(B154,$3:$3,$4:$4)-LOOKUP($B$24,$3:$3,$4:$4)+100)/100)</f>
        <v>1</v>
      </c>
      <c r="D154" s="960"/>
      <c r="E154" s="52">
        <f t="shared" ref="E154:E217" si="37">(SUMIF($5:$5,D154,$6:$6)-SUMIF($5:$5,$D$24,$6:$6)+100)/100</f>
        <v>1</v>
      </c>
      <c r="F154" s="960"/>
      <c r="G154" s="52">
        <f t="shared" ref="G154:G217" si="38">(SUMIF($7:$7,F154,$8:$8)-SUMIF($7:$7,$F$24,$8:$8)+100)/100</f>
        <v>1</v>
      </c>
      <c r="H154" s="960"/>
      <c r="I154" s="52">
        <f t="shared" ref="I154:I217" si="39">(SUMIF($9:$9,H154,$10:$10)-SUMIF($9:$9,$H$24,$10:$10)+100)/100</f>
        <v>1</v>
      </c>
      <c r="J154" s="960"/>
      <c r="K154" s="52">
        <f t="shared" ref="K154:K217" si="40">(SUMIF($11:$11,J154,$12:$12)-SUMIF($11:$11,$J$24,$12:$12)+100)/100</f>
        <v>1</v>
      </c>
      <c r="L154" s="960"/>
      <c r="M154" s="52">
        <f t="shared" ref="M154:M217" si="41">(SUMIF($13:$13,L154,$14:$14)-SUMIF($13:$13,$L$24,$14:$14)+100)/100</f>
        <v>1</v>
      </c>
      <c r="N154" s="960"/>
      <c r="O154" s="52">
        <f t="shared" ref="O154:O217" si="42">(SUMIF($15:$15,N154,$16:$16)-SUMIF($15:$15,$N$24,$16:$16)+100)/100</f>
        <v>1</v>
      </c>
      <c r="P154" s="960"/>
      <c r="Q154" s="52">
        <f t="shared" ref="Q154:Q217" si="43">(SUMIF($17:$17,P154,$18:$18)-SUMIF($17:$17,$P$24,$18:$18)+100)/100</f>
        <v>1</v>
      </c>
      <c r="R154" s="488">
        <f t="shared" ref="R154:R217" si="44">IF(B154="",0,ROUND($R$24*C154*E154*G154*I154*K154*M154*O154*Q154,0))</f>
        <v>0</v>
      </c>
      <c r="S154" s="796">
        <f t="shared" si="35"/>
        <v>0</v>
      </c>
    </row>
    <row r="155" spans="1:19">
      <c r="A155" s="962"/>
      <c r="B155" s="135"/>
      <c r="C155" s="52">
        <f t="shared" si="36"/>
        <v>1</v>
      </c>
      <c r="D155" s="960"/>
      <c r="E155" s="52">
        <f t="shared" si="37"/>
        <v>1</v>
      </c>
      <c r="F155" s="960"/>
      <c r="G155" s="52">
        <f t="shared" si="38"/>
        <v>1</v>
      </c>
      <c r="H155" s="960"/>
      <c r="I155" s="52">
        <f t="shared" si="39"/>
        <v>1</v>
      </c>
      <c r="J155" s="960"/>
      <c r="K155" s="52">
        <f t="shared" si="40"/>
        <v>1</v>
      </c>
      <c r="L155" s="960"/>
      <c r="M155" s="52">
        <f t="shared" si="41"/>
        <v>1</v>
      </c>
      <c r="N155" s="960"/>
      <c r="O155" s="52">
        <f t="shared" si="42"/>
        <v>1</v>
      </c>
      <c r="P155" s="960"/>
      <c r="Q155" s="52">
        <f t="shared" si="43"/>
        <v>1</v>
      </c>
      <c r="R155" s="488">
        <f t="shared" si="44"/>
        <v>0</v>
      </c>
      <c r="S155" s="796">
        <f t="shared" si="35"/>
        <v>0</v>
      </c>
    </row>
    <row r="156" spans="1:19">
      <c r="A156" s="962"/>
      <c r="B156" s="135"/>
      <c r="C156" s="52">
        <f t="shared" si="36"/>
        <v>1</v>
      </c>
      <c r="D156" s="960"/>
      <c r="E156" s="52">
        <f t="shared" si="37"/>
        <v>1</v>
      </c>
      <c r="F156" s="960"/>
      <c r="G156" s="52">
        <f t="shared" si="38"/>
        <v>1</v>
      </c>
      <c r="H156" s="960"/>
      <c r="I156" s="52">
        <f t="shared" si="39"/>
        <v>1</v>
      </c>
      <c r="J156" s="960"/>
      <c r="K156" s="52">
        <f t="shared" si="40"/>
        <v>1</v>
      </c>
      <c r="L156" s="960"/>
      <c r="M156" s="52">
        <f t="shared" si="41"/>
        <v>1</v>
      </c>
      <c r="N156" s="960"/>
      <c r="O156" s="52">
        <f t="shared" si="42"/>
        <v>1</v>
      </c>
      <c r="P156" s="960"/>
      <c r="Q156" s="52">
        <f t="shared" si="43"/>
        <v>1</v>
      </c>
      <c r="R156" s="488">
        <f t="shared" si="44"/>
        <v>0</v>
      </c>
      <c r="S156" s="796">
        <f t="shared" si="35"/>
        <v>0</v>
      </c>
    </row>
    <row r="157" spans="1:19">
      <c r="A157" s="962"/>
      <c r="B157" s="135"/>
      <c r="C157" s="52">
        <f t="shared" si="36"/>
        <v>1</v>
      </c>
      <c r="D157" s="960"/>
      <c r="E157" s="52">
        <f t="shared" si="37"/>
        <v>1</v>
      </c>
      <c r="F157" s="960"/>
      <c r="G157" s="52">
        <f t="shared" si="38"/>
        <v>1</v>
      </c>
      <c r="H157" s="960"/>
      <c r="I157" s="52">
        <f t="shared" si="39"/>
        <v>1</v>
      </c>
      <c r="J157" s="960"/>
      <c r="K157" s="52">
        <f t="shared" si="40"/>
        <v>1</v>
      </c>
      <c r="L157" s="960"/>
      <c r="M157" s="52">
        <f t="shared" si="41"/>
        <v>1</v>
      </c>
      <c r="N157" s="960"/>
      <c r="O157" s="52">
        <f t="shared" si="42"/>
        <v>1</v>
      </c>
      <c r="P157" s="960"/>
      <c r="Q157" s="52">
        <f t="shared" si="43"/>
        <v>1</v>
      </c>
      <c r="R157" s="488">
        <f t="shared" si="44"/>
        <v>0</v>
      </c>
      <c r="S157" s="796">
        <f t="shared" si="35"/>
        <v>0</v>
      </c>
    </row>
    <row r="158" spans="1:19">
      <c r="A158" s="962"/>
      <c r="B158" s="135"/>
      <c r="C158" s="52">
        <f t="shared" si="36"/>
        <v>1</v>
      </c>
      <c r="D158" s="960"/>
      <c r="E158" s="52">
        <f t="shared" si="37"/>
        <v>1</v>
      </c>
      <c r="F158" s="960"/>
      <c r="G158" s="52">
        <f t="shared" si="38"/>
        <v>1</v>
      </c>
      <c r="H158" s="960"/>
      <c r="I158" s="52">
        <f t="shared" si="39"/>
        <v>1</v>
      </c>
      <c r="J158" s="960"/>
      <c r="K158" s="52">
        <f t="shared" si="40"/>
        <v>1</v>
      </c>
      <c r="L158" s="960"/>
      <c r="M158" s="52">
        <f t="shared" si="41"/>
        <v>1</v>
      </c>
      <c r="N158" s="960"/>
      <c r="O158" s="52">
        <f t="shared" si="42"/>
        <v>1</v>
      </c>
      <c r="P158" s="960"/>
      <c r="Q158" s="52">
        <f t="shared" si="43"/>
        <v>1</v>
      </c>
      <c r="R158" s="488">
        <f t="shared" si="44"/>
        <v>0</v>
      </c>
      <c r="S158" s="796">
        <f t="shared" si="35"/>
        <v>0</v>
      </c>
    </row>
    <row r="159" spans="1:19">
      <c r="A159" s="962"/>
      <c r="B159" s="135"/>
      <c r="C159" s="52">
        <f t="shared" si="36"/>
        <v>1</v>
      </c>
      <c r="D159" s="960"/>
      <c r="E159" s="52">
        <f t="shared" si="37"/>
        <v>1</v>
      </c>
      <c r="F159" s="960"/>
      <c r="G159" s="52">
        <f t="shared" si="38"/>
        <v>1</v>
      </c>
      <c r="H159" s="960"/>
      <c r="I159" s="52">
        <f t="shared" si="39"/>
        <v>1</v>
      </c>
      <c r="J159" s="960"/>
      <c r="K159" s="52">
        <f t="shared" si="40"/>
        <v>1</v>
      </c>
      <c r="L159" s="960"/>
      <c r="M159" s="52">
        <f t="shared" si="41"/>
        <v>1</v>
      </c>
      <c r="N159" s="960"/>
      <c r="O159" s="52">
        <f t="shared" si="42"/>
        <v>1</v>
      </c>
      <c r="P159" s="960"/>
      <c r="Q159" s="52">
        <f t="shared" si="43"/>
        <v>1</v>
      </c>
      <c r="R159" s="488">
        <f t="shared" si="44"/>
        <v>0</v>
      </c>
      <c r="S159" s="796">
        <f t="shared" si="35"/>
        <v>0</v>
      </c>
    </row>
    <row r="160" spans="1:19">
      <c r="A160" s="962"/>
      <c r="B160" s="135"/>
      <c r="C160" s="52">
        <f t="shared" si="36"/>
        <v>1</v>
      </c>
      <c r="D160" s="960"/>
      <c r="E160" s="52">
        <f t="shared" si="37"/>
        <v>1</v>
      </c>
      <c r="F160" s="960"/>
      <c r="G160" s="52">
        <f t="shared" si="38"/>
        <v>1</v>
      </c>
      <c r="H160" s="960"/>
      <c r="I160" s="52">
        <f t="shared" si="39"/>
        <v>1</v>
      </c>
      <c r="J160" s="960"/>
      <c r="K160" s="52">
        <f t="shared" si="40"/>
        <v>1</v>
      </c>
      <c r="L160" s="960"/>
      <c r="M160" s="52">
        <f t="shared" si="41"/>
        <v>1</v>
      </c>
      <c r="N160" s="960"/>
      <c r="O160" s="52">
        <f t="shared" si="42"/>
        <v>1</v>
      </c>
      <c r="P160" s="960"/>
      <c r="Q160" s="52">
        <f t="shared" si="43"/>
        <v>1</v>
      </c>
      <c r="R160" s="488">
        <f t="shared" si="44"/>
        <v>0</v>
      </c>
      <c r="S160" s="796">
        <f t="shared" si="35"/>
        <v>0</v>
      </c>
    </row>
    <row r="161" spans="1:19">
      <c r="A161" s="962"/>
      <c r="B161" s="135"/>
      <c r="C161" s="52">
        <f t="shared" si="36"/>
        <v>1</v>
      </c>
      <c r="D161" s="960"/>
      <c r="E161" s="52">
        <f t="shared" si="37"/>
        <v>1</v>
      </c>
      <c r="F161" s="960"/>
      <c r="G161" s="52">
        <f t="shared" si="38"/>
        <v>1</v>
      </c>
      <c r="H161" s="960"/>
      <c r="I161" s="52">
        <f t="shared" si="39"/>
        <v>1</v>
      </c>
      <c r="J161" s="960"/>
      <c r="K161" s="52">
        <f t="shared" si="40"/>
        <v>1</v>
      </c>
      <c r="L161" s="960"/>
      <c r="M161" s="52">
        <f t="shared" si="41"/>
        <v>1</v>
      </c>
      <c r="N161" s="960"/>
      <c r="O161" s="52">
        <f t="shared" si="42"/>
        <v>1</v>
      </c>
      <c r="P161" s="960"/>
      <c r="Q161" s="52">
        <f t="shared" si="43"/>
        <v>1</v>
      </c>
      <c r="R161" s="488">
        <f t="shared" si="44"/>
        <v>0</v>
      </c>
      <c r="S161" s="796">
        <f t="shared" si="35"/>
        <v>0</v>
      </c>
    </row>
    <row r="162" spans="1:19">
      <c r="A162" s="962"/>
      <c r="B162" s="135"/>
      <c r="C162" s="52">
        <f t="shared" si="36"/>
        <v>1</v>
      </c>
      <c r="D162" s="960"/>
      <c r="E162" s="52">
        <f t="shared" si="37"/>
        <v>1</v>
      </c>
      <c r="F162" s="960"/>
      <c r="G162" s="52">
        <f t="shared" si="38"/>
        <v>1</v>
      </c>
      <c r="H162" s="960"/>
      <c r="I162" s="52">
        <f t="shared" si="39"/>
        <v>1</v>
      </c>
      <c r="J162" s="960"/>
      <c r="K162" s="52">
        <f t="shared" si="40"/>
        <v>1</v>
      </c>
      <c r="L162" s="960"/>
      <c r="M162" s="52">
        <f t="shared" si="41"/>
        <v>1</v>
      </c>
      <c r="N162" s="960"/>
      <c r="O162" s="52">
        <f t="shared" si="42"/>
        <v>1</v>
      </c>
      <c r="P162" s="960"/>
      <c r="Q162" s="52">
        <f t="shared" si="43"/>
        <v>1</v>
      </c>
      <c r="R162" s="488">
        <f t="shared" si="44"/>
        <v>0</v>
      </c>
      <c r="S162" s="796">
        <f t="shared" si="35"/>
        <v>0</v>
      </c>
    </row>
    <row r="163" spans="1:19">
      <c r="A163" s="962"/>
      <c r="B163" s="135"/>
      <c r="C163" s="52">
        <f t="shared" si="36"/>
        <v>1</v>
      </c>
      <c r="D163" s="960"/>
      <c r="E163" s="52">
        <f t="shared" si="37"/>
        <v>1</v>
      </c>
      <c r="F163" s="960"/>
      <c r="G163" s="52">
        <f t="shared" si="38"/>
        <v>1</v>
      </c>
      <c r="H163" s="960"/>
      <c r="I163" s="52">
        <f t="shared" si="39"/>
        <v>1</v>
      </c>
      <c r="J163" s="960"/>
      <c r="K163" s="52">
        <f t="shared" si="40"/>
        <v>1</v>
      </c>
      <c r="L163" s="960"/>
      <c r="M163" s="52">
        <f t="shared" si="41"/>
        <v>1</v>
      </c>
      <c r="N163" s="960"/>
      <c r="O163" s="52">
        <f t="shared" si="42"/>
        <v>1</v>
      </c>
      <c r="P163" s="960"/>
      <c r="Q163" s="52">
        <f t="shared" si="43"/>
        <v>1</v>
      </c>
      <c r="R163" s="488">
        <f t="shared" si="44"/>
        <v>0</v>
      </c>
      <c r="S163" s="796">
        <f t="shared" si="35"/>
        <v>0</v>
      </c>
    </row>
    <row r="164" spans="1:19">
      <c r="A164" s="962"/>
      <c r="B164" s="135"/>
      <c r="C164" s="52">
        <f t="shared" si="36"/>
        <v>1</v>
      </c>
      <c r="D164" s="960"/>
      <c r="E164" s="52">
        <f t="shared" si="37"/>
        <v>1</v>
      </c>
      <c r="F164" s="960"/>
      <c r="G164" s="52">
        <f t="shared" si="38"/>
        <v>1</v>
      </c>
      <c r="H164" s="960"/>
      <c r="I164" s="52">
        <f t="shared" si="39"/>
        <v>1</v>
      </c>
      <c r="J164" s="960"/>
      <c r="K164" s="52">
        <f t="shared" si="40"/>
        <v>1</v>
      </c>
      <c r="L164" s="960"/>
      <c r="M164" s="52">
        <f t="shared" si="41"/>
        <v>1</v>
      </c>
      <c r="N164" s="960"/>
      <c r="O164" s="52">
        <f t="shared" si="42"/>
        <v>1</v>
      </c>
      <c r="P164" s="960"/>
      <c r="Q164" s="52">
        <f t="shared" si="43"/>
        <v>1</v>
      </c>
      <c r="R164" s="488">
        <f t="shared" si="44"/>
        <v>0</v>
      </c>
      <c r="S164" s="796">
        <f t="shared" si="35"/>
        <v>0</v>
      </c>
    </row>
    <row r="165" spans="1:19">
      <c r="A165" s="962"/>
      <c r="B165" s="135"/>
      <c r="C165" s="52">
        <f t="shared" si="36"/>
        <v>1</v>
      </c>
      <c r="D165" s="960"/>
      <c r="E165" s="52">
        <f t="shared" si="37"/>
        <v>1</v>
      </c>
      <c r="F165" s="960"/>
      <c r="G165" s="52">
        <f t="shared" si="38"/>
        <v>1</v>
      </c>
      <c r="H165" s="960"/>
      <c r="I165" s="52">
        <f t="shared" si="39"/>
        <v>1</v>
      </c>
      <c r="J165" s="960"/>
      <c r="K165" s="52">
        <f t="shared" si="40"/>
        <v>1</v>
      </c>
      <c r="L165" s="960"/>
      <c r="M165" s="52">
        <f t="shared" si="41"/>
        <v>1</v>
      </c>
      <c r="N165" s="960"/>
      <c r="O165" s="52">
        <f t="shared" si="42"/>
        <v>1</v>
      </c>
      <c r="P165" s="960"/>
      <c r="Q165" s="52">
        <f t="shared" si="43"/>
        <v>1</v>
      </c>
      <c r="R165" s="488">
        <f t="shared" si="44"/>
        <v>0</v>
      </c>
      <c r="S165" s="796">
        <f t="shared" si="35"/>
        <v>0</v>
      </c>
    </row>
    <row r="166" spans="1:19">
      <c r="A166" s="962"/>
      <c r="B166" s="135"/>
      <c r="C166" s="52">
        <f t="shared" si="36"/>
        <v>1</v>
      </c>
      <c r="D166" s="960"/>
      <c r="E166" s="52">
        <f t="shared" si="37"/>
        <v>1</v>
      </c>
      <c r="F166" s="960"/>
      <c r="G166" s="52">
        <f t="shared" si="38"/>
        <v>1</v>
      </c>
      <c r="H166" s="960"/>
      <c r="I166" s="52">
        <f t="shared" si="39"/>
        <v>1</v>
      </c>
      <c r="J166" s="960"/>
      <c r="K166" s="52">
        <f t="shared" si="40"/>
        <v>1</v>
      </c>
      <c r="L166" s="960"/>
      <c r="M166" s="52">
        <f t="shared" si="41"/>
        <v>1</v>
      </c>
      <c r="N166" s="960"/>
      <c r="O166" s="52">
        <f t="shared" si="42"/>
        <v>1</v>
      </c>
      <c r="P166" s="960"/>
      <c r="Q166" s="52">
        <f t="shared" si="43"/>
        <v>1</v>
      </c>
      <c r="R166" s="488">
        <f t="shared" si="44"/>
        <v>0</v>
      </c>
      <c r="S166" s="796">
        <f t="shared" si="35"/>
        <v>0</v>
      </c>
    </row>
    <row r="167" spans="1:19">
      <c r="A167" s="962"/>
      <c r="B167" s="135"/>
      <c r="C167" s="52">
        <f t="shared" si="36"/>
        <v>1</v>
      </c>
      <c r="D167" s="960"/>
      <c r="E167" s="52">
        <f t="shared" si="37"/>
        <v>1</v>
      </c>
      <c r="F167" s="960"/>
      <c r="G167" s="52">
        <f t="shared" si="38"/>
        <v>1</v>
      </c>
      <c r="H167" s="960"/>
      <c r="I167" s="52">
        <f t="shared" si="39"/>
        <v>1</v>
      </c>
      <c r="J167" s="960"/>
      <c r="K167" s="52">
        <f t="shared" si="40"/>
        <v>1</v>
      </c>
      <c r="L167" s="960"/>
      <c r="M167" s="52">
        <f t="shared" si="41"/>
        <v>1</v>
      </c>
      <c r="N167" s="960"/>
      <c r="O167" s="52">
        <f t="shared" si="42"/>
        <v>1</v>
      </c>
      <c r="P167" s="960"/>
      <c r="Q167" s="52">
        <f t="shared" si="43"/>
        <v>1</v>
      </c>
      <c r="R167" s="488">
        <f t="shared" si="44"/>
        <v>0</v>
      </c>
      <c r="S167" s="796">
        <f t="shared" si="35"/>
        <v>0</v>
      </c>
    </row>
    <row r="168" spans="1:19">
      <c r="A168" s="962"/>
      <c r="B168" s="135"/>
      <c r="C168" s="52">
        <f t="shared" si="36"/>
        <v>1</v>
      </c>
      <c r="D168" s="960"/>
      <c r="E168" s="52">
        <f t="shared" si="37"/>
        <v>1</v>
      </c>
      <c r="F168" s="960"/>
      <c r="G168" s="52">
        <f t="shared" si="38"/>
        <v>1</v>
      </c>
      <c r="H168" s="960"/>
      <c r="I168" s="52">
        <f t="shared" si="39"/>
        <v>1</v>
      </c>
      <c r="J168" s="960"/>
      <c r="K168" s="52">
        <f t="shared" si="40"/>
        <v>1</v>
      </c>
      <c r="L168" s="960"/>
      <c r="M168" s="52">
        <f t="shared" si="41"/>
        <v>1</v>
      </c>
      <c r="N168" s="960"/>
      <c r="O168" s="52">
        <f t="shared" si="42"/>
        <v>1</v>
      </c>
      <c r="P168" s="960"/>
      <c r="Q168" s="52">
        <f t="shared" si="43"/>
        <v>1</v>
      </c>
      <c r="R168" s="488">
        <f t="shared" si="44"/>
        <v>0</v>
      </c>
      <c r="S168" s="796">
        <f t="shared" si="35"/>
        <v>0</v>
      </c>
    </row>
    <row r="169" spans="1:19">
      <c r="A169" s="962"/>
      <c r="B169" s="135"/>
      <c r="C169" s="52">
        <f t="shared" si="36"/>
        <v>1</v>
      </c>
      <c r="D169" s="960"/>
      <c r="E169" s="52">
        <f t="shared" si="37"/>
        <v>1</v>
      </c>
      <c r="F169" s="960"/>
      <c r="G169" s="52">
        <f t="shared" si="38"/>
        <v>1</v>
      </c>
      <c r="H169" s="960"/>
      <c r="I169" s="52">
        <f t="shared" si="39"/>
        <v>1</v>
      </c>
      <c r="J169" s="960"/>
      <c r="K169" s="52">
        <f t="shared" si="40"/>
        <v>1</v>
      </c>
      <c r="L169" s="960"/>
      <c r="M169" s="52">
        <f t="shared" si="41"/>
        <v>1</v>
      </c>
      <c r="N169" s="960"/>
      <c r="O169" s="52">
        <f t="shared" si="42"/>
        <v>1</v>
      </c>
      <c r="P169" s="960"/>
      <c r="Q169" s="52">
        <f t="shared" si="43"/>
        <v>1</v>
      </c>
      <c r="R169" s="488">
        <f t="shared" si="44"/>
        <v>0</v>
      </c>
      <c r="S169" s="796">
        <f t="shared" si="35"/>
        <v>0</v>
      </c>
    </row>
    <row r="170" spans="1:19">
      <c r="A170" s="962"/>
      <c r="B170" s="135"/>
      <c r="C170" s="52">
        <f t="shared" si="36"/>
        <v>1</v>
      </c>
      <c r="D170" s="960"/>
      <c r="E170" s="52">
        <f t="shared" si="37"/>
        <v>1</v>
      </c>
      <c r="F170" s="960"/>
      <c r="G170" s="52">
        <f t="shared" si="38"/>
        <v>1</v>
      </c>
      <c r="H170" s="960"/>
      <c r="I170" s="52">
        <f t="shared" si="39"/>
        <v>1</v>
      </c>
      <c r="J170" s="960"/>
      <c r="K170" s="52">
        <f t="shared" si="40"/>
        <v>1</v>
      </c>
      <c r="L170" s="960"/>
      <c r="M170" s="52">
        <f t="shared" si="41"/>
        <v>1</v>
      </c>
      <c r="N170" s="960"/>
      <c r="O170" s="52">
        <f t="shared" si="42"/>
        <v>1</v>
      </c>
      <c r="P170" s="960"/>
      <c r="Q170" s="52">
        <f t="shared" si="43"/>
        <v>1</v>
      </c>
      <c r="R170" s="488">
        <f t="shared" si="44"/>
        <v>0</v>
      </c>
      <c r="S170" s="796">
        <f t="shared" si="35"/>
        <v>0</v>
      </c>
    </row>
    <row r="171" spans="1:19">
      <c r="A171" s="962"/>
      <c r="B171" s="135"/>
      <c r="C171" s="52">
        <f t="shared" si="36"/>
        <v>1</v>
      </c>
      <c r="D171" s="960"/>
      <c r="E171" s="52">
        <f t="shared" si="37"/>
        <v>1</v>
      </c>
      <c r="F171" s="960"/>
      <c r="G171" s="52">
        <f t="shared" si="38"/>
        <v>1</v>
      </c>
      <c r="H171" s="960"/>
      <c r="I171" s="52">
        <f t="shared" si="39"/>
        <v>1</v>
      </c>
      <c r="J171" s="960"/>
      <c r="K171" s="52">
        <f t="shared" si="40"/>
        <v>1</v>
      </c>
      <c r="L171" s="960"/>
      <c r="M171" s="52">
        <f t="shared" si="41"/>
        <v>1</v>
      </c>
      <c r="N171" s="960"/>
      <c r="O171" s="52">
        <f t="shared" si="42"/>
        <v>1</v>
      </c>
      <c r="P171" s="960"/>
      <c r="Q171" s="52">
        <f t="shared" si="43"/>
        <v>1</v>
      </c>
      <c r="R171" s="488">
        <f t="shared" si="44"/>
        <v>0</v>
      </c>
      <c r="S171" s="796">
        <f t="shared" si="35"/>
        <v>0</v>
      </c>
    </row>
    <row r="172" spans="1:19">
      <c r="A172" s="962"/>
      <c r="B172" s="135"/>
      <c r="C172" s="52">
        <f t="shared" si="36"/>
        <v>1</v>
      </c>
      <c r="D172" s="960"/>
      <c r="E172" s="52">
        <f t="shared" si="37"/>
        <v>1</v>
      </c>
      <c r="F172" s="960"/>
      <c r="G172" s="52">
        <f t="shared" si="38"/>
        <v>1</v>
      </c>
      <c r="H172" s="960"/>
      <c r="I172" s="52">
        <f t="shared" si="39"/>
        <v>1</v>
      </c>
      <c r="J172" s="960"/>
      <c r="K172" s="52">
        <f t="shared" si="40"/>
        <v>1</v>
      </c>
      <c r="L172" s="960"/>
      <c r="M172" s="52">
        <f t="shared" si="41"/>
        <v>1</v>
      </c>
      <c r="N172" s="960"/>
      <c r="O172" s="52">
        <f t="shared" si="42"/>
        <v>1</v>
      </c>
      <c r="P172" s="960"/>
      <c r="Q172" s="52">
        <f t="shared" si="43"/>
        <v>1</v>
      </c>
      <c r="R172" s="488">
        <f t="shared" si="44"/>
        <v>0</v>
      </c>
      <c r="S172" s="796">
        <f t="shared" si="35"/>
        <v>0</v>
      </c>
    </row>
    <row r="173" spans="1:19">
      <c r="A173" s="962"/>
      <c r="B173" s="135"/>
      <c r="C173" s="52">
        <f t="shared" si="36"/>
        <v>1</v>
      </c>
      <c r="D173" s="960"/>
      <c r="E173" s="52">
        <f t="shared" si="37"/>
        <v>1</v>
      </c>
      <c r="F173" s="960"/>
      <c r="G173" s="52">
        <f t="shared" si="38"/>
        <v>1</v>
      </c>
      <c r="H173" s="960"/>
      <c r="I173" s="52">
        <f t="shared" si="39"/>
        <v>1</v>
      </c>
      <c r="J173" s="960"/>
      <c r="K173" s="52">
        <f t="shared" si="40"/>
        <v>1</v>
      </c>
      <c r="L173" s="960"/>
      <c r="M173" s="52">
        <f t="shared" si="41"/>
        <v>1</v>
      </c>
      <c r="N173" s="960"/>
      <c r="O173" s="52">
        <f t="shared" si="42"/>
        <v>1</v>
      </c>
      <c r="P173" s="960"/>
      <c r="Q173" s="52">
        <f t="shared" si="43"/>
        <v>1</v>
      </c>
      <c r="R173" s="488">
        <f t="shared" si="44"/>
        <v>0</v>
      </c>
      <c r="S173" s="796">
        <f t="shared" si="35"/>
        <v>0</v>
      </c>
    </row>
    <row r="174" spans="1:19">
      <c r="A174" s="962"/>
      <c r="B174" s="135"/>
      <c r="C174" s="52">
        <f t="shared" si="36"/>
        <v>1</v>
      </c>
      <c r="D174" s="960"/>
      <c r="E174" s="52">
        <f t="shared" si="37"/>
        <v>1</v>
      </c>
      <c r="F174" s="960"/>
      <c r="G174" s="52">
        <f t="shared" si="38"/>
        <v>1</v>
      </c>
      <c r="H174" s="960"/>
      <c r="I174" s="52">
        <f t="shared" si="39"/>
        <v>1</v>
      </c>
      <c r="J174" s="960"/>
      <c r="K174" s="52">
        <f t="shared" si="40"/>
        <v>1</v>
      </c>
      <c r="L174" s="960"/>
      <c r="M174" s="52">
        <f t="shared" si="41"/>
        <v>1</v>
      </c>
      <c r="N174" s="960"/>
      <c r="O174" s="52">
        <f t="shared" si="42"/>
        <v>1</v>
      </c>
      <c r="P174" s="960"/>
      <c r="Q174" s="52">
        <f t="shared" si="43"/>
        <v>1</v>
      </c>
      <c r="R174" s="488">
        <f t="shared" si="44"/>
        <v>0</v>
      </c>
      <c r="S174" s="796">
        <f t="shared" si="35"/>
        <v>0</v>
      </c>
    </row>
    <row r="175" spans="1:19">
      <c r="A175" s="962"/>
      <c r="B175" s="135"/>
      <c r="C175" s="52">
        <f t="shared" si="36"/>
        <v>1</v>
      </c>
      <c r="D175" s="960"/>
      <c r="E175" s="52">
        <f t="shared" si="37"/>
        <v>1</v>
      </c>
      <c r="F175" s="960"/>
      <c r="G175" s="52">
        <f t="shared" si="38"/>
        <v>1</v>
      </c>
      <c r="H175" s="960"/>
      <c r="I175" s="52">
        <f t="shared" si="39"/>
        <v>1</v>
      </c>
      <c r="J175" s="960"/>
      <c r="K175" s="52">
        <f t="shared" si="40"/>
        <v>1</v>
      </c>
      <c r="L175" s="960"/>
      <c r="M175" s="52">
        <f t="shared" si="41"/>
        <v>1</v>
      </c>
      <c r="N175" s="960"/>
      <c r="O175" s="52">
        <f t="shared" si="42"/>
        <v>1</v>
      </c>
      <c r="P175" s="960"/>
      <c r="Q175" s="52">
        <f t="shared" si="43"/>
        <v>1</v>
      </c>
      <c r="R175" s="488">
        <f t="shared" si="44"/>
        <v>0</v>
      </c>
      <c r="S175" s="796">
        <f t="shared" si="35"/>
        <v>0</v>
      </c>
    </row>
    <row r="176" spans="1:19">
      <c r="A176" s="962"/>
      <c r="B176" s="135"/>
      <c r="C176" s="52">
        <f t="shared" si="36"/>
        <v>1</v>
      </c>
      <c r="D176" s="960"/>
      <c r="E176" s="52">
        <f t="shared" si="37"/>
        <v>1</v>
      </c>
      <c r="F176" s="960"/>
      <c r="G176" s="52">
        <f t="shared" si="38"/>
        <v>1</v>
      </c>
      <c r="H176" s="960"/>
      <c r="I176" s="52">
        <f t="shared" si="39"/>
        <v>1</v>
      </c>
      <c r="J176" s="960"/>
      <c r="K176" s="52">
        <f t="shared" si="40"/>
        <v>1</v>
      </c>
      <c r="L176" s="960"/>
      <c r="M176" s="52">
        <f t="shared" si="41"/>
        <v>1</v>
      </c>
      <c r="N176" s="960"/>
      <c r="O176" s="52">
        <f t="shared" si="42"/>
        <v>1</v>
      </c>
      <c r="P176" s="960"/>
      <c r="Q176" s="52">
        <f t="shared" si="43"/>
        <v>1</v>
      </c>
      <c r="R176" s="488">
        <f t="shared" si="44"/>
        <v>0</v>
      </c>
      <c r="S176" s="796">
        <f t="shared" si="35"/>
        <v>0</v>
      </c>
    </row>
    <row r="177" spans="1:19">
      <c r="A177" s="962"/>
      <c r="B177" s="135"/>
      <c r="C177" s="52">
        <f t="shared" si="36"/>
        <v>1</v>
      </c>
      <c r="D177" s="960"/>
      <c r="E177" s="52">
        <f t="shared" si="37"/>
        <v>1</v>
      </c>
      <c r="F177" s="960"/>
      <c r="G177" s="52">
        <f t="shared" si="38"/>
        <v>1</v>
      </c>
      <c r="H177" s="960"/>
      <c r="I177" s="52">
        <f t="shared" si="39"/>
        <v>1</v>
      </c>
      <c r="J177" s="960"/>
      <c r="K177" s="52">
        <f t="shared" si="40"/>
        <v>1</v>
      </c>
      <c r="L177" s="960"/>
      <c r="M177" s="52">
        <f t="shared" si="41"/>
        <v>1</v>
      </c>
      <c r="N177" s="960"/>
      <c r="O177" s="52">
        <f t="shared" si="42"/>
        <v>1</v>
      </c>
      <c r="P177" s="960"/>
      <c r="Q177" s="52">
        <f t="shared" si="43"/>
        <v>1</v>
      </c>
      <c r="R177" s="488">
        <f t="shared" si="44"/>
        <v>0</v>
      </c>
      <c r="S177" s="796">
        <f t="shared" si="35"/>
        <v>0</v>
      </c>
    </row>
    <row r="178" spans="1:19">
      <c r="A178" s="962"/>
      <c r="B178" s="135"/>
      <c r="C178" s="52">
        <f t="shared" si="36"/>
        <v>1</v>
      </c>
      <c r="D178" s="960"/>
      <c r="E178" s="52">
        <f t="shared" si="37"/>
        <v>1</v>
      </c>
      <c r="F178" s="960"/>
      <c r="G178" s="52">
        <f t="shared" si="38"/>
        <v>1</v>
      </c>
      <c r="H178" s="960"/>
      <c r="I178" s="52">
        <f t="shared" si="39"/>
        <v>1</v>
      </c>
      <c r="J178" s="960"/>
      <c r="K178" s="52">
        <f t="shared" si="40"/>
        <v>1</v>
      </c>
      <c r="L178" s="960"/>
      <c r="M178" s="52">
        <f t="shared" si="41"/>
        <v>1</v>
      </c>
      <c r="N178" s="960"/>
      <c r="O178" s="52">
        <f t="shared" si="42"/>
        <v>1</v>
      </c>
      <c r="P178" s="960"/>
      <c r="Q178" s="52">
        <f t="shared" si="43"/>
        <v>1</v>
      </c>
      <c r="R178" s="488">
        <f t="shared" si="44"/>
        <v>0</v>
      </c>
      <c r="S178" s="796">
        <f t="shared" si="35"/>
        <v>0</v>
      </c>
    </row>
    <row r="179" spans="1:19">
      <c r="A179" s="962"/>
      <c r="B179" s="135"/>
      <c r="C179" s="52">
        <f t="shared" si="36"/>
        <v>1</v>
      </c>
      <c r="D179" s="960"/>
      <c r="E179" s="52">
        <f t="shared" si="37"/>
        <v>1</v>
      </c>
      <c r="F179" s="960"/>
      <c r="G179" s="52">
        <f t="shared" si="38"/>
        <v>1</v>
      </c>
      <c r="H179" s="960"/>
      <c r="I179" s="52">
        <f t="shared" si="39"/>
        <v>1</v>
      </c>
      <c r="J179" s="960"/>
      <c r="K179" s="52">
        <f t="shared" si="40"/>
        <v>1</v>
      </c>
      <c r="L179" s="960"/>
      <c r="M179" s="52">
        <f t="shared" si="41"/>
        <v>1</v>
      </c>
      <c r="N179" s="960"/>
      <c r="O179" s="52">
        <f t="shared" si="42"/>
        <v>1</v>
      </c>
      <c r="P179" s="960"/>
      <c r="Q179" s="52">
        <f t="shared" si="43"/>
        <v>1</v>
      </c>
      <c r="R179" s="488">
        <f t="shared" si="44"/>
        <v>0</v>
      </c>
      <c r="S179" s="796">
        <f t="shared" si="35"/>
        <v>0</v>
      </c>
    </row>
    <row r="180" spans="1:19">
      <c r="A180" s="962"/>
      <c r="B180" s="135"/>
      <c r="C180" s="52">
        <f t="shared" si="36"/>
        <v>1</v>
      </c>
      <c r="D180" s="960"/>
      <c r="E180" s="52">
        <f t="shared" si="37"/>
        <v>1</v>
      </c>
      <c r="F180" s="960"/>
      <c r="G180" s="52">
        <f t="shared" si="38"/>
        <v>1</v>
      </c>
      <c r="H180" s="960"/>
      <c r="I180" s="52">
        <f t="shared" si="39"/>
        <v>1</v>
      </c>
      <c r="J180" s="960"/>
      <c r="K180" s="52">
        <f t="shared" si="40"/>
        <v>1</v>
      </c>
      <c r="L180" s="960"/>
      <c r="M180" s="52">
        <f t="shared" si="41"/>
        <v>1</v>
      </c>
      <c r="N180" s="960"/>
      <c r="O180" s="52">
        <f t="shared" si="42"/>
        <v>1</v>
      </c>
      <c r="P180" s="960"/>
      <c r="Q180" s="52">
        <f t="shared" si="43"/>
        <v>1</v>
      </c>
      <c r="R180" s="488">
        <f t="shared" si="44"/>
        <v>0</v>
      </c>
      <c r="S180" s="796">
        <f t="shared" si="35"/>
        <v>0</v>
      </c>
    </row>
    <row r="181" spans="1:19">
      <c r="A181" s="962"/>
      <c r="B181" s="135"/>
      <c r="C181" s="52">
        <f t="shared" si="36"/>
        <v>1</v>
      </c>
      <c r="D181" s="960"/>
      <c r="E181" s="52">
        <f t="shared" si="37"/>
        <v>1</v>
      </c>
      <c r="F181" s="960"/>
      <c r="G181" s="52">
        <f t="shared" si="38"/>
        <v>1</v>
      </c>
      <c r="H181" s="960"/>
      <c r="I181" s="52">
        <f t="shared" si="39"/>
        <v>1</v>
      </c>
      <c r="J181" s="960"/>
      <c r="K181" s="52">
        <f t="shared" si="40"/>
        <v>1</v>
      </c>
      <c r="L181" s="960"/>
      <c r="M181" s="52">
        <f t="shared" si="41"/>
        <v>1</v>
      </c>
      <c r="N181" s="960"/>
      <c r="O181" s="52">
        <f t="shared" si="42"/>
        <v>1</v>
      </c>
      <c r="P181" s="960"/>
      <c r="Q181" s="52">
        <f t="shared" si="43"/>
        <v>1</v>
      </c>
      <c r="R181" s="488">
        <f t="shared" si="44"/>
        <v>0</v>
      </c>
      <c r="S181" s="796">
        <f t="shared" si="35"/>
        <v>0</v>
      </c>
    </row>
    <row r="182" spans="1:19">
      <c r="A182" s="962"/>
      <c r="B182" s="135"/>
      <c r="C182" s="52">
        <f t="shared" si="36"/>
        <v>1</v>
      </c>
      <c r="D182" s="960"/>
      <c r="E182" s="52">
        <f t="shared" si="37"/>
        <v>1</v>
      </c>
      <c r="F182" s="960"/>
      <c r="G182" s="52">
        <f t="shared" si="38"/>
        <v>1</v>
      </c>
      <c r="H182" s="960"/>
      <c r="I182" s="52">
        <f t="shared" si="39"/>
        <v>1</v>
      </c>
      <c r="J182" s="960"/>
      <c r="K182" s="52">
        <f t="shared" si="40"/>
        <v>1</v>
      </c>
      <c r="L182" s="960"/>
      <c r="M182" s="52">
        <f t="shared" si="41"/>
        <v>1</v>
      </c>
      <c r="N182" s="960"/>
      <c r="O182" s="52">
        <f t="shared" si="42"/>
        <v>1</v>
      </c>
      <c r="P182" s="960"/>
      <c r="Q182" s="52">
        <f t="shared" si="43"/>
        <v>1</v>
      </c>
      <c r="R182" s="488">
        <f t="shared" si="44"/>
        <v>0</v>
      </c>
      <c r="S182" s="796">
        <f t="shared" si="35"/>
        <v>0</v>
      </c>
    </row>
    <row r="183" spans="1:19">
      <c r="A183" s="962"/>
      <c r="B183" s="135"/>
      <c r="C183" s="52">
        <f t="shared" si="36"/>
        <v>1</v>
      </c>
      <c r="D183" s="960"/>
      <c r="E183" s="52">
        <f t="shared" si="37"/>
        <v>1</v>
      </c>
      <c r="F183" s="960"/>
      <c r="G183" s="52">
        <f t="shared" si="38"/>
        <v>1</v>
      </c>
      <c r="H183" s="960"/>
      <c r="I183" s="52">
        <f t="shared" si="39"/>
        <v>1</v>
      </c>
      <c r="J183" s="960"/>
      <c r="K183" s="52">
        <f t="shared" si="40"/>
        <v>1</v>
      </c>
      <c r="L183" s="960"/>
      <c r="M183" s="52">
        <f t="shared" si="41"/>
        <v>1</v>
      </c>
      <c r="N183" s="960"/>
      <c r="O183" s="52">
        <f t="shared" si="42"/>
        <v>1</v>
      </c>
      <c r="P183" s="960"/>
      <c r="Q183" s="52">
        <f t="shared" si="43"/>
        <v>1</v>
      </c>
      <c r="R183" s="488">
        <f t="shared" si="44"/>
        <v>0</v>
      </c>
      <c r="S183" s="796">
        <f t="shared" si="35"/>
        <v>0</v>
      </c>
    </row>
    <row r="184" spans="1:19">
      <c r="A184" s="962"/>
      <c r="B184" s="135"/>
      <c r="C184" s="52">
        <f t="shared" si="36"/>
        <v>1</v>
      </c>
      <c r="D184" s="960"/>
      <c r="E184" s="52">
        <f t="shared" si="37"/>
        <v>1</v>
      </c>
      <c r="F184" s="960"/>
      <c r="G184" s="52">
        <f t="shared" si="38"/>
        <v>1</v>
      </c>
      <c r="H184" s="960"/>
      <c r="I184" s="52">
        <f t="shared" si="39"/>
        <v>1</v>
      </c>
      <c r="J184" s="960"/>
      <c r="K184" s="52">
        <f t="shared" si="40"/>
        <v>1</v>
      </c>
      <c r="L184" s="960"/>
      <c r="M184" s="52">
        <f t="shared" si="41"/>
        <v>1</v>
      </c>
      <c r="N184" s="960"/>
      <c r="O184" s="52">
        <f t="shared" si="42"/>
        <v>1</v>
      </c>
      <c r="P184" s="960"/>
      <c r="Q184" s="52">
        <f t="shared" si="43"/>
        <v>1</v>
      </c>
      <c r="R184" s="488">
        <f t="shared" si="44"/>
        <v>0</v>
      </c>
      <c r="S184" s="796">
        <f t="shared" si="35"/>
        <v>0</v>
      </c>
    </row>
    <row r="185" spans="1:19">
      <c r="A185" s="962"/>
      <c r="B185" s="135"/>
      <c r="C185" s="52">
        <f t="shared" si="36"/>
        <v>1</v>
      </c>
      <c r="D185" s="960"/>
      <c r="E185" s="52">
        <f t="shared" si="37"/>
        <v>1</v>
      </c>
      <c r="F185" s="960"/>
      <c r="G185" s="52">
        <f t="shared" si="38"/>
        <v>1</v>
      </c>
      <c r="H185" s="960"/>
      <c r="I185" s="52">
        <f t="shared" si="39"/>
        <v>1</v>
      </c>
      <c r="J185" s="960"/>
      <c r="K185" s="52">
        <f t="shared" si="40"/>
        <v>1</v>
      </c>
      <c r="L185" s="960"/>
      <c r="M185" s="52">
        <f t="shared" si="41"/>
        <v>1</v>
      </c>
      <c r="N185" s="960"/>
      <c r="O185" s="52">
        <f t="shared" si="42"/>
        <v>1</v>
      </c>
      <c r="P185" s="960"/>
      <c r="Q185" s="52">
        <f t="shared" si="43"/>
        <v>1</v>
      </c>
      <c r="R185" s="488">
        <f t="shared" si="44"/>
        <v>0</v>
      </c>
      <c r="S185" s="796">
        <f t="shared" si="35"/>
        <v>0</v>
      </c>
    </row>
    <row r="186" spans="1:19">
      <c r="A186" s="962"/>
      <c r="B186" s="135"/>
      <c r="C186" s="52">
        <f t="shared" si="36"/>
        <v>1</v>
      </c>
      <c r="D186" s="960"/>
      <c r="E186" s="52">
        <f t="shared" si="37"/>
        <v>1</v>
      </c>
      <c r="F186" s="960"/>
      <c r="G186" s="52">
        <f t="shared" si="38"/>
        <v>1</v>
      </c>
      <c r="H186" s="960"/>
      <c r="I186" s="52">
        <f t="shared" si="39"/>
        <v>1</v>
      </c>
      <c r="J186" s="960"/>
      <c r="K186" s="52">
        <f t="shared" si="40"/>
        <v>1</v>
      </c>
      <c r="L186" s="960"/>
      <c r="M186" s="52">
        <f t="shared" si="41"/>
        <v>1</v>
      </c>
      <c r="N186" s="960"/>
      <c r="O186" s="52">
        <f t="shared" si="42"/>
        <v>1</v>
      </c>
      <c r="P186" s="960"/>
      <c r="Q186" s="52">
        <f t="shared" si="43"/>
        <v>1</v>
      </c>
      <c r="R186" s="488">
        <f t="shared" si="44"/>
        <v>0</v>
      </c>
      <c r="S186" s="796">
        <f t="shared" si="35"/>
        <v>0</v>
      </c>
    </row>
    <row r="187" spans="1:19">
      <c r="A187" s="962"/>
      <c r="B187" s="135"/>
      <c r="C187" s="52">
        <f t="shared" si="36"/>
        <v>1</v>
      </c>
      <c r="D187" s="960"/>
      <c r="E187" s="52">
        <f t="shared" si="37"/>
        <v>1</v>
      </c>
      <c r="F187" s="960"/>
      <c r="G187" s="52">
        <f t="shared" si="38"/>
        <v>1</v>
      </c>
      <c r="H187" s="960"/>
      <c r="I187" s="52">
        <f t="shared" si="39"/>
        <v>1</v>
      </c>
      <c r="J187" s="960"/>
      <c r="K187" s="52">
        <f t="shared" si="40"/>
        <v>1</v>
      </c>
      <c r="L187" s="960"/>
      <c r="M187" s="52">
        <f t="shared" si="41"/>
        <v>1</v>
      </c>
      <c r="N187" s="960"/>
      <c r="O187" s="52">
        <f t="shared" si="42"/>
        <v>1</v>
      </c>
      <c r="P187" s="960"/>
      <c r="Q187" s="52">
        <f t="shared" si="43"/>
        <v>1</v>
      </c>
      <c r="R187" s="488">
        <f t="shared" si="44"/>
        <v>0</v>
      </c>
      <c r="S187" s="796">
        <f t="shared" ref="S187:S222" si="45">ROUND(R187*B187/10000,0)</f>
        <v>0</v>
      </c>
    </row>
    <row r="188" spans="1:19">
      <c r="A188" s="962"/>
      <c r="B188" s="135"/>
      <c r="C188" s="52">
        <f t="shared" si="36"/>
        <v>1</v>
      </c>
      <c r="D188" s="960"/>
      <c r="E188" s="52">
        <f t="shared" si="37"/>
        <v>1</v>
      </c>
      <c r="F188" s="960"/>
      <c r="G188" s="52">
        <f t="shared" si="38"/>
        <v>1</v>
      </c>
      <c r="H188" s="960"/>
      <c r="I188" s="52">
        <f t="shared" si="39"/>
        <v>1</v>
      </c>
      <c r="J188" s="960"/>
      <c r="K188" s="52">
        <f t="shared" si="40"/>
        <v>1</v>
      </c>
      <c r="L188" s="960"/>
      <c r="M188" s="52">
        <f t="shared" si="41"/>
        <v>1</v>
      </c>
      <c r="N188" s="960"/>
      <c r="O188" s="52">
        <f t="shared" si="42"/>
        <v>1</v>
      </c>
      <c r="P188" s="960"/>
      <c r="Q188" s="52">
        <f t="shared" si="43"/>
        <v>1</v>
      </c>
      <c r="R188" s="488">
        <f t="shared" si="44"/>
        <v>0</v>
      </c>
      <c r="S188" s="796">
        <f t="shared" si="45"/>
        <v>0</v>
      </c>
    </row>
    <row r="189" spans="1:19">
      <c r="A189" s="962"/>
      <c r="B189" s="135"/>
      <c r="C189" s="52">
        <f t="shared" si="36"/>
        <v>1</v>
      </c>
      <c r="D189" s="960"/>
      <c r="E189" s="52">
        <f t="shared" si="37"/>
        <v>1</v>
      </c>
      <c r="F189" s="960"/>
      <c r="G189" s="52">
        <f t="shared" si="38"/>
        <v>1</v>
      </c>
      <c r="H189" s="960"/>
      <c r="I189" s="52">
        <f t="shared" si="39"/>
        <v>1</v>
      </c>
      <c r="J189" s="960"/>
      <c r="K189" s="52">
        <f t="shared" si="40"/>
        <v>1</v>
      </c>
      <c r="L189" s="960"/>
      <c r="M189" s="52">
        <f t="shared" si="41"/>
        <v>1</v>
      </c>
      <c r="N189" s="960"/>
      <c r="O189" s="52">
        <f t="shared" si="42"/>
        <v>1</v>
      </c>
      <c r="P189" s="960"/>
      <c r="Q189" s="52">
        <f t="shared" si="43"/>
        <v>1</v>
      </c>
      <c r="R189" s="488">
        <f t="shared" si="44"/>
        <v>0</v>
      </c>
      <c r="S189" s="796">
        <f t="shared" si="45"/>
        <v>0</v>
      </c>
    </row>
    <row r="190" spans="1:19">
      <c r="A190" s="962"/>
      <c r="B190" s="135"/>
      <c r="C190" s="52">
        <f t="shared" si="36"/>
        <v>1</v>
      </c>
      <c r="D190" s="960"/>
      <c r="E190" s="52">
        <f t="shared" si="37"/>
        <v>1</v>
      </c>
      <c r="F190" s="960"/>
      <c r="G190" s="52">
        <f t="shared" si="38"/>
        <v>1</v>
      </c>
      <c r="H190" s="960"/>
      <c r="I190" s="52">
        <f t="shared" si="39"/>
        <v>1</v>
      </c>
      <c r="J190" s="960"/>
      <c r="K190" s="52">
        <f t="shared" si="40"/>
        <v>1</v>
      </c>
      <c r="L190" s="960"/>
      <c r="M190" s="52">
        <f t="shared" si="41"/>
        <v>1</v>
      </c>
      <c r="N190" s="960"/>
      <c r="O190" s="52">
        <f t="shared" si="42"/>
        <v>1</v>
      </c>
      <c r="P190" s="960"/>
      <c r="Q190" s="52">
        <f t="shared" si="43"/>
        <v>1</v>
      </c>
      <c r="R190" s="488">
        <f t="shared" si="44"/>
        <v>0</v>
      </c>
      <c r="S190" s="796">
        <f t="shared" si="45"/>
        <v>0</v>
      </c>
    </row>
    <row r="191" spans="1:19">
      <c r="A191" s="962"/>
      <c r="B191" s="135"/>
      <c r="C191" s="52">
        <f t="shared" si="36"/>
        <v>1</v>
      </c>
      <c r="D191" s="960"/>
      <c r="E191" s="52">
        <f t="shared" si="37"/>
        <v>1</v>
      </c>
      <c r="F191" s="960"/>
      <c r="G191" s="52">
        <f t="shared" si="38"/>
        <v>1</v>
      </c>
      <c r="H191" s="960"/>
      <c r="I191" s="52">
        <f t="shared" si="39"/>
        <v>1</v>
      </c>
      <c r="J191" s="960"/>
      <c r="K191" s="52">
        <f t="shared" si="40"/>
        <v>1</v>
      </c>
      <c r="L191" s="960"/>
      <c r="M191" s="52">
        <f t="shared" si="41"/>
        <v>1</v>
      </c>
      <c r="N191" s="960"/>
      <c r="O191" s="52">
        <f t="shared" si="42"/>
        <v>1</v>
      </c>
      <c r="P191" s="960"/>
      <c r="Q191" s="52">
        <f t="shared" si="43"/>
        <v>1</v>
      </c>
      <c r="R191" s="488">
        <f t="shared" si="44"/>
        <v>0</v>
      </c>
      <c r="S191" s="796">
        <f t="shared" si="45"/>
        <v>0</v>
      </c>
    </row>
    <row r="192" spans="1:19">
      <c r="A192" s="962"/>
      <c r="B192" s="135"/>
      <c r="C192" s="52">
        <f t="shared" si="36"/>
        <v>1</v>
      </c>
      <c r="D192" s="960"/>
      <c r="E192" s="52">
        <f t="shared" si="37"/>
        <v>1</v>
      </c>
      <c r="F192" s="960"/>
      <c r="G192" s="52">
        <f t="shared" si="38"/>
        <v>1</v>
      </c>
      <c r="H192" s="960"/>
      <c r="I192" s="52">
        <f t="shared" si="39"/>
        <v>1</v>
      </c>
      <c r="J192" s="960"/>
      <c r="K192" s="52">
        <f t="shared" si="40"/>
        <v>1</v>
      </c>
      <c r="L192" s="960"/>
      <c r="M192" s="52">
        <f t="shared" si="41"/>
        <v>1</v>
      </c>
      <c r="N192" s="960"/>
      <c r="O192" s="52">
        <f t="shared" si="42"/>
        <v>1</v>
      </c>
      <c r="P192" s="960"/>
      <c r="Q192" s="52">
        <f t="shared" si="43"/>
        <v>1</v>
      </c>
      <c r="R192" s="488">
        <f t="shared" si="44"/>
        <v>0</v>
      </c>
      <c r="S192" s="796">
        <f t="shared" si="45"/>
        <v>0</v>
      </c>
    </row>
    <row r="193" spans="1:19">
      <c r="A193" s="962"/>
      <c r="B193" s="135"/>
      <c r="C193" s="52">
        <f t="shared" si="36"/>
        <v>1</v>
      </c>
      <c r="D193" s="960"/>
      <c r="E193" s="52">
        <f t="shared" si="37"/>
        <v>1</v>
      </c>
      <c r="F193" s="960"/>
      <c r="G193" s="52">
        <f t="shared" si="38"/>
        <v>1</v>
      </c>
      <c r="H193" s="960"/>
      <c r="I193" s="52">
        <f t="shared" si="39"/>
        <v>1</v>
      </c>
      <c r="J193" s="960"/>
      <c r="K193" s="52">
        <f t="shared" si="40"/>
        <v>1</v>
      </c>
      <c r="L193" s="960"/>
      <c r="M193" s="52">
        <f t="shared" si="41"/>
        <v>1</v>
      </c>
      <c r="N193" s="960"/>
      <c r="O193" s="52">
        <f t="shared" si="42"/>
        <v>1</v>
      </c>
      <c r="P193" s="960"/>
      <c r="Q193" s="52">
        <f t="shared" si="43"/>
        <v>1</v>
      </c>
      <c r="R193" s="488">
        <f t="shared" si="44"/>
        <v>0</v>
      </c>
      <c r="S193" s="796">
        <f t="shared" si="45"/>
        <v>0</v>
      </c>
    </row>
    <row r="194" spans="1:19">
      <c r="A194" s="962"/>
      <c r="B194" s="135"/>
      <c r="C194" s="52">
        <f t="shared" si="36"/>
        <v>1</v>
      </c>
      <c r="D194" s="960"/>
      <c r="E194" s="52">
        <f t="shared" si="37"/>
        <v>1</v>
      </c>
      <c r="F194" s="960"/>
      <c r="G194" s="52">
        <f t="shared" si="38"/>
        <v>1</v>
      </c>
      <c r="H194" s="960"/>
      <c r="I194" s="52">
        <f t="shared" si="39"/>
        <v>1</v>
      </c>
      <c r="J194" s="960"/>
      <c r="K194" s="52">
        <f t="shared" si="40"/>
        <v>1</v>
      </c>
      <c r="L194" s="960"/>
      <c r="M194" s="52">
        <f t="shared" si="41"/>
        <v>1</v>
      </c>
      <c r="N194" s="960"/>
      <c r="O194" s="52">
        <f t="shared" si="42"/>
        <v>1</v>
      </c>
      <c r="P194" s="960"/>
      <c r="Q194" s="52">
        <f t="shared" si="43"/>
        <v>1</v>
      </c>
      <c r="R194" s="488">
        <f t="shared" si="44"/>
        <v>0</v>
      </c>
      <c r="S194" s="796">
        <f t="shared" si="45"/>
        <v>0</v>
      </c>
    </row>
    <row r="195" spans="1:19">
      <c r="A195" s="962"/>
      <c r="B195" s="135"/>
      <c r="C195" s="52">
        <f t="shared" si="36"/>
        <v>1</v>
      </c>
      <c r="D195" s="960"/>
      <c r="E195" s="52">
        <f t="shared" si="37"/>
        <v>1</v>
      </c>
      <c r="F195" s="960"/>
      <c r="G195" s="52">
        <f t="shared" si="38"/>
        <v>1</v>
      </c>
      <c r="H195" s="960"/>
      <c r="I195" s="52">
        <f t="shared" si="39"/>
        <v>1</v>
      </c>
      <c r="J195" s="960"/>
      <c r="K195" s="52">
        <f t="shared" si="40"/>
        <v>1</v>
      </c>
      <c r="L195" s="960"/>
      <c r="M195" s="52">
        <f t="shared" si="41"/>
        <v>1</v>
      </c>
      <c r="N195" s="960"/>
      <c r="O195" s="52">
        <f t="shared" si="42"/>
        <v>1</v>
      </c>
      <c r="P195" s="960"/>
      <c r="Q195" s="52">
        <f t="shared" si="43"/>
        <v>1</v>
      </c>
      <c r="R195" s="488">
        <f t="shared" si="44"/>
        <v>0</v>
      </c>
      <c r="S195" s="796">
        <f t="shared" si="45"/>
        <v>0</v>
      </c>
    </row>
    <row r="196" spans="1:19">
      <c r="A196" s="962"/>
      <c r="B196" s="135"/>
      <c r="C196" s="52">
        <f t="shared" si="36"/>
        <v>1</v>
      </c>
      <c r="D196" s="960"/>
      <c r="E196" s="52">
        <f t="shared" si="37"/>
        <v>1</v>
      </c>
      <c r="F196" s="960"/>
      <c r="G196" s="52">
        <f t="shared" si="38"/>
        <v>1</v>
      </c>
      <c r="H196" s="960"/>
      <c r="I196" s="52">
        <f t="shared" si="39"/>
        <v>1</v>
      </c>
      <c r="J196" s="960"/>
      <c r="K196" s="52">
        <f t="shared" si="40"/>
        <v>1</v>
      </c>
      <c r="L196" s="960"/>
      <c r="M196" s="52">
        <f t="shared" si="41"/>
        <v>1</v>
      </c>
      <c r="N196" s="960"/>
      <c r="O196" s="52">
        <f t="shared" si="42"/>
        <v>1</v>
      </c>
      <c r="P196" s="960"/>
      <c r="Q196" s="52">
        <f t="shared" si="43"/>
        <v>1</v>
      </c>
      <c r="R196" s="488">
        <f t="shared" si="44"/>
        <v>0</v>
      </c>
      <c r="S196" s="796">
        <f t="shared" si="45"/>
        <v>0</v>
      </c>
    </row>
    <row r="197" spans="1:19">
      <c r="A197" s="962"/>
      <c r="B197" s="135"/>
      <c r="C197" s="52">
        <f t="shared" si="36"/>
        <v>1</v>
      </c>
      <c r="D197" s="960"/>
      <c r="E197" s="52">
        <f t="shared" si="37"/>
        <v>1</v>
      </c>
      <c r="F197" s="960"/>
      <c r="G197" s="52">
        <f t="shared" si="38"/>
        <v>1</v>
      </c>
      <c r="H197" s="960"/>
      <c r="I197" s="52">
        <f t="shared" si="39"/>
        <v>1</v>
      </c>
      <c r="J197" s="960"/>
      <c r="K197" s="52">
        <f t="shared" si="40"/>
        <v>1</v>
      </c>
      <c r="L197" s="960"/>
      <c r="M197" s="52">
        <f t="shared" si="41"/>
        <v>1</v>
      </c>
      <c r="N197" s="960"/>
      <c r="O197" s="52">
        <f t="shared" si="42"/>
        <v>1</v>
      </c>
      <c r="P197" s="960"/>
      <c r="Q197" s="52">
        <f t="shared" si="43"/>
        <v>1</v>
      </c>
      <c r="R197" s="488">
        <f t="shared" si="44"/>
        <v>0</v>
      </c>
      <c r="S197" s="796">
        <f t="shared" si="45"/>
        <v>0</v>
      </c>
    </row>
    <row r="198" spans="1:19">
      <c r="A198" s="962"/>
      <c r="B198" s="135"/>
      <c r="C198" s="52">
        <f t="shared" si="36"/>
        <v>1</v>
      </c>
      <c r="D198" s="960"/>
      <c r="E198" s="52">
        <f t="shared" si="37"/>
        <v>1</v>
      </c>
      <c r="F198" s="960"/>
      <c r="G198" s="52">
        <f t="shared" si="38"/>
        <v>1</v>
      </c>
      <c r="H198" s="960"/>
      <c r="I198" s="52">
        <f t="shared" si="39"/>
        <v>1</v>
      </c>
      <c r="J198" s="960"/>
      <c r="K198" s="52">
        <f t="shared" si="40"/>
        <v>1</v>
      </c>
      <c r="L198" s="960"/>
      <c r="M198" s="52">
        <f t="shared" si="41"/>
        <v>1</v>
      </c>
      <c r="N198" s="960"/>
      <c r="O198" s="52">
        <f t="shared" si="42"/>
        <v>1</v>
      </c>
      <c r="P198" s="960"/>
      <c r="Q198" s="52">
        <f t="shared" si="43"/>
        <v>1</v>
      </c>
      <c r="R198" s="488">
        <f t="shared" si="44"/>
        <v>0</v>
      </c>
      <c r="S198" s="796">
        <f t="shared" si="45"/>
        <v>0</v>
      </c>
    </row>
    <row r="199" spans="1:19">
      <c r="A199" s="962"/>
      <c r="B199" s="135"/>
      <c r="C199" s="52">
        <f t="shared" si="36"/>
        <v>1</v>
      </c>
      <c r="D199" s="960"/>
      <c r="E199" s="52">
        <f t="shared" si="37"/>
        <v>1</v>
      </c>
      <c r="F199" s="960"/>
      <c r="G199" s="52">
        <f t="shared" si="38"/>
        <v>1</v>
      </c>
      <c r="H199" s="960"/>
      <c r="I199" s="52">
        <f t="shared" si="39"/>
        <v>1</v>
      </c>
      <c r="J199" s="960"/>
      <c r="K199" s="52">
        <f t="shared" si="40"/>
        <v>1</v>
      </c>
      <c r="L199" s="960"/>
      <c r="M199" s="52">
        <f t="shared" si="41"/>
        <v>1</v>
      </c>
      <c r="N199" s="960"/>
      <c r="O199" s="52">
        <f t="shared" si="42"/>
        <v>1</v>
      </c>
      <c r="P199" s="960"/>
      <c r="Q199" s="52">
        <f t="shared" si="43"/>
        <v>1</v>
      </c>
      <c r="R199" s="488">
        <f t="shared" si="44"/>
        <v>0</v>
      </c>
      <c r="S199" s="796">
        <f t="shared" si="45"/>
        <v>0</v>
      </c>
    </row>
    <row r="200" spans="1:19">
      <c r="A200" s="962"/>
      <c r="B200" s="135"/>
      <c r="C200" s="52">
        <f t="shared" si="36"/>
        <v>1</v>
      </c>
      <c r="D200" s="960"/>
      <c r="E200" s="52">
        <f t="shared" si="37"/>
        <v>1</v>
      </c>
      <c r="F200" s="960"/>
      <c r="G200" s="52">
        <f t="shared" si="38"/>
        <v>1</v>
      </c>
      <c r="H200" s="960"/>
      <c r="I200" s="52">
        <f t="shared" si="39"/>
        <v>1</v>
      </c>
      <c r="J200" s="960"/>
      <c r="K200" s="52">
        <f t="shared" si="40"/>
        <v>1</v>
      </c>
      <c r="L200" s="960"/>
      <c r="M200" s="52">
        <f t="shared" si="41"/>
        <v>1</v>
      </c>
      <c r="N200" s="960"/>
      <c r="O200" s="52">
        <f t="shared" si="42"/>
        <v>1</v>
      </c>
      <c r="P200" s="960"/>
      <c r="Q200" s="52">
        <f t="shared" si="43"/>
        <v>1</v>
      </c>
      <c r="R200" s="488">
        <f t="shared" si="44"/>
        <v>0</v>
      </c>
      <c r="S200" s="796">
        <f t="shared" si="45"/>
        <v>0</v>
      </c>
    </row>
    <row r="201" spans="1:19">
      <c r="A201" s="962"/>
      <c r="B201" s="135"/>
      <c r="C201" s="52">
        <f t="shared" si="36"/>
        <v>1</v>
      </c>
      <c r="D201" s="960"/>
      <c r="E201" s="52">
        <f t="shared" si="37"/>
        <v>1</v>
      </c>
      <c r="F201" s="960"/>
      <c r="G201" s="52">
        <f t="shared" si="38"/>
        <v>1</v>
      </c>
      <c r="H201" s="960"/>
      <c r="I201" s="52">
        <f t="shared" si="39"/>
        <v>1</v>
      </c>
      <c r="J201" s="960"/>
      <c r="K201" s="52">
        <f t="shared" si="40"/>
        <v>1</v>
      </c>
      <c r="L201" s="960"/>
      <c r="M201" s="52">
        <f t="shared" si="41"/>
        <v>1</v>
      </c>
      <c r="N201" s="960"/>
      <c r="O201" s="52">
        <f t="shared" si="42"/>
        <v>1</v>
      </c>
      <c r="P201" s="960"/>
      <c r="Q201" s="52">
        <f t="shared" si="43"/>
        <v>1</v>
      </c>
      <c r="R201" s="488">
        <f t="shared" si="44"/>
        <v>0</v>
      </c>
      <c r="S201" s="796">
        <f t="shared" si="45"/>
        <v>0</v>
      </c>
    </row>
    <row r="202" spans="1:19">
      <c r="A202" s="962"/>
      <c r="B202" s="135"/>
      <c r="C202" s="52">
        <f t="shared" si="36"/>
        <v>1</v>
      </c>
      <c r="D202" s="960"/>
      <c r="E202" s="52">
        <f t="shared" si="37"/>
        <v>1</v>
      </c>
      <c r="F202" s="960"/>
      <c r="G202" s="52">
        <f t="shared" si="38"/>
        <v>1</v>
      </c>
      <c r="H202" s="960"/>
      <c r="I202" s="52">
        <f t="shared" si="39"/>
        <v>1</v>
      </c>
      <c r="J202" s="960"/>
      <c r="K202" s="52">
        <f t="shared" si="40"/>
        <v>1</v>
      </c>
      <c r="L202" s="960"/>
      <c r="M202" s="52">
        <f t="shared" si="41"/>
        <v>1</v>
      </c>
      <c r="N202" s="960"/>
      <c r="O202" s="52">
        <f t="shared" si="42"/>
        <v>1</v>
      </c>
      <c r="P202" s="960"/>
      <c r="Q202" s="52">
        <f t="shared" si="43"/>
        <v>1</v>
      </c>
      <c r="R202" s="488">
        <f t="shared" si="44"/>
        <v>0</v>
      </c>
      <c r="S202" s="796">
        <f t="shared" si="45"/>
        <v>0</v>
      </c>
    </row>
    <row r="203" spans="1:19">
      <c r="A203" s="962"/>
      <c r="B203" s="135"/>
      <c r="C203" s="52">
        <f t="shared" si="36"/>
        <v>1</v>
      </c>
      <c r="D203" s="960"/>
      <c r="E203" s="52">
        <f t="shared" si="37"/>
        <v>1</v>
      </c>
      <c r="F203" s="960"/>
      <c r="G203" s="52">
        <f t="shared" si="38"/>
        <v>1</v>
      </c>
      <c r="H203" s="960"/>
      <c r="I203" s="52">
        <f t="shared" si="39"/>
        <v>1</v>
      </c>
      <c r="J203" s="960"/>
      <c r="K203" s="52">
        <f t="shared" si="40"/>
        <v>1</v>
      </c>
      <c r="L203" s="960"/>
      <c r="M203" s="52">
        <f t="shared" si="41"/>
        <v>1</v>
      </c>
      <c r="N203" s="960"/>
      <c r="O203" s="52">
        <f t="shared" si="42"/>
        <v>1</v>
      </c>
      <c r="P203" s="960"/>
      <c r="Q203" s="52">
        <f t="shared" si="43"/>
        <v>1</v>
      </c>
      <c r="R203" s="488">
        <f t="shared" si="44"/>
        <v>0</v>
      </c>
      <c r="S203" s="796">
        <f t="shared" si="45"/>
        <v>0</v>
      </c>
    </row>
    <row r="204" spans="1:19">
      <c r="A204" s="962"/>
      <c r="B204" s="135"/>
      <c r="C204" s="52">
        <f t="shared" si="36"/>
        <v>1</v>
      </c>
      <c r="D204" s="960"/>
      <c r="E204" s="52">
        <f t="shared" si="37"/>
        <v>1</v>
      </c>
      <c r="F204" s="960"/>
      <c r="G204" s="52">
        <f t="shared" si="38"/>
        <v>1</v>
      </c>
      <c r="H204" s="960"/>
      <c r="I204" s="52">
        <f t="shared" si="39"/>
        <v>1</v>
      </c>
      <c r="J204" s="960"/>
      <c r="K204" s="52">
        <f t="shared" si="40"/>
        <v>1</v>
      </c>
      <c r="L204" s="960"/>
      <c r="M204" s="52">
        <f t="shared" si="41"/>
        <v>1</v>
      </c>
      <c r="N204" s="960"/>
      <c r="O204" s="52">
        <f t="shared" si="42"/>
        <v>1</v>
      </c>
      <c r="P204" s="960"/>
      <c r="Q204" s="52">
        <f t="shared" si="43"/>
        <v>1</v>
      </c>
      <c r="R204" s="488">
        <f t="shared" si="44"/>
        <v>0</v>
      </c>
      <c r="S204" s="796">
        <f t="shared" si="45"/>
        <v>0</v>
      </c>
    </row>
    <row r="205" spans="1:19">
      <c r="A205" s="962"/>
      <c r="B205" s="135"/>
      <c r="C205" s="52">
        <f t="shared" si="36"/>
        <v>1</v>
      </c>
      <c r="D205" s="960"/>
      <c r="E205" s="52">
        <f t="shared" si="37"/>
        <v>1</v>
      </c>
      <c r="F205" s="960"/>
      <c r="G205" s="52">
        <f t="shared" si="38"/>
        <v>1</v>
      </c>
      <c r="H205" s="960"/>
      <c r="I205" s="52">
        <f t="shared" si="39"/>
        <v>1</v>
      </c>
      <c r="J205" s="960"/>
      <c r="K205" s="52">
        <f t="shared" si="40"/>
        <v>1</v>
      </c>
      <c r="L205" s="960"/>
      <c r="M205" s="52">
        <f t="shared" si="41"/>
        <v>1</v>
      </c>
      <c r="N205" s="960"/>
      <c r="O205" s="52">
        <f t="shared" si="42"/>
        <v>1</v>
      </c>
      <c r="P205" s="960"/>
      <c r="Q205" s="52">
        <f t="shared" si="43"/>
        <v>1</v>
      </c>
      <c r="R205" s="488">
        <f t="shared" si="44"/>
        <v>0</v>
      </c>
      <c r="S205" s="796">
        <f t="shared" si="45"/>
        <v>0</v>
      </c>
    </row>
    <row r="206" spans="1:19">
      <c r="A206" s="962"/>
      <c r="B206" s="135"/>
      <c r="C206" s="52">
        <f t="shared" si="36"/>
        <v>1</v>
      </c>
      <c r="D206" s="960"/>
      <c r="E206" s="52">
        <f t="shared" si="37"/>
        <v>1</v>
      </c>
      <c r="F206" s="960"/>
      <c r="G206" s="52">
        <f t="shared" si="38"/>
        <v>1</v>
      </c>
      <c r="H206" s="960"/>
      <c r="I206" s="52">
        <f t="shared" si="39"/>
        <v>1</v>
      </c>
      <c r="J206" s="960"/>
      <c r="K206" s="52">
        <f t="shared" si="40"/>
        <v>1</v>
      </c>
      <c r="L206" s="960"/>
      <c r="M206" s="52">
        <f t="shared" si="41"/>
        <v>1</v>
      </c>
      <c r="N206" s="960"/>
      <c r="O206" s="52">
        <f t="shared" si="42"/>
        <v>1</v>
      </c>
      <c r="P206" s="960"/>
      <c r="Q206" s="52">
        <f t="shared" si="43"/>
        <v>1</v>
      </c>
      <c r="R206" s="488">
        <f t="shared" si="44"/>
        <v>0</v>
      </c>
      <c r="S206" s="796">
        <f t="shared" si="45"/>
        <v>0</v>
      </c>
    </row>
    <row r="207" spans="1:19">
      <c r="A207" s="962"/>
      <c r="B207" s="135"/>
      <c r="C207" s="52">
        <f t="shared" si="36"/>
        <v>1</v>
      </c>
      <c r="D207" s="960"/>
      <c r="E207" s="52">
        <f t="shared" si="37"/>
        <v>1</v>
      </c>
      <c r="F207" s="960"/>
      <c r="G207" s="52">
        <f t="shared" si="38"/>
        <v>1</v>
      </c>
      <c r="H207" s="960"/>
      <c r="I207" s="52">
        <f t="shared" si="39"/>
        <v>1</v>
      </c>
      <c r="J207" s="960"/>
      <c r="K207" s="52">
        <f t="shared" si="40"/>
        <v>1</v>
      </c>
      <c r="L207" s="960"/>
      <c r="M207" s="52">
        <f t="shared" si="41"/>
        <v>1</v>
      </c>
      <c r="N207" s="960"/>
      <c r="O207" s="52">
        <f t="shared" si="42"/>
        <v>1</v>
      </c>
      <c r="P207" s="960"/>
      <c r="Q207" s="52">
        <f t="shared" si="43"/>
        <v>1</v>
      </c>
      <c r="R207" s="488">
        <f t="shared" si="44"/>
        <v>0</v>
      </c>
      <c r="S207" s="796">
        <f t="shared" si="45"/>
        <v>0</v>
      </c>
    </row>
    <row r="208" spans="1:19">
      <c r="A208" s="962"/>
      <c r="B208" s="135"/>
      <c r="C208" s="52">
        <f t="shared" si="36"/>
        <v>1</v>
      </c>
      <c r="D208" s="960"/>
      <c r="E208" s="52">
        <f t="shared" si="37"/>
        <v>1</v>
      </c>
      <c r="F208" s="960"/>
      <c r="G208" s="52">
        <f t="shared" si="38"/>
        <v>1</v>
      </c>
      <c r="H208" s="960"/>
      <c r="I208" s="52">
        <f t="shared" si="39"/>
        <v>1</v>
      </c>
      <c r="J208" s="960"/>
      <c r="K208" s="52">
        <f t="shared" si="40"/>
        <v>1</v>
      </c>
      <c r="L208" s="960"/>
      <c r="M208" s="52">
        <f t="shared" si="41"/>
        <v>1</v>
      </c>
      <c r="N208" s="960"/>
      <c r="O208" s="52">
        <f t="shared" si="42"/>
        <v>1</v>
      </c>
      <c r="P208" s="960"/>
      <c r="Q208" s="52">
        <f t="shared" si="43"/>
        <v>1</v>
      </c>
      <c r="R208" s="488">
        <f t="shared" si="44"/>
        <v>0</v>
      </c>
      <c r="S208" s="796">
        <f t="shared" si="45"/>
        <v>0</v>
      </c>
    </row>
    <row r="209" spans="1:19">
      <c r="A209" s="962"/>
      <c r="B209" s="135"/>
      <c r="C209" s="52">
        <f t="shared" si="36"/>
        <v>1</v>
      </c>
      <c r="D209" s="960"/>
      <c r="E209" s="52">
        <f t="shared" si="37"/>
        <v>1</v>
      </c>
      <c r="F209" s="960"/>
      <c r="G209" s="52">
        <f t="shared" si="38"/>
        <v>1</v>
      </c>
      <c r="H209" s="960"/>
      <c r="I209" s="52">
        <f t="shared" si="39"/>
        <v>1</v>
      </c>
      <c r="J209" s="960"/>
      <c r="K209" s="52">
        <f t="shared" si="40"/>
        <v>1</v>
      </c>
      <c r="L209" s="960"/>
      <c r="M209" s="52">
        <f t="shared" si="41"/>
        <v>1</v>
      </c>
      <c r="N209" s="960"/>
      <c r="O209" s="52">
        <f t="shared" si="42"/>
        <v>1</v>
      </c>
      <c r="P209" s="960"/>
      <c r="Q209" s="52">
        <f t="shared" si="43"/>
        <v>1</v>
      </c>
      <c r="R209" s="488">
        <f t="shared" si="44"/>
        <v>0</v>
      </c>
      <c r="S209" s="796">
        <f t="shared" si="45"/>
        <v>0</v>
      </c>
    </row>
    <row r="210" spans="1:19">
      <c r="A210" s="962"/>
      <c r="B210" s="135"/>
      <c r="C210" s="52">
        <f t="shared" si="36"/>
        <v>1</v>
      </c>
      <c r="D210" s="960"/>
      <c r="E210" s="52">
        <f t="shared" si="37"/>
        <v>1</v>
      </c>
      <c r="F210" s="960"/>
      <c r="G210" s="52">
        <f t="shared" si="38"/>
        <v>1</v>
      </c>
      <c r="H210" s="960"/>
      <c r="I210" s="52">
        <f t="shared" si="39"/>
        <v>1</v>
      </c>
      <c r="J210" s="960"/>
      <c r="K210" s="52">
        <f t="shared" si="40"/>
        <v>1</v>
      </c>
      <c r="L210" s="960"/>
      <c r="M210" s="52">
        <f t="shared" si="41"/>
        <v>1</v>
      </c>
      <c r="N210" s="960"/>
      <c r="O210" s="52">
        <f t="shared" si="42"/>
        <v>1</v>
      </c>
      <c r="P210" s="960"/>
      <c r="Q210" s="52">
        <f t="shared" si="43"/>
        <v>1</v>
      </c>
      <c r="R210" s="488">
        <f t="shared" si="44"/>
        <v>0</v>
      </c>
      <c r="S210" s="796">
        <f t="shared" si="45"/>
        <v>0</v>
      </c>
    </row>
    <row r="211" spans="1:19">
      <c r="A211" s="962"/>
      <c r="B211" s="135"/>
      <c r="C211" s="52">
        <f t="shared" si="36"/>
        <v>1</v>
      </c>
      <c r="D211" s="960"/>
      <c r="E211" s="52">
        <f t="shared" si="37"/>
        <v>1</v>
      </c>
      <c r="F211" s="960"/>
      <c r="G211" s="52">
        <f t="shared" si="38"/>
        <v>1</v>
      </c>
      <c r="H211" s="960"/>
      <c r="I211" s="52">
        <f t="shared" si="39"/>
        <v>1</v>
      </c>
      <c r="J211" s="960"/>
      <c r="K211" s="52">
        <f t="shared" si="40"/>
        <v>1</v>
      </c>
      <c r="L211" s="960"/>
      <c r="M211" s="52">
        <f t="shared" si="41"/>
        <v>1</v>
      </c>
      <c r="N211" s="960"/>
      <c r="O211" s="52">
        <f t="shared" si="42"/>
        <v>1</v>
      </c>
      <c r="P211" s="960"/>
      <c r="Q211" s="52">
        <f t="shared" si="43"/>
        <v>1</v>
      </c>
      <c r="R211" s="488">
        <f t="shared" si="44"/>
        <v>0</v>
      </c>
      <c r="S211" s="796">
        <f t="shared" si="45"/>
        <v>0</v>
      </c>
    </row>
    <row r="212" spans="1:19">
      <c r="A212" s="962"/>
      <c r="B212" s="135"/>
      <c r="C212" s="52">
        <f t="shared" si="36"/>
        <v>1</v>
      </c>
      <c r="D212" s="960"/>
      <c r="E212" s="52">
        <f t="shared" si="37"/>
        <v>1</v>
      </c>
      <c r="F212" s="960"/>
      <c r="G212" s="52">
        <f t="shared" si="38"/>
        <v>1</v>
      </c>
      <c r="H212" s="960"/>
      <c r="I212" s="52">
        <f t="shared" si="39"/>
        <v>1</v>
      </c>
      <c r="J212" s="960"/>
      <c r="K212" s="52">
        <f t="shared" si="40"/>
        <v>1</v>
      </c>
      <c r="L212" s="960"/>
      <c r="M212" s="52">
        <f t="shared" si="41"/>
        <v>1</v>
      </c>
      <c r="N212" s="960"/>
      <c r="O212" s="52">
        <f t="shared" si="42"/>
        <v>1</v>
      </c>
      <c r="P212" s="960"/>
      <c r="Q212" s="52">
        <f t="shared" si="43"/>
        <v>1</v>
      </c>
      <c r="R212" s="488">
        <f t="shared" si="44"/>
        <v>0</v>
      </c>
      <c r="S212" s="796">
        <f t="shared" si="45"/>
        <v>0</v>
      </c>
    </row>
    <row r="213" spans="1:19">
      <c r="A213" s="962"/>
      <c r="B213" s="135"/>
      <c r="C213" s="52">
        <f t="shared" si="36"/>
        <v>1</v>
      </c>
      <c r="D213" s="960"/>
      <c r="E213" s="52">
        <f t="shared" si="37"/>
        <v>1</v>
      </c>
      <c r="F213" s="960"/>
      <c r="G213" s="52">
        <f t="shared" si="38"/>
        <v>1</v>
      </c>
      <c r="H213" s="960"/>
      <c r="I213" s="52">
        <f t="shared" si="39"/>
        <v>1</v>
      </c>
      <c r="J213" s="960"/>
      <c r="K213" s="52">
        <f t="shared" si="40"/>
        <v>1</v>
      </c>
      <c r="L213" s="960"/>
      <c r="M213" s="52">
        <f t="shared" si="41"/>
        <v>1</v>
      </c>
      <c r="N213" s="960"/>
      <c r="O213" s="52">
        <f t="shared" si="42"/>
        <v>1</v>
      </c>
      <c r="P213" s="960"/>
      <c r="Q213" s="52">
        <f t="shared" si="43"/>
        <v>1</v>
      </c>
      <c r="R213" s="488">
        <f t="shared" si="44"/>
        <v>0</v>
      </c>
      <c r="S213" s="796">
        <f t="shared" si="45"/>
        <v>0</v>
      </c>
    </row>
    <row r="214" spans="1:19">
      <c r="A214" s="962"/>
      <c r="B214" s="135"/>
      <c r="C214" s="52">
        <f t="shared" si="36"/>
        <v>1</v>
      </c>
      <c r="D214" s="960"/>
      <c r="E214" s="52">
        <f t="shared" si="37"/>
        <v>1</v>
      </c>
      <c r="F214" s="960"/>
      <c r="G214" s="52">
        <f t="shared" si="38"/>
        <v>1</v>
      </c>
      <c r="H214" s="960"/>
      <c r="I214" s="52">
        <f t="shared" si="39"/>
        <v>1</v>
      </c>
      <c r="J214" s="960"/>
      <c r="K214" s="52">
        <f t="shared" si="40"/>
        <v>1</v>
      </c>
      <c r="L214" s="960"/>
      <c r="M214" s="52">
        <f t="shared" si="41"/>
        <v>1</v>
      </c>
      <c r="N214" s="960"/>
      <c r="O214" s="52">
        <f t="shared" si="42"/>
        <v>1</v>
      </c>
      <c r="P214" s="960"/>
      <c r="Q214" s="52">
        <f t="shared" si="43"/>
        <v>1</v>
      </c>
      <c r="R214" s="488">
        <f t="shared" si="44"/>
        <v>0</v>
      </c>
      <c r="S214" s="796">
        <f t="shared" si="45"/>
        <v>0</v>
      </c>
    </row>
    <row r="215" spans="1:19">
      <c r="A215" s="962"/>
      <c r="B215" s="135"/>
      <c r="C215" s="52">
        <f t="shared" si="36"/>
        <v>1</v>
      </c>
      <c r="D215" s="960"/>
      <c r="E215" s="52">
        <f t="shared" si="37"/>
        <v>1</v>
      </c>
      <c r="F215" s="960"/>
      <c r="G215" s="52">
        <f t="shared" si="38"/>
        <v>1</v>
      </c>
      <c r="H215" s="960"/>
      <c r="I215" s="52">
        <f t="shared" si="39"/>
        <v>1</v>
      </c>
      <c r="J215" s="960"/>
      <c r="K215" s="52">
        <f t="shared" si="40"/>
        <v>1</v>
      </c>
      <c r="L215" s="960"/>
      <c r="M215" s="52">
        <f t="shared" si="41"/>
        <v>1</v>
      </c>
      <c r="N215" s="960"/>
      <c r="O215" s="52">
        <f t="shared" si="42"/>
        <v>1</v>
      </c>
      <c r="P215" s="960"/>
      <c r="Q215" s="52">
        <f t="shared" si="43"/>
        <v>1</v>
      </c>
      <c r="R215" s="488">
        <f t="shared" si="44"/>
        <v>0</v>
      </c>
      <c r="S215" s="796">
        <f t="shared" si="45"/>
        <v>0</v>
      </c>
    </row>
    <row r="216" spans="1:19">
      <c r="A216" s="962"/>
      <c r="B216" s="135"/>
      <c r="C216" s="52">
        <f t="shared" si="36"/>
        <v>1</v>
      </c>
      <c r="D216" s="960"/>
      <c r="E216" s="52">
        <f t="shared" si="37"/>
        <v>1</v>
      </c>
      <c r="F216" s="960"/>
      <c r="G216" s="52">
        <f t="shared" si="38"/>
        <v>1</v>
      </c>
      <c r="H216" s="960"/>
      <c r="I216" s="52">
        <f t="shared" si="39"/>
        <v>1</v>
      </c>
      <c r="J216" s="960"/>
      <c r="K216" s="52">
        <f t="shared" si="40"/>
        <v>1</v>
      </c>
      <c r="L216" s="960"/>
      <c r="M216" s="52">
        <f t="shared" si="41"/>
        <v>1</v>
      </c>
      <c r="N216" s="960"/>
      <c r="O216" s="52">
        <f t="shared" si="42"/>
        <v>1</v>
      </c>
      <c r="P216" s="960"/>
      <c r="Q216" s="52">
        <f t="shared" si="43"/>
        <v>1</v>
      </c>
      <c r="R216" s="488">
        <f t="shared" si="44"/>
        <v>0</v>
      </c>
      <c r="S216" s="796">
        <f t="shared" si="45"/>
        <v>0</v>
      </c>
    </row>
    <row r="217" spans="1:19">
      <c r="A217" s="962"/>
      <c r="B217" s="135"/>
      <c r="C217" s="52">
        <f t="shared" si="36"/>
        <v>1</v>
      </c>
      <c r="D217" s="960"/>
      <c r="E217" s="52">
        <f t="shared" si="37"/>
        <v>1</v>
      </c>
      <c r="F217" s="960"/>
      <c r="G217" s="52">
        <f t="shared" si="38"/>
        <v>1</v>
      </c>
      <c r="H217" s="960"/>
      <c r="I217" s="52">
        <f t="shared" si="39"/>
        <v>1</v>
      </c>
      <c r="J217" s="960"/>
      <c r="K217" s="52">
        <f t="shared" si="40"/>
        <v>1</v>
      </c>
      <c r="L217" s="960"/>
      <c r="M217" s="52">
        <f t="shared" si="41"/>
        <v>1</v>
      </c>
      <c r="N217" s="960"/>
      <c r="O217" s="52">
        <f t="shared" si="42"/>
        <v>1</v>
      </c>
      <c r="P217" s="960"/>
      <c r="Q217" s="52">
        <f t="shared" si="43"/>
        <v>1</v>
      </c>
      <c r="R217" s="488">
        <f t="shared" si="44"/>
        <v>0</v>
      </c>
      <c r="S217" s="796">
        <f t="shared" si="45"/>
        <v>0</v>
      </c>
    </row>
    <row r="218" spans="1:19">
      <c r="A218" s="962"/>
      <c r="B218" s="135"/>
      <c r="C218" s="52">
        <f t="shared" ref="C218:C281" si="46">IF(B218="",1,(LOOKUP(B218,$3:$3,$4:$4)-LOOKUP($B$24,$3:$3,$4:$4)+100)/100)</f>
        <v>1</v>
      </c>
      <c r="D218" s="960"/>
      <c r="E218" s="52">
        <f t="shared" ref="E218:E281" si="47">(SUMIF($5:$5,D218,$6:$6)-SUMIF($5:$5,$D$24,$6:$6)+100)/100</f>
        <v>1</v>
      </c>
      <c r="F218" s="960"/>
      <c r="G218" s="52">
        <f t="shared" ref="G218:G281" si="48">(SUMIF($7:$7,F218,$8:$8)-SUMIF($7:$7,$F$24,$8:$8)+100)/100</f>
        <v>1</v>
      </c>
      <c r="H218" s="960"/>
      <c r="I218" s="52">
        <f t="shared" ref="I218:I281" si="49">(SUMIF($9:$9,H218,$10:$10)-SUMIF($9:$9,$H$24,$10:$10)+100)/100</f>
        <v>1</v>
      </c>
      <c r="J218" s="960"/>
      <c r="K218" s="52">
        <f t="shared" ref="K218:K281" si="50">(SUMIF($11:$11,J218,$12:$12)-SUMIF($11:$11,$J$24,$12:$12)+100)/100</f>
        <v>1</v>
      </c>
      <c r="L218" s="960"/>
      <c r="M218" s="52">
        <f t="shared" ref="M218:M281" si="51">(SUMIF($13:$13,L218,$14:$14)-SUMIF($13:$13,$L$24,$14:$14)+100)/100</f>
        <v>1</v>
      </c>
      <c r="N218" s="960"/>
      <c r="O218" s="52">
        <f t="shared" ref="O218:O281" si="52">(SUMIF($15:$15,N218,$16:$16)-SUMIF($15:$15,$N$24,$16:$16)+100)/100</f>
        <v>1</v>
      </c>
      <c r="P218" s="960"/>
      <c r="Q218" s="52">
        <f t="shared" ref="Q218:Q281" si="53">(SUMIF($17:$17,P218,$18:$18)-SUMIF($17:$17,$P$24,$18:$18)+100)/100</f>
        <v>1</v>
      </c>
      <c r="R218" s="488">
        <f t="shared" ref="R218:R281" si="54">IF(B218="",0,ROUND($R$24*C218*E218*G218*I218*K218*M218*O218*Q218,0))</f>
        <v>0</v>
      </c>
      <c r="S218" s="796">
        <f t="shared" si="45"/>
        <v>0</v>
      </c>
    </row>
    <row r="219" spans="1:19">
      <c r="A219" s="962"/>
      <c r="B219" s="135"/>
      <c r="C219" s="52">
        <f t="shared" si="46"/>
        <v>1</v>
      </c>
      <c r="D219" s="960"/>
      <c r="E219" s="52">
        <f t="shared" si="47"/>
        <v>1</v>
      </c>
      <c r="F219" s="960"/>
      <c r="G219" s="52">
        <f t="shared" si="48"/>
        <v>1</v>
      </c>
      <c r="H219" s="960"/>
      <c r="I219" s="52">
        <f t="shared" si="49"/>
        <v>1</v>
      </c>
      <c r="J219" s="960"/>
      <c r="K219" s="52">
        <f t="shared" si="50"/>
        <v>1</v>
      </c>
      <c r="L219" s="960"/>
      <c r="M219" s="52">
        <f t="shared" si="51"/>
        <v>1</v>
      </c>
      <c r="N219" s="960"/>
      <c r="O219" s="52">
        <f t="shared" si="52"/>
        <v>1</v>
      </c>
      <c r="P219" s="960"/>
      <c r="Q219" s="52">
        <f t="shared" si="53"/>
        <v>1</v>
      </c>
      <c r="R219" s="488">
        <f t="shared" si="54"/>
        <v>0</v>
      </c>
      <c r="S219" s="796">
        <f t="shared" si="45"/>
        <v>0</v>
      </c>
    </row>
    <row r="220" spans="1:19">
      <c r="A220" s="962"/>
      <c r="B220" s="135"/>
      <c r="C220" s="52">
        <f t="shared" si="46"/>
        <v>1</v>
      </c>
      <c r="D220" s="960"/>
      <c r="E220" s="52">
        <f t="shared" si="47"/>
        <v>1</v>
      </c>
      <c r="F220" s="960"/>
      <c r="G220" s="52">
        <f t="shared" si="48"/>
        <v>1</v>
      </c>
      <c r="H220" s="960"/>
      <c r="I220" s="52">
        <f t="shared" si="49"/>
        <v>1</v>
      </c>
      <c r="J220" s="960"/>
      <c r="K220" s="52">
        <f t="shared" si="50"/>
        <v>1</v>
      </c>
      <c r="L220" s="960"/>
      <c r="M220" s="52">
        <f t="shared" si="51"/>
        <v>1</v>
      </c>
      <c r="N220" s="960"/>
      <c r="O220" s="52">
        <f t="shared" si="52"/>
        <v>1</v>
      </c>
      <c r="P220" s="960"/>
      <c r="Q220" s="52">
        <f t="shared" si="53"/>
        <v>1</v>
      </c>
      <c r="R220" s="488">
        <f t="shared" si="54"/>
        <v>0</v>
      </c>
      <c r="S220" s="796">
        <f t="shared" si="45"/>
        <v>0</v>
      </c>
    </row>
    <row r="221" spans="1:19">
      <c r="A221" s="962"/>
      <c r="B221" s="135"/>
      <c r="C221" s="52">
        <f t="shared" si="46"/>
        <v>1</v>
      </c>
      <c r="D221" s="960"/>
      <c r="E221" s="52">
        <f t="shared" si="47"/>
        <v>1</v>
      </c>
      <c r="F221" s="960"/>
      <c r="G221" s="52">
        <f t="shared" si="48"/>
        <v>1</v>
      </c>
      <c r="H221" s="960"/>
      <c r="I221" s="52">
        <f t="shared" si="49"/>
        <v>1</v>
      </c>
      <c r="J221" s="960"/>
      <c r="K221" s="52">
        <f t="shared" si="50"/>
        <v>1</v>
      </c>
      <c r="L221" s="960"/>
      <c r="M221" s="52">
        <f t="shared" si="51"/>
        <v>1</v>
      </c>
      <c r="N221" s="960"/>
      <c r="O221" s="52">
        <f t="shared" si="52"/>
        <v>1</v>
      </c>
      <c r="P221" s="960"/>
      <c r="Q221" s="52">
        <f t="shared" si="53"/>
        <v>1</v>
      </c>
      <c r="R221" s="488">
        <f t="shared" si="54"/>
        <v>0</v>
      </c>
      <c r="S221" s="796">
        <f t="shared" si="45"/>
        <v>0</v>
      </c>
    </row>
    <row r="222" spans="1:19">
      <c r="A222" s="962"/>
      <c r="B222" s="135"/>
      <c r="C222" s="52">
        <f t="shared" si="46"/>
        <v>1</v>
      </c>
      <c r="D222" s="960"/>
      <c r="E222" s="52">
        <f t="shared" si="47"/>
        <v>1</v>
      </c>
      <c r="F222" s="960"/>
      <c r="G222" s="52">
        <f t="shared" si="48"/>
        <v>1</v>
      </c>
      <c r="H222" s="960"/>
      <c r="I222" s="52">
        <f t="shared" si="49"/>
        <v>1</v>
      </c>
      <c r="J222" s="960"/>
      <c r="K222" s="52">
        <f t="shared" si="50"/>
        <v>1</v>
      </c>
      <c r="L222" s="960"/>
      <c r="M222" s="52">
        <f t="shared" si="51"/>
        <v>1</v>
      </c>
      <c r="N222" s="960"/>
      <c r="O222" s="52">
        <f t="shared" si="52"/>
        <v>1</v>
      </c>
      <c r="P222" s="960"/>
      <c r="Q222" s="52">
        <f t="shared" si="53"/>
        <v>1</v>
      </c>
      <c r="R222" s="488">
        <f t="shared" si="54"/>
        <v>0</v>
      </c>
      <c r="S222" s="796">
        <f t="shared" si="45"/>
        <v>0</v>
      </c>
    </row>
    <row r="223" spans="1:19">
      <c r="A223" s="962"/>
      <c r="B223" s="135"/>
      <c r="C223" s="52">
        <f t="shared" si="46"/>
        <v>1</v>
      </c>
      <c r="D223" s="960"/>
      <c r="E223" s="52">
        <f t="shared" si="47"/>
        <v>1</v>
      </c>
      <c r="F223" s="960"/>
      <c r="G223" s="52">
        <f t="shared" si="48"/>
        <v>1</v>
      </c>
      <c r="H223" s="960"/>
      <c r="I223" s="52">
        <f t="shared" si="49"/>
        <v>1</v>
      </c>
      <c r="J223" s="960"/>
      <c r="K223" s="52">
        <f t="shared" si="50"/>
        <v>1</v>
      </c>
      <c r="L223" s="960"/>
      <c r="M223" s="52">
        <f t="shared" si="51"/>
        <v>1</v>
      </c>
      <c r="N223" s="960"/>
      <c r="O223" s="52">
        <f t="shared" si="52"/>
        <v>1</v>
      </c>
      <c r="P223" s="960"/>
      <c r="Q223" s="52">
        <f t="shared" si="53"/>
        <v>1</v>
      </c>
      <c r="R223" s="488">
        <f t="shared" si="54"/>
        <v>0</v>
      </c>
      <c r="S223" s="796">
        <f t="shared" ref="S223:S286" si="55">ROUND(R223*B223/10000,0)</f>
        <v>0</v>
      </c>
    </row>
    <row r="224" spans="1:19">
      <c r="A224" s="962"/>
      <c r="B224" s="135"/>
      <c r="C224" s="52">
        <f t="shared" si="46"/>
        <v>1</v>
      </c>
      <c r="D224" s="960"/>
      <c r="E224" s="52">
        <f t="shared" si="47"/>
        <v>1</v>
      </c>
      <c r="F224" s="960"/>
      <c r="G224" s="52">
        <f t="shared" si="48"/>
        <v>1</v>
      </c>
      <c r="H224" s="960"/>
      <c r="I224" s="52">
        <f t="shared" si="49"/>
        <v>1</v>
      </c>
      <c r="J224" s="960"/>
      <c r="K224" s="52">
        <f t="shared" si="50"/>
        <v>1</v>
      </c>
      <c r="L224" s="960"/>
      <c r="M224" s="52">
        <f t="shared" si="51"/>
        <v>1</v>
      </c>
      <c r="N224" s="960"/>
      <c r="O224" s="52">
        <f t="shared" si="52"/>
        <v>1</v>
      </c>
      <c r="P224" s="960"/>
      <c r="Q224" s="52">
        <f t="shared" si="53"/>
        <v>1</v>
      </c>
      <c r="R224" s="488">
        <f t="shared" si="54"/>
        <v>0</v>
      </c>
      <c r="S224" s="796">
        <f t="shared" si="55"/>
        <v>0</v>
      </c>
    </row>
    <row r="225" spans="1:19">
      <c r="A225" s="962"/>
      <c r="B225" s="135"/>
      <c r="C225" s="52">
        <f t="shared" si="46"/>
        <v>1</v>
      </c>
      <c r="D225" s="960"/>
      <c r="E225" s="52">
        <f t="shared" si="47"/>
        <v>1</v>
      </c>
      <c r="F225" s="960"/>
      <c r="G225" s="52">
        <f t="shared" si="48"/>
        <v>1</v>
      </c>
      <c r="H225" s="960"/>
      <c r="I225" s="52">
        <f t="shared" si="49"/>
        <v>1</v>
      </c>
      <c r="J225" s="960"/>
      <c r="K225" s="52">
        <f t="shared" si="50"/>
        <v>1</v>
      </c>
      <c r="L225" s="960"/>
      <c r="M225" s="52">
        <f t="shared" si="51"/>
        <v>1</v>
      </c>
      <c r="N225" s="960"/>
      <c r="O225" s="52">
        <f t="shared" si="52"/>
        <v>1</v>
      </c>
      <c r="P225" s="960"/>
      <c r="Q225" s="52">
        <f t="shared" si="53"/>
        <v>1</v>
      </c>
      <c r="R225" s="488">
        <f t="shared" si="54"/>
        <v>0</v>
      </c>
      <c r="S225" s="796">
        <f t="shared" si="55"/>
        <v>0</v>
      </c>
    </row>
    <row r="226" spans="1:19">
      <c r="A226" s="962"/>
      <c r="B226" s="135"/>
      <c r="C226" s="52">
        <f t="shared" si="46"/>
        <v>1</v>
      </c>
      <c r="D226" s="960"/>
      <c r="E226" s="52">
        <f t="shared" si="47"/>
        <v>1</v>
      </c>
      <c r="F226" s="960"/>
      <c r="G226" s="52">
        <f t="shared" si="48"/>
        <v>1</v>
      </c>
      <c r="H226" s="960"/>
      <c r="I226" s="52">
        <f t="shared" si="49"/>
        <v>1</v>
      </c>
      <c r="J226" s="960"/>
      <c r="K226" s="52">
        <f t="shared" si="50"/>
        <v>1</v>
      </c>
      <c r="L226" s="960"/>
      <c r="M226" s="52">
        <f t="shared" si="51"/>
        <v>1</v>
      </c>
      <c r="N226" s="960"/>
      <c r="O226" s="52">
        <f t="shared" si="52"/>
        <v>1</v>
      </c>
      <c r="P226" s="960"/>
      <c r="Q226" s="52">
        <f t="shared" si="53"/>
        <v>1</v>
      </c>
      <c r="R226" s="488">
        <f t="shared" si="54"/>
        <v>0</v>
      </c>
      <c r="S226" s="796">
        <f t="shared" si="55"/>
        <v>0</v>
      </c>
    </row>
    <row r="227" spans="1:19">
      <c r="A227" s="962"/>
      <c r="B227" s="135"/>
      <c r="C227" s="52">
        <f t="shared" si="46"/>
        <v>1</v>
      </c>
      <c r="D227" s="960"/>
      <c r="E227" s="52">
        <f t="shared" si="47"/>
        <v>1</v>
      </c>
      <c r="F227" s="960"/>
      <c r="G227" s="52">
        <f t="shared" si="48"/>
        <v>1</v>
      </c>
      <c r="H227" s="960"/>
      <c r="I227" s="52">
        <f t="shared" si="49"/>
        <v>1</v>
      </c>
      <c r="J227" s="960"/>
      <c r="K227" s="52">
        <f t="shared" si="50"/>
        <v>1</v>
      </c>
      <c r="L227" s="960"/>
      <c r="M227" s="52">
        <f t="shared" si="51"/>
        <v>1</v>
      </c>
      <c r="N227" s="960"/>
      <c r="O227" s="52">
        <f t="shared" si="52"/>
        <v>1</v>
      </c>
      <c r="P227" s="960"/>
      <c r="Q227" s="52">
        <f t="shared" si="53"/>
        <v>1</v>
      </c>
      <c r="R227" s="488">
        <f t="shared" si="54"/>
        <v>0</v>
      </c>
      <c r="S227" s="796">
        <f t="shared" si="55"/>
        <v>0</v>
      </c>
    </row>
    <row r="228" spans="1:19">
      <c r="A228" s="962"/>
      <c r="B228" s="135"/>
      <c r="C228" s="52">
        <f t="shared" si="46"/>
        <v>1</v>
      </c>
      <c r="D228" s="960"/>
      <c r="E228" s="52">
        <f t="shared" si="47"/>
        <v>1</v>
      </c>
      <c r="F228" s="960"/>
      <c r="G228" s="52">
        <f t="shared" si="48"/>
        <v>1</v>
      </c>
      <c r="H228" s="960"/>
      <c r="I228" s="52">
        <f t="shared" si="49"/>
        <v>1</v>
      </c>
      <c r="J228" s="960"/>
      <c r="K228" s="52">
        <f t="shared" si="50"/>
        <v>1</v>
      </c>
      <c r="L228" s="960"/>
      <c r="M228" s="52">
        <f t="shared" si="51"/>
        <v>1</v>
      </c>
      <c r="N228" s="960"/>
      <c r="O228" s="52">
        <f t="shared" si="52"/>
        <v>1</v>
      </c>
      <c r="P228" s="960"/>
      <c r="Q228" s="52">
        <f t="shared" si="53"/>
        <v>1</v>
      </c>
      <c r="R228" s="488">
        <f t="shared" si="54"/>
        <v>0</v>
      </c>
      <c r="S228" s="796">
        <f t="shared" si="55"/>
        <v>0</v>
      </c>
    </row>
    <row r="229" spans="1:19">
      <c r="A229" s="962"/>
      <c r="B229" s="135"/>
      <c r="C229" s="52">
        <f t="shared" si="46"/>
        <v>1</v>
      </c>
      <c r="D229" s="960"/>
      <c r="E229" s="52">
        <f t="shared" si="47"/>
        <v>1</v>
      </c>
      <c r="F229" s="960"/>
      <c r="G229" s="52">
        <f t="shared" si="48"/>
        <v>1</v>
      </c>
      <c r="H229" s="960"/>
      <c r="I229" s="52">
        <f t="shared" si="49"/>
        <v>1</v>
      </c>
      <c r="J229" s="960"/>
      <c r="K229" s="52">
        <f t="shared" si="50"/>
        <v>1</v>
      </c>
      <c r="L229" s="960"/>
      <c r="M229" s="52">
        <f t="shared" si="51"/>
        <v>1</v>
      </c>
      <c r="N229" s="960"/>
      <c r="O229" s="52">
        <f t="shared" si="52"/>
        <v>1</v>
      </c>
      <c r="P229" s="960"/>
      <c r="Q229" s="52">
        <f t="shared" si="53"/>
        <v>1</v>
      </c>
      <c r="R229" s="488">
        <f t="shared" si="54"/>
        <v>0</v>
      </c>
      <c r="S229" s="796">
        <f t="shared" si="55"/>
        <v>0</v>
      </c>
    </row>
    <row r="230" spans="1:19">
      <c r="A230" s="962"/>
      <c r="B230" s="135"/>
      <c r="C230" s="52">
        <f t="shared" si="46"/>
        <v>1</v>
      </c>
      <c r="D230" s="960"/>
      <c r="E230" s="52">
        <f t="shared" si="47"/>
        <v>1</v>
      </c>
      <c r="F230" s="960"/>
      <c r="G230" s="52">
        <f t="shared" si="48"/>
        <v>1</v>
      </c>
      <c r="H230" s="960"/>
      <c r="I230" s="52">
        <f t="shared" si="49"/>
        <v>1</v>
      </c>
      <c r="J230" s="960"/>
      <c r="K230" s="52">
        <f t="shared" si="50"/>
        <v>1</v>
      </c>
      <c r="L230" s="960"/>
      <c r="M230" s="52">
        <f t="shared" si="51"/>
        <v>1</v>
      </c>
      <c r="N230" s="960"/>
      <c r="O230" s="52">
        <f t="shared" si="52"/>
        <v>1</v>
      </c>
      <c r="P230" s="960"/>
      <c r="Q230" s="52">
        <f t="shared" si="53"/>
        <v>1</v>
      </c>
      <c r="R230" s="488">
        <f t="shared" si="54"/>
        <v>0</v>
      </c>
      <c r="S230" s="796">
        <f t="shared" si="55"/>
        <v>0</v>
      </c>
    </row>
    <row r="231" spans="1:19">
      <c r="A231" s="962"/>
      <c r="B231" s="135"/>
      <c r="C231" s="52">
        <f t="shared" si="46"/>
        <v>1</v>
      </c>
      <c r="D231" s="960"/>
      <c r="E231" s="52">
        <f t="shared" si="47"/>
        <v>1</v>
      </c>
      <c r="F231" s="960"/>
      <c r="G231" s="52">
        <f t="shared" si="48"/>
        <v>1</v>
      </c>
      <c r="H231" s="960"/>
      <c r="I231" s="52">
        <f t="shared" si="49"/>
        <v>1</v>
      </c>
      <c r="J231" s="960"/>
      <c r="K231" s="52">
        <f t="shared" si="50"/>
        <v>1</v>
      </c>
      <c r="L231" s="960"/>
      <c r="M231" s="52">
        <f t="shared" si="51"/>
        <v>1</v>
      </c>
      <c r="N231" s="960"/>
      <c r="O231" s="52">
        <f t="shared" si="52"/>
        <v>1</v>
      </c>
      <c r="P231" s="960"/>
      <c r="Q231" s="52">
        <f t="shared" si="53"/>
        <v>1</v>
      </c>
      <c r="R231" s="488">
        <f t="shared" si="54"/>
        <v>0</v>
      </c>
      <c r="S231" s="796">
        <f t="shared" si="55"/>
        <v>0</v>
      </c>
    </row>
    <row r="232" spans="1:19">
      <c r="A232" s="962"/>
      <c r="B232" s="135"/>
      <c r="C232" s="52">
        <f t="shared" si="46"/>
        <v>1</v>
      </c>
      <c r="D232" s="960"/>
      <c r="E232" s="52">
        <f t="shared" si="47"/>
        <v>1</v>
      </c>
      <c r="F232" s="960"/>
      <c r="G232" s="52">
        <f t="shared" si="48"/>
        <v>1</v>
      </c>
      <c r="H232" s="960"/>
      <c r="I232" s="52">
        <f t="shared" si="49"/>
        <v>1</v>
      </c>
      <c r="J232" s="960"/>
      <c r="K232" s="52">
        <f t="shared" si="50"/>
        <v>1</v>
      </c>
      <c r="L232" s="960"/>
      <c r="M232" s="52">
        <f t="shared" si="51"/>
        <v>1</v>
      </c>
      <c r="N232" s="960"/>
      <c r="O232" s="52">
        <f t="shared" si="52"/>
        <v>1</v>
      </c>
      <c r="P232" s="960"/>
      <c r="Q232" s="52">
        <f t="shared" si="53"/>
        <v>1</v>
      </c>
      <c r="R232" s="488">
        <f t="shared" si="54"/>
        <v>0</v>
      </c>
      <c r="S232" s="796">
        <f t="shared" si="55"/>
        <v>0</v>
      </c>
    </row>
    <row r="233" spans="1:19">
      <c r="A233" s="962"/>
      <c r="B233" s="135"/>
      <c r="C233" s="52">
        <f t="shared" si="46"/>
        <v>1</v>
      </c>
      <c r="D233" s="960"/>
      <c r="E233" s="52">
        <f t="shared" si="47"/>
        <v>1</v>
      </c>
      <c r="F233" s="960"/>
      <c r="G233" s="52">
        <f t="shared" si="48"/>
        <v>1</v>
      </c>
      <c r="H233" s="960"/>
      <c r="I233" s="52">
        <f t="shared" si="49"/>
        <v>1</v>
      </c>
      <c r="J233" s="960"/>
      <c r="K233" s="52">
        <f t="shared" si="50"/>
        <v>1</v>
      </c>
      <c r="L233" s="960"/>
      <c r="M233" s="52">
        <f t="shared" si="51"/>
        <v>1</v>
      </c>
      <c r="N233" s="960"/>
      <c r="O233" s="52">
        <f t="shared" si="52"/>
        <v>1</v>
      </c>
      <c r="P233" s="960"/>
      <c r="Q233" s="52">
        <f t="shared" si="53"/>
        <v>1</v>
      </c>
      <c r="R233" s="488">
        <f t="shared" si="54"/>
        <v>0</v>
      </c>
      <c r="S233" s="796">
        <f t="shared" si="55"/>
        <v>0</v>
      </c>
    </row>
    <row r="234" spans="1:19">
      <c r="A234" s="962"/>
      <c r="B234" s="135"/>
      <c r="C234" s="52">
        <f t="shared" si="46"/>
        <v>1</v>
      </c>
      <c r="D234" s="960"/>
      <c r="E234" s="52">
        <f t="shared" si="47"/>
        <v>1</v>
      </c>
      <c r="F234" s="960"/>
      <c r="G234" s="52">
        <f t="shared" si="48"/>
        <v>1</v>
      </c>
      <c r="H234" s="960"/>
      <c r="I234" s="52">
        <f t="shared" si="49"/>
        <v>1</v>
      </c>
      <c r="J234" s="960"/>
      <c r="K234" s="52">
        <f t="shared" si="50"/>
        <v>1</v>
      </c>
      <c r="L234" s="960"/>
      <c r="M234" s="52">
        <f t="shared" si="51"/>
        <v>1</v>
      </c>
      <c r="N234" s="960"/>
      <c r="O234" s="52">
        <f t="shared" si="52"/>
        <v>1</v>
      </c>
      <c r="P234" s="960"/>
      <c r="Q234" s="52">
        <f t="shared" si="53"/>
        <v>1</v>
      </c>
      <c r="R234" s="488">
        <f t="shared" si="54"/>
        <v>0</v>
      </c>
      <c r="S234" s="796">
        <f t="shared" si="55"/>
        <v>0</v>
      </c>
    </row>
    <row r="235" spans="1:19">
      <c r="A235" s="962"/>
      <c r="B235" s="135"/>
      <c r="C235" s="52">
        <f t="shared" si="46"/>
        <v>1</v>
      </c>
      <c r="D235" s="960"/>
      <c r="E235" s="52">
        <f t="shared" si="47"/>
        <v>1</v>
      </c>
      <c r="F235" s="960"/>
      <c r="G235" s="52">
        <f t="shared" si="48"/>
        <v>1</v>
      </c>
      <c r="H235" s="960"/>
      <c r="I235" s="52">
        <f t="shared" si="49"/>
        <v>1</v>
      </c>
      <c r="J235" s="960"/>
      <c r="K235" s="52">
        <f t="shared" si="50"/>
        <v>1</v>
      </c>
      <c r="L235" s="960"/>
      <c r="M235" s="52">
        <f t="shared" si="51"/>
        <v>1</v>
      </c>
      <c r="N235" s="960"/>
      <c r="O235" s="52">
        <f t="shared" si="52"/>
        <v>1</v>
      </c>
      <c r="P235" s="960"/>
      <c r="Q235" s="52">
        <f t="shared" si="53"/>
        <v>1</v>
      </c>
      <c r="R235" s="488">
        <f t="shared" si="54"/>
        <v>0</v>
      </c>
      <c r="S235" s="796">
        <f t="shared" si="55"/>
        <v>0</v>
      </c>
    </row>
    <row r="236" spans="1:19">
      <c r="A236" s="962"/>
      <c r="B236" s="135"/>
      <c r="C236" s="52">
        <f t="shared" si="46"/>
        <v>1</v>
      </c>
      <c r="D236" s="960"/>
      <c r="E236" s="52">
        <f t="shared" si="47"/>
        <v>1</v>
      </c>
      <c r="F236" s="960"/>
      <c r="G236" s="52">
        <f t="shared" si="48"/>
        <v>1</v>
      </c>
      <c r="H236" s="960"/>
      <c r="I236" s="52">
        <f t="shared" si="49"/>
        <v>1</v>
      </c>
      <c r="J236" s="960"/>
      <c r="K236" s="52">
        <f t="shared" si="50"/>
        <v>1</v>
      </c>
      <c r="L236" s="960"/>
      <c r="M236" s="52">
        <f t="shared" si="51"/>
        <v>1</v>
      </c>
      <c r="N236" s="960"/>
      <c r="O236" s="52">
        <f t="shared" si="52"/>
        <v>1</v>
      </c>
      <c r="P236" s="960"/>
      <c r="Q236" s="52">
        <f t="shared" si="53"/>
        <v>1</v>
      </c>
      <c r="R236" s="488">
        <f t="shared" si="54"/>
        <v>0</v>
      </c>
      <c r="S236" s="796">
        <f t="shared" si="55"/>
        <v>0</v>
      </c>
    </row>
    <row r="237" spans="1:19">
      <c r="A237" s="962"/>
      <c r="B237" s="135"/>
      <c r="C237" s="52">
        <f t="shared" si="46"/>
        <v>1</v>
      </c>
      <c r="D237" s="960"/>
      <c r="E237" s="52">
        <f t="shared" si="47"/>
        <v>1</v>
      </c>
      <c r="F237" s="960"/>
      <c r="G237" s="52">
        <f t="shared" si="48"/>
        <v>1</v>
      </c>
      <c r="H237" s="960"/>
      <c r="I237" s="52">
        <f t="shared" si="49"/>
        <v>1</v>
      </c>
      <c r="J237" s="960"/>
      <c r="K237" s="52">
        <f t="shared" si="50"/>
        <v>1</v>
      </c>
      <c r="L237" s="960"/>
      <c r="M237" s="52">
        <f t="shared" si="51"/>
        <v>1</v>
      </c>
      <c r="N237" s="960"/>
      <c r="O237" s="52">
        <f t="shared" si="52"/>
        <v>1</v>
      </c>
      <c r="P237" s="960"/>
      <c r="Q237" s="52">
        <f t="shared" si="53"/>
        <v>1</v>
      </c>
      <c r="R237" s="488">
        <f t="shared" si="54"/>
        <v>0</v>
      </c>
      <c r="S237" s="796">
        <f t="shared" si="55"/>
        <v>0</v>
      </c>
    </row>
    <row r="238" spans="1:19">
      <c r="A238" s="962"/>
      <c r="B238" s="135"/>
      <c r="C238" s="52">
        <f t="shared" si="46"/>
        <v>1</v>
      </c>
      <c r="D238" s="960"/>
      <c r="E238" s="52">
        <f t="shared" si="47"/>
        <v>1</v>
      </c>
      <c r="F238" s="960"/>
      <c r="G238" s="52">
        <f t="shared" si="48"/>
        <v>1</v>
      </c>
      <c r="H238" s="960"/>
      <c r="I238" s="52">
        <f t="shared" si="49"/>
        <v>1</v>
      </c>
      <c r="J238" s="960"/>
      <c r="K238" s="52">
        <f t="shared" si="50"/>
        <v>1</v>
      </c>
      <c r="L238" s="960"/>
      <c r="M238" s="52">
        <f t="shared" si="51"/>
        <v>1</v>
      </c>
      <c r="N238" s="960"/>
      <c r="O238" s="52">
        <f t="shared" si="52"/>
        <v>1</v>
      </c>
      <c r="P238" s="960"/>
      <c r="Q238" s="52">
        <f t="shared" si="53"/>
        <v>1</v>
      </c>
      <c r="R238" s="488">
        <f t="shared" si="54"/>
        <v>0</v>
      </c>
      <c r="S238" s="796">
        <f t="shared" si="55"/>
        <v>0</v>
      </c>
    </row>
    <row r="239" spans="1:19">
      <c r="A239" s="962"/>
      <c r="B239" s="135"/>
      <c r="C239" s="52">
        <f t="shared" si="46"/>
        <v>1</v>
      </c>
      <c r="D239" s="960"/>
      <c r="E239" s="52">
        <f t="shared" si="47"/>
        <v>1</v>
      </c>
      <c r="F239" s="960"/>
      <c r="G239" s="52">
        <f t="shared" si="48"/>
        <v>1</v>
      </c>
      <c r="H239" s="960"/>
      <c r="I239" s="52">
        <f t="shared" si="49"/>
        <v>1</v>
      </c>
      <c r="J239" s="960"/>
      <c r="K239" s="52">
        <f t="shared" si="50"/>
        <v>1</v>
      </c>
      <c r="L239" s="960"/>
      <c r="M239" s="52">
        <f t="shared" si="51"/>
        <v>1</v>
      </c>
      <c r="N239" s="960"/>
      <c r="O239" s="52">
        <f t="shared" si="52"/>
        <v>1</v>
      </c>
      <c r="P239" s="960"/>
      <c r="Q239" s="52">
        <f t="shared" si="53"/>
        <v>1</v>
      </c>
      <c r="R239" s="488">
        <f t="shared" si="54"/>
        <v>0</v>
      </c>
      <c r="S239" s="796">
        <f t="shared" si="55"/>
        <v>0</v>
      </c>
    </row>
    <row r="240" spans="1:19">
      <c r="A240" s="962"/>
      <c r="B240" s="135"/>
      <c r="C240" s="52">
        <f t="shared" si="46"/>
        <v>1</v>
      </c>
      <c r="D240" s="960"/>
      <c r="E240" s="52">
        <f t="shared" si="47"/>
        <v>1</v>
      </c>
      <c r="F240" s="960"/>
      <c r="G240" s="52">
        <f t="shared" si="48"/>
        <v>1</v>
      </c>
      <c r="H240" s="960"/>
      <c r="I240" s="52">
        <f t="shared" si="49"/>
        <v>1</v>
      </c>
      <c r="J240" s="960"/>
      <c r="K240" s="52">
        <f t="shared" si="50"/>
        <v>1</v>
      </c>
      <c r="L240" s="960"/>
      <c r="M240" s="52">
        <f t="shared" si="51"/>
        <v>1</v>
      </c>
      <c r="N240" s="960"/>
      <c r="O240" s="52">
        <f t="shared" si="52"/>
        <v>1</v>
      </c>
      <c r="P240" s="960"/>
      <c r="Q240" s="52">
        <f t="shared" si="53"/>
        <v>1</v>
      </c>
      <c r="R240" s="488">
        <f t="shared" si="54"/>
        <v>0</v>
      </c>
      <c r="S240" s="796">
        <f t="shared" si="55"/>
        <v>0</v>
      </c>
    </row>
    <row r="241" spans="1:19">
      <c r="A241" s="962"/>
      <c r="B241" s="135"/>
      <c r="C241" s="52">
        <f t="shared" si="46"/>
        <v>1</v>
      </c>
      <c r="D241" s="960"/>
      <c r="E241" s="52">
        <f t="shared" si="47"/>
        <v>1</v>
      </c>
      <c r="F241" s="960"/>
      <c r="G241" s="52">
        <f t="shared" si="48"/>
        <v>1</v>
      </c>
      <c r="H241" s="960"/>
      <c r="I241" s="52">
        <f t="shared" si="49"/>
        <v>1</v>
      </c>
      <c r="J241" s="960"/>
      <c r="K241" s="52">
        <f t="shared" si="50"/>
        <v>1</v>
      </c>
      <c r="L241" s="960"/>
      <c r="M241" s="52">
        <f t="shared" si="51"/>
        <v>1</v>
      </c>
      <c r="N241" s="960"/>
      <c r="O241" s="52">
        <f t="shared" si="52"/>
        <v>1</v>
      </c>
      <c r="P241" s="960"/>
      <c r="Q241" s="52">
        <f t="shared" si="53"/>
        <v>1</v>
      </c>
      <c r="R241" s="488">
        <f t="shared" si="54"/>
        <v>0</v>
      </c>
      <c r="S241" s="796">
        <f t="shared" si="55"/>
        <v>0</v>
      </c>
    </row>
    <row r="242" spans="1:19">
      <c r="A242" s="962"/>
      <c r="B242" s="135"/>
      <c r="C242" s="52">
        <f t="shared" si="46"/>
        <v>1</v>
      </c>
      <c r="D242" s="960"/>
      <c r="E242" s="52">
        <f t="shared" si="47"/>
        <v>1</v>
      </c>
      <c r="F242" s="960"/>
      <c r="G242" s="52">
        <f t="shared" si="48"/>
        <v>1</v>
      </c>
      <c r="H242" s="960"/>
      <c r="I242" s="52">
        <f t="shared" si="49"/>
        <v>1</v>
      </c>
      <c r="J242" s="960"/>
      <c r="K242" s="52">
        <f t="shared" si="50"/>
        <v>1</v>
      </c>
      <c r="L242" s="960"/>
      <c r="M242" s="52">
        <f t="shared" si="51"/>
        <v>1</v>
      </c>
      <c r="N242" s="960"/>
      <c r="O242" s="52">
        <f t="shared" si="52"/>
        <v>1</v>
      </c>
      <c r="P242" s="960"/>
      <c r="Q242" s="52">
        <f t="shared" si="53"/>
        <v>1</v>
      </c>
      <c r="R242" s="488">
        <f t="shared" si="54"/>
        <v>0</v>
      </c>
      <c r="S242" s="796">
        <f t="shared" si="55"/>
        <v>0</v>
      </c>
    </row>
    <row r="243" spans="1:19">
      <c r="A243" s="962"/>
      <c r="B243" s="135"/>
      <c r="C243" s="52">
        <f t="shared" si="46"/>
        <v>1</v>
      </c>
      <c r="D243" s="960"/>
      <c r="E243" s="52">
        <f t="shared" si="47"/>
        <v>1</v>
      </c>
      <c r="F243" s="960"/>
      <c r="G243" s="52">
        <f t="shared" si="48"/>
        <v>1</v>
      </c>
      <c r="H243" s="960"/>
      <c r="I243" s="52">
        <f t="shared" si="49"/>
        <v>1</v>
      </c>
      <c r="J243" s="960"/>
      <c r="K243" s="52">
        <f t="shared" si="50"/>
        <v>1</v>
      </c>
      <c r="L243" s="960"/>
      <c r="M243" s="52">
        <f t="shared" si="51"/>
        <v>1</v>
      </c>
      <c r="N243" s="960"/>
      <c r="O243" s="52">
        <f t="shared" si="52"/>
        <v>1</v>
      </c>
      <c r="P243" s="960"/>
      <c r="Q243" s="52">
        <f t="shared" si="53"/>
        <v>1</v>
      </c>
      <c r="R243" s="488">
        <f t="shared" si="54"/>
        <v>0</v>
      </c>
      <c r="S243" s="796">
        <f t="shared" si="55"/>
        <v>0</v>
      </c>
    </row>
    <row r="244" spans="1:19">
      <c r="A244" s="962"/>
      <c r="B244" s="135"/>
      <c r="C244" s="52">
        <f t="shared" si="46"/>
        <v>1</v>
      </c>
      <c r="D244" s="960"/>
      <c r="E244" s="52">
        <f t="shared" si="47"/>
        <v>1</v>
      </c>
      <c r="F244" s="960"/>
      <c r="G244" s="52">
        <f t="shared" si="48"/>
        <v>1</v>
      </c>
      <c r="H244" s="960"/>
      <c r="I244" s="52">
        <f t="shared" si="49"/>
        <v>1</v>
      </c>
      <c r="J244" s="960"/>
      <c r="K244" s="52">
        <f t="shared" si="50"/>
        <v>1</v>
      </c>
      <c r="L244" s="960"/>
      <c r="M244" s="52">
        <f t="shared" si="51"/>
        <v>1</v>
      </c>
      <c r="N244" s="960"/>
      <c r="O244" s="52">
        <f t="shared" si="52"/>
        <v>1</v>
      </c>
      <c r="P244" s="960"/>
      <c r="Q244" s="52">
        <f t="shared" si="53"/>
        <v>1</v>
      </c>
      <c r="R244" s="488">
        <f t="shared" si="54"/>
        <v>0</v>
      </c>
      <c r="S244" s="796">
        <f t="shared" si="55"/>
        <v>0</v>
      </c>
    </row>
    <row r="245" spans="1:19">
      <c r="A245" s="962"/>
      <c r="B245" s="135"/>
      <c r="C245" s="52">
        <f t="shared" si="46"/>
        <v>1</v>
      </c>
      <c r="D245" s="960"/>
      <c r="E245" s="52">
        <f t="shared" si="47"/>
        <v>1</v>
      </c>
      <c r="F245" s="960"/>
      <c r="G245" s="52">
        <f t="shared" si="48"/>
        <v>1</v>
      </c>
      <c r="H245" s="960"/>
      <c r="I245" s="52">
        <f t="shared" si="49"/>
        <v>1</v>
      </c>
      <c r="J245" s="960"/>
      <c r="K245" s="52">
        <f t="shared" si="50"/>
        <v>1</v>
      </c>
      <c r="L245" s="960"/>
      <c r="M245" s="52">
        <f t="shared" si="51"/>
        <v>1</v>
      </c>
      <c r="N245" s="960"/>
      <c r="O245" s="52">
        <f t="shared" si="52"/>
        <v>1</v>
      </c>
      <c r="P245" s="960"/>
      <c r="Q245" s="52">
        <f t="shared" si="53"/>
        <v>1</v>
      </c>
      <c r="R245" s="488">
        <f t="shared" si="54"/>
        <v>0</v>
      </c>
      <c r="S245" s="796">
        <f t="shared" si="55"/>
        <v>0</v>
      </c>
    </row>
    <row r="246" spans="1:19">
      <c r="A246" s="962"/>
      <c r="B246" s="135"/>
      <c r="C246" s="52">
        <f t="shared" si="46"/>
        <v>1</v>
      </c>
      <c r="D246" s="960"/>
      <c r="E246" s="52">
        <f t="shared" si="47"/>
        <v>1</v>
      </c>
      <c r="F246" s="960"/>
      <c r="G246" s="52">
        <f t="shared" si="48"/>
        <v>1</v>
      </c>
      <c r="H246" s="960"/>
      <c r="I246" s="52">
        <f t="shared" si="49"/>
        <v>1</v>
      </c>
      <c r="J246" s="960"/>
      <c r="K246" s="52">
        <f t="shared" si="50"/>
        <v>1</v>
      </c>
      <c r="L246" s="960"/>
      <c r="M246" s="52">
        <f t="shared" si="51"/>
        <v>1</v>
      </c>
      <c r="N246" s="960"/>
      <c r="O246" s="52">
        <f t="shared" si="52"/>
        <v>1</v>
      </c>
      <c r="P246" s="960"/>
      <c r="Q246" s="52">
        <f t="shared" si="53"/>
        <v>1</v>
      </c>
      <c r="R246" s="488">
        <f t="shared" si="54"/>
        <v>0</v>
      </c>
      <c r="S246" s="796">
        <f t="shared" si="55"/>
        <v>0</v>
      </c>
    </row>
    <row r="247" spans="1:19">
      <c r="A247" s="962"/>
      <c r="B247" s="135"/>
      <c r="C247" s="52">
        <f t="shared" si="46"/>
        <v>1</v>
      </c>
      <c r="D247" s="960"/>
      <c r="E247" s="52">
        <f t="shared" si="47"/>
        <v>1</v>
      </c>
      <c r="F247" s="960"/>
      <c r="G247" s="52">
        <f t="shared" si="48"/>
        <v>1</v>
      </c>
      <c r="H247" s="960"/>
      <c r="I247" s="52">
        <f t="shared" si="49"/>
        <v>1</v>
      </c>
      <c r="J247" s="960"/>
      <c r="K247" s="52">
        <f t="shared" si="50"/>
        <v>1</v>
      </c>
      <c r="L247" s="960"/>
      <c r="M247" s="52">
        <f t="shared" si="51"/>
        <v>1</v>
      </c>
      <c r="N247" s="960"/>
      <c r="O247" s="52">
        <f t="shared" si="52"/>
        <v>1</v>
      </c>
      <c r="P247" s="960"/>
      <c r="Q247" s="52">
        <f t="shared" si="53"/>
        <v>1</v>
      </c>
      <c r="R247" s="488">
        <f t="shared" si="54"/>
        <v>0</v>
      </c>
      <c r="S247" s="796">
        <f t="shared" si="55"/>
        <v>0</v>
      </c>
    </row>
    <row r="248" spans="1:19">
      <c r="A248" s="962"/>
      <c r="B248" s="135"/>
      <c r="C248" s="52">
        <f t="shared" si="46"/>
        <v>1</v>
      </c>
      <c r="D248" s="960"/>
      <c r="E248" s="52">
        <f t="shared" si="47"/>
        <v>1</v>
      </c>
      <c r="F248" s="960"/>
      <c r="G248" s="52">
        <f t="shared" si="48"/>
        <v>1</v>
      </c>
      <c r="H248" s="960"/>
      <c r="I248" s="52">
        <f t="shared" si="49"/>
        <v>1</v>
      </c>
      <c r="J248" s="960"/>
      <c r="K248" s="52">
        <f t="shared" si="50"/>
        <v>1</v>
      </c>
      <c r="L248" s="960"/>
      <c r="M248" s="52">
        <f t="shared" si="51"/>
        <v>1</v>
      </c>
      <c r="N248" s="960"/>
      <c r="O248" s="52">
        <f t="shared" si="52"/>
        <v>1</v>
      </c>
      <c r="P248" s="960"/>
      <c r="Q248" s="52">
        <f t="shared" si="53"/>
        <v>1</v>
      </c>
      <c r="R248" s="488">
        <f t="shared" si="54"/>
        <v>0</v>
      </c>
      <c r="S248" s="796">
        <f t="shared" si="55"/>
        <v>0</v>
      </c>
    </row>
    <row r="249" spans="1:19">
      <c r="A249" s="962"/>
      <c r="B249" s="135"/>
      <c r="C249" s="52">
        <f t="shared" si="46"/>
        <v>1</v>
      </c>
      <c r="D249" s="960"/>
      <c r="E249" s="52">
        <f t="shared" si="47"/>
        <v>1</v>
      </c>
      <c r="F249" s="960"/>
      <c r="G249" s="52">
        <f t="shared" si="48"/>
        <v>1</v>
      </c>
      <c r="H249" s="960"/>
      <c r="I249" s="52">
        <f t="shared" si="49"/>
        <v>1</v>
      </c>
      <c r="J249" s="960"/>
      <c r="K249" s="52">
        <f t="shared" si="50"/>
        <v>1</v>
      </c>
      <c r="L249" s="960"/>
      <c r="M249" s="52">
        <f t="shared" si="51"/>
        <v>1</v>
      </c>
      <c r="N249" s="960"/>
      <c r="O249" s="52">
        <f t="shared" si="52"/>
        <v>1</v>
      </c>
      <c r="P249" s="960"/>
      <c r="Q249" s="52">
        <f t="shared" si="53"/>
        <v>1</v>
      </c>
      <c r="R249" s="488">
        <f t="shared" si="54"/>
        <v>0</v>
      </c>
      <c r="S249" s="796">
        <f t="shared" si="55"/>
        <v>0</v>
      </c>
    </row>
    <row r="250" spans="1:19">
      <c r="A250" s="962"/>
      <c r="B250" s="135"/>
      <c r="C250" s="52">
        <f t="shared" si="46"/>
        <v>1</v>
      </c>
      <c r="D250" s="960"/>
      <c r="E250" s="52">
        <f t="shared" si="47"/>
        <v>1</v>
      </c>
      <c r="F250" s="960"/>
      <c r="G250" s="52">
        <f t="shared" si="48"/>
        <v>1</v>
      </c>
      <c r="H250" s="960"/>
      <c r="I250" s="52">
        <f t="shared" si="49"/>
        <v>1</v>
      </c>
      <c r="J250" s="960"/>
      <c r="K250" s="52">
        <f t="shared" si="50"/>
        <v>1</v>
      </c>
      <c r="L250" s="960"/>
      <c r="M250" s="52">
        <f t="shared" si="51"/>
        <v>1</v>
      </c>
      <c r="N250" s="960"/>
      <c r="O250" s="52">
        <f t="shared" si="52"/>
        <v>1</v>
      </c>
      <c r="P250" s="960"/>
      <c r="Q250" s="52">
        <f t="shared" si="53"/>
        <v>1</v>
      </c>
      <c r="R250" s="488">
        <f t="shared" si="54"/>
        <v>0</v>
      </c>
      <c r="S250" s="796">
        <f t="shared" si="55"/>
        <v>0</v>
      </c>
    </row>
    <row r="251" spans="1:19">
      <c r="A251" s="962"/>
      <c r="B251" s="135"/>
      <c r="C251" s="52">
        <f t="shared" si="46"/>
        <v>1</v>
      </c>
      <c r="D251" s="960"/>
      <c r="E251" s="52">
        <f t="shared" si="47"/>
        <v>1</v>
      </c>
      <c r="F251" s="960"/>
      <c r="G251" s="52">
        <f t="shared" si="48"/>
        <v>1</v>
      </c>
      <c r="H251" s="960"/>
      <c r="I251" s="52">
        <f t="shared" si="49"/>
        <v>1</v>
      </c>
      <c r="J251" s="960"/>
      <c r="K251" s="52">
        <f t="shared" si="50"/>
        <v>1</v>
      </c>
      <c r="L251" s="960"/>
      <c r="M251" s="52">
        <f t="shared" si="51"/>
        <v>1</v>
      </c>
      <c r="N251" s="960"/>
      <c r="O251" s="52">
        <f t="shared" si="52"/>
        <v>1</v>
      </c>
      <c r="P251" s="960"/>
      <c r="Q251" s="52">
        <f t="shared" si="53"/>
        <v>1</v>
      </c>
      <c r="R251" s="488">
        <f t="shared" si="54"/>
        <v>0</v>
      </c>
      <c r="S251" s="796">
        <f t="shared" si="55"/>
        <v>0</v>
      </c>
    </row>
    <row r="252" spans="1:19">
      <c r="A252" s="962"/>
      <c r="B252" s="135"/>
      <c r="C252" s="52">
        <f t="shared" si="46"/>
        <v>1</v>
      </c>
      <c r="D252" s="960"/>
      <c r="E252" s="52">
        <f t="shared" si="47"/>
        <v>1</v>
      </c>
      <c r="F252" s="960"/>
      <c r="G252" s="52">
        <f t="shared" si="48"/>
        <v>1</v>
      </c>
      <c r="H252" s="960"/>
      <c r="I252" s="52">
        <f t="shared" si="49"/>
        <v>1</v>
      </c>
      <c r="J252" s="960"/>
      <c r="K252" s="52">
        <f t="shared" si="50"/>
        <v>1</v>
      </c>
      <c r="L252" s="960"/>
      <c r="M252" s="52">
        <f t="shared" si="51"/>
        <v>1</v>
      </c>
      <c r="N252" s="960"/>
      <c r="O252" s="52">
        <f t="shared" si="52"/>
        <v>1</v>
      </c>
      <c r="P252" s="960"/>
      <c r="Q252" s="52">
        <f t="shared" si="53"/>
        <v>1</v>
      </c>
      <c r="R252" s="488">
        <f t="shared" si="54"/>
        <v>0</v>
      </c>
      <c r="S252" s="796">
        <f t="shared" si="55"/>
        <v>0</v>
      </c>
    </row>
    <row r="253" spans="1:19">
      <c r="A253" s="962"/>
      <c r="B253" s="135"/>
      <c r="C253" s="52">
        <f t="shared" si="46"/>
        <v>1</v>
      </c>
      <c r="D253" s="960"/>
      <c r="E253" s="52">
        <f t="shared" si="47"/>
        <v>1</v>
      </c>
      <c r="F253" s="960"/>
      <c r="G253" s="52">
        <f t="shared" si="48"/>
        <v>1</v>
      </c>
      <c r="H253" s="960"/>
      <c r="I253" s="52">
        <f t="shared" si="49"/>
        <v>1</v>
      </c>
      <c r="J253" s="960"/>
      <c r="K253" s="52">
        <f t="shared" si="50"/>
        <v>1</v>
      </c>
      <c r="L253" s="960"/>
      <c r="M253" s="52">
        <f t="shared" si="51"/>
        <v>1</v>
      </c>
      <c r="N253" s="960"/>
      <c r="O253" s="52">
        <f t="shared" si="52"/>
        <v>1</v>
      </c>
      <c r="P253" s="960"/>
      <c r="Q253" s="52">
        <f t="shared" si="53"/>
        <v>1</v>
      </c>
      <c r="R253" s="488">
        <f t="shared" si="54"/>
        <v>0</v>
      </c>
      <c r="S253" s="796">
        <f t="shared" si="55"/>
        <v>0</v>
      </c>
    </row>
    <row r="254" spans="1:19">
      <c r="A254" s="962"/>
      <c r="B254" s="135"/>
      <c r="C254" s="52">
        <f t="shared" si="46"/>
        <v>1</v>
      </c>
      <c r="D254" s="960"/>
      <c r="E254" s="52">
        <f t="shared" si="47"/>
        <v>1</v>
      </c>
      <c r="F254" s="960"/>
      <c r="G254" s="52">
        <f t="shared" si="48"/>
        <v>1</v>
      </c>
      <c r="H254" s="960"/>
      <c r="I254" s="52">
        <f t="shared" si="49"/>
        <v>1</v>
      </c>
      <c r="J254" s="960"/>
      <c r="K254" s="52">
        <f t="shared" si="50"/>
        <v>1</v>
      </c>
      <c r="L254" s="960"/>
      <c r="M254" s="52">
        <f t="shared" si="51"/>
        <v>1</v>
      </c>
      <c r="N254" s="960"/>
      <c r="O254" s="52">
        <f t="shared" si="52"/>
        <v>1</v>
      </c>
      <c r="P254" s="960"/>
      <c r="Q254" s="52">
        <f t="shared" si="53"/>
        <v>1</v>
      </c>
      <c r="R254" s="488">
        <f t="shared" si="54"/>
        <v>0</v>
      </c>
      <c r="S254" s="796">
        <f t="shared" si="55"/>
        <v>0</v>
      </c>
    </row>
    <row r="255" spans="1:19">
      <c r="A255" s="962"/>
      <c r="B255" s="135"/>
      <c r="C255" s="52">
        <f t="shared" si="46"/>
        <v>1</v>
      </c>
      <c r="D255" s="960"/>
      <c r="E255" s="52">
        <f t="shared" si="47"/>
        <v>1</v>
      </c>
      <c r="F255" s="960"/>
      <c r="G255" s="52">
        <f t="shared" si="48"/>
        <v>1</v>
      </c>
      <c r="H255" s="960"/>
      <c r="I255" s="52">
        <f t="shared" si="49"/>
        <v>1</v>
      </c>
      <c r="J255" s="960"/>
      <c r="K255" s="52">
        <f t="shared" si="50"/>
        <v>1</v>
      </c>
      <c r="L255" s="960"/>
      <c r="M255" s="52">
        <f t="shared" si="51"/>
        <v>1</v>
      </c>
      <c r="N255" s="960"/>
      <c r="O255" s="52">
        <f t="shared" si="52"/>
        <v>1</v>
      </c>
      <c r="P255" s="960"/>
      <c r="Q255" s="52">
        <f t="shared" si="53"/>
        <v>1</v>
      </c>
      <c r="R255" s="488">
        <f t="shared" si="54"/>
        <v>0</v>
      </c>
      <c r="S255" s="796">
        <f t="shared" si="55"/>
        <v>0</v>
      </c>
    </row>
    <row r="256" spans="1:19">
      <c r="A256" s="962"/>
      <c r="B256" s="135"/>
      <c r="C256" s="52">
        <f t="shared" si="46"/>
        <v>1</v>
      </c>
      <c r="D256" s="960"/>
      <c r="E256" s="52">
        <f t="shared" si="47"/>
        <v>1</v>
      </c>
      <c r="F256" s="960"/>
      <c r="G256" s="52">
        <f t="shared" si="48"/>
        <v>1</v>
      </c>
      <c r="H256" s="960"/>
      <c r="I256" s="52">
        <f t="shared" si="49"/>
        <v>1</v>
      </c>
      <c r="J256" s="960"/>
      <c r="K256" s="52">
        <f t="shared" si="50"/>
        <v>1</v>
      </c>
      <c r="L256" s="960"/>
      <c r="M256" s="52">
        <f t="shared" si="51"/>
        <v>1</v>
      </c>
      <c r="N256" s="960"/>
      <c r="O256" s="52">
        <f t="shared" si="52"/>
        <v>1</v>
      </c>
      <c r="P256" s="960"/>
      <c r="Q256" s="52">
        <f t="shared" si="53"/>
        <v>1</v>
      </c>
      <c r="R256" s="488">
        <f t="shared" si="54"/>
        <v>0</v>
      </c>
      <c r="S256" s="796">
        <f t="shared" si="55"/>
        <v>0</v>
      </c>
    </row>
    <row r="257" spans="1:19">
      <c r="A257" s="962"/>
      <c r="B257" s="135"/>
      <c r="C257" s="52">
        <f t="shared" si="46"/>
        <v>1</v>
      </c>
      <c r="D257" s="960"/>
      <c r="E257" s="52">
        <f t="shared" si="47"/>
        <v>1</v>
      </c>
      <c r="F257" s="960"/>
      <c r="G257" s="52">
        <f t="shared" si="48"/>
        <v>1</v>
      </c>
      <c r="H257" s="960"/>
      <c r="I257" s="52">
        <f t="shared" si="49"/>
        <v>1</v>
      </c>
      <c r="J257" s="960"/>
      <c r="K257" s="52">
        <f t="shared" si="50"/>
        <v>1</v>
      </c>
      <c r="L257" s="960"/>
      <c r="M257" s="52">
        <f t="shared" si="51"/>
        <v>1</v>
      </c>
      <c r="N257" s="960"/>
      <c r="O257" s="52">
        <f t="shared" si="52"/>
        <v>1</v>
      </c>
      <c r="P257" s="960"/>
      <c r="Q257" s="52">
        <f t="shared" si="53"/>
        <v>1</v>
      </c>
      <c r="R257" s="488">
        <f t="shared" si="54"/>
        <v>0</v>
      </c>
      <c r="S257" s="796">
        <f t="shared" si="55"/>
        <v>0</v>
      </c>
    </row>
    <row r="258" spans="1:19">
      <c r="A258" s="962"/>
      <c r="B258" s="135"/>
      <c r="C258" s="52">
        <f t="shared" si="46"/>
        <v>1</v>
      </c>
      <c r="D258" s="960"/>
      <c r="E258" s="52">
        <f t="shared" si="47"/>
        <v>1</v>
      </c>
      <c r="F258" s="960"/>
      <c r="G258" s="52">
        <f t="shared" si="48"/>
        <v>1</v>
      </c>
      <c r="H258" s="960"/>
      <c r="I258" s="52">
        <f t="shared" si="49"/>
        <v>1</v>
      </c>
      <c r="J258" s="960"/>
      <c r="K258" s="52">
        <f t="shared" si="50"/>
        <v>1</v>
      </c>
      <c r="L258" s="960"/>
      <c r="M258" s="52">
        <f t="shared" si="51"/>
        <v>1</v>
      </c>
      <c r="N258" s="960"/>
      <c r="O258" s="52">
        <f t="shared" si="52"/>
        <v>1</v>
      </c>
      <c r="P258" s="960"/>
      <c r="Q258" s="52">
        <f t="shared" si="53"/>
        <v>1</v>
      </c>
      <c r="R258" s="488">
        <f t="shared" si="54"/>
        <v>0</v>
      </c>
      <c r="S258" s="796">
        <f t="shared" si="55"/>
        <v>0</v>
      </c>
    </row>
    <row r="259" spans="1:19">
      <c r="A259" s="962"/>
      <c r="B259" s="135"/>
      <c r="C259" s="52">
        <f t="shared" si="46"/>
        <v>1</v>
      </c>
      <c r="D259" s="960"/>
      <c r="E259" s="52">
        <f t="shared" si="47"/>
        <v>1</v>
      </c>
      <c r="F259" s="960"/>
      <c r="G259" s="52">
        <f t="shared" si="48"/>
        <v>1</v>
      </c>
      <c r="H259" s="960"/>
      <c r="I259" s="52">
        <f t="shared" si="49"/>
        <v>1</v>
      </c>
      <c r="J259" s="960"/>
      <c r="K259" s="52">
        <f t="shared" si="50"/>
        <v>1</v>
      </c>
      <c r="L259" s="960"/>
      <c r="M259" s="52">
        <f t="shared" si="51"/>
        <v>1</v>
      </c>
      <c r="N259" s="960"/>
      <c r="O259" s="52">
        <f t="shared" si="52"/>
        <v>1</v>
      </c>
      <c r="P259" s="960"/>
      <c r="Q259" s="52">
        <f t="shared" si="53"/>
        <v>1</v>
      </c>
      <c r="R259" s="488">
        <f t="shared" si="54"/>
        <v>0</v>
      </c>
      <c r="S259" s="796">
        <f t="shared" si="55"/>
        <v>0</v>
      </c>
    </row>
    <row r="260" spans="1:19">
      <c r="A260" s="962"/>
      <c r="B260" s="135"/>
      <c r="C260" s="52">
        <f t="shared" si="46"/>
        <v>1</v>
      </c>
      <c r="D260" s="960"/>
      <c r="E260" s="52">
        <f t="shared" si="47"/>
        <v>1</v>
      </c>
      <c r="F260" s="960"/>
      <c r="G260" s="52">
        <f t="shared" si="48"/>
        <v>1</v>
      </c>
      <c r="H260" s="960"/>
      <c r="I260" s="52">
        <f t="shared" si="49"/>
        <v>1</v>
      </c>
      <c r="J260" s="960"/>
      <c r="K260" s="52">
        <f t="shared" si="50"/>
        <v>1</v>
      </c>
      <c r="L260" s="960"/>
      <c r="M260" s="52">
        <f t="shared" si="51"/>
        <v>1</v>
      </c>
      <c r="N260" s="960"/>
      <c r="O260" s="52">
        <f t="shared" si="52"/>
        <v>1</v>
      </c>
      <c r="P260" s="960"/>
      <c r="Q260" s="52">
        <f t="shared" si="53"/>
        <v>1</v>
      </c>
      <c r="R260" s="488">
        <f t="shared" si="54"/>
        <v>0</v>
      </c>
      <c r="S260" s="796">
        <f t="shared" si="55"/>
        <v>0</v>
      </c>
    </row>
    <row r="261" spans="1:19">
      <c r="A261" s="962"/>
      <c r="B261" s="135"/>
      <c r="C261" s="52">
        <f t="shared" si="46"/>
        <v>1</v>
      </c>
      <c r="D261" s="960"/>
      <c r="E261" s="52">
        <f t="shared" si="47"/>
        <v>1</v>
      </c>
      <c r="F261" s="960"/>
      <c r="G261" s="52">
        <f t="shared" si="48"/>
        <v>1</v>
      </c>
      <c r="H261" s="960"/>
      <c r="I261" s="52">
        <f t="shared" si="49"/>
        <v>1</v>
      </c>
      <c r="J261" s="960"/>
      <c r="K261" s="52">
        <f t="shared" si="50"/>
        <v>1</v>
      </c>
      <c r="L261" s="960"/>
      <c r="M261" s="52">
        <f t="shared" si="51"/>
        <v>1</v>
      </c>
      <c r="N261" s="960"/>
      <c r="O261" s="52">
        <f t="shared" si="52"/>
        <v>1</v>
      </c>
      <c r="P261" s="960"/>
      <c r="Q261" s="52">
        <f t="shared" si="53"/>
        <v>1</v>
      </c>
      <c r="R261" s="488">
        <f t="shared" si="54"/>
        <v>0</v>
      </c>
      <c r="S261" s="796">
        <f t="shared" si="55"/>
        <v>0</v>
      </c>
    </row>
    <row r="262" spans="1:19">
      <c r="A262" s="962"/>
      <c r="B262" s="135"/>
      <c r="C262" s="52">
        <f t="shared" si="46"/>
        <v>1</v>
      </c>
      <c r="D262" s="960"/>
      <c r="E262" s="52">
        <f t="shared" si="47"/>
        <v>1</v>
      </c>
      <c r="F262" s="960"/>
      <c r="G262" s="52">
        <f t="shared" si="48"/>
        <v>1</v>
      </c>
      <c r="H262" s="960"/>
      <c r="I262" s="52">
        <f t="shared" si="49"/>
        <v>1</v>
      </c>
      <c r="J262" s="960"/>
      <c r="K262" s="52">
        <f t="shared" si="50"/>
        <v>1</v>
      </c>
      <c r="L262" s="960"/>
      <c r="M262" s="52">
        <f t="shared" si="51"/>
        <v>1</v>
      </c>
      <c r="N262" s="960"/>
      <c r="O262" s="52">
        <f t="shared" si="52"/>
        <v>1</v>
      </c>
      <c r="P262" s="960"/>
      <c r="Q262" s="52">
        <f t="shared" si="53"/>
        <v>1</v>
      </c>
      <c r="R262" s="488">
        <f t="shared" si="54"/>
        <v>0</v>
      </c>
      <c r="S262" s="796">
        <f t="shared" si="55"/>
        <v>0</v>
      </c>
    </row>
    <row r="263" spans="1:19">
      <c r="A263" s="962"/>
      <c r="B263" s="135"/>
      <c r="C263" s="52">
        <f t="shared" si="46"/>
        <v>1</v>
      </c>
      <c r="D263" s="960"/>
      <c r="E263" s="52">
        <f t="shared" si="47"/>
        <v>1</v>
      </c>
      <c r="F263" s="960"/>
      <c r="G263" s="52">
        <f t="shared" si="48"/>
        <v>1</v>
      </c>
      <c r="H263" s="960"/>
      <c r="I263" s="52">
        <f t="shared" si="49"/>
        <v>1</v>
      </c>
      <c r="J263" s="960"/>
      <c r="K263" s="52">
        <f t="shared" si="50"/>
        <v>1</v>
      </c>
      <c r="L263" s="960"/>
      <c r="M263" s="52">
        <f t="shared" si="51"/>
        <v>1</v>
      </c>
      <c r="N263" s="960"/>
      <c r="O263" s="52">
        <f t="shared" si="52"/>
        <v>1</v>
      </c>
      <c r="P263" s="960"/>
      <c r="Q263" s="52">
        <f t="shared" si="53"/>
        <v>1</v>
      </c>
      <c r="R263" s="488">
        <f t="shared" si="54"/>
        <v>0</v>
      </c>
      <c r="S263" s="796">
        <f t="shared" si="55"/>
        <v>0</v>
      </c>
    </row>
    <row r="264" spans="1:19">
      <c r="A264" s="962"/>
      <c r="B264" s="135"/>
      <c r="C264" s="52">
        <f t="shared" si="46"/>
        <v>1</v>
      </c>
      <c r="D264" s="960"/>
      <c r="E264" s="52">
        <f t="shared" si="47"/>
        <v>1</v>
      </c>
      <c r="F264" s="960"/>
      <c r="G264" s="52">
        <f t="shared" si="48"/>
        <v>1</v>
      </c>
      <c r="H264" s="960"/>
      <c r="I264" s="52">
        <f t="shared" si="49"/>
        <v>1</v>
      </c>
      <c r="J264" s="960"/>
      <c r="K264" s="52">
        <f t="shared" si="50"/>
        <v>1</v>
      </c>
      <c r="L264" s="960"/>
      <c r="M264" s="52">
        <f t="shared" si="51"/>
        <v>1</v>
      </c>
      <c r="N264" s="960"/>
      <c r="O264" s="52">
        <f t="shared" si="52"/>
        <v>1</v>
      </c>
      <c r="P264" s="960"/>
      <c r="Q264" s="52">
        <f t="shared" si="53"/>
        <v>1</v>
      </c>
      <c r="R264" s="488">
        <f t="shared" si="54"/>
        <v>0</v>
      </c>
      <c r="S264" s="796">
        <f t="shared" si="55"/>
        <v>0</v>
      </c>
    </row>
    <row r="265" spans="1:19">
      <c r="A265" s="962"/>
      <c r="B265" s="135"/>
      <c r="C265" s="52">
        <f t="shared" si="46"/>
        <v>1</v>
      </c>
      <c r="D265" s="960"/>
      <c r="E265" s="52">
        <f t="shared" si="47"/>
        <v>1</v>
      </c>
      <c r="F265" s="960"/>
      <c r="G265" s="52">
        <f t="shared" si="48"/>
        <v>1</v>
      </c>
      <c r="H265" s="960"/>
      <c r="I265" s="52">
        <f t="shared" si="49"/>
        <v>1</v>
      </c>
      <c r="J265" s="960"/>
      <c r="K265" s="52">
        <f t="shared" si="50"/>
        <v>1</v>
      </c>
      <c r="L265" s="960"/>
      <c r="M265" s="52">
        <f t="shared" si="51"/>
        <v>1</v>
      </c>
      <c r="N265" s="960"/>
      <c r="O265" s="52">
        <f t="shared" si="52"/>
        <v>1</v>
      </c>
      <c r="P265" s="960"/>
      <c r="Q265" s="52">
        <f t="shared" si="53"/>
        <v>1</v>
      </c>
      <c r="R265" s="488">
        <f t="shared" si="54"/>
        <v>0</v>
      </c>
      <c r="S265" s="796">
        <f t="shared" si="55"/>
        <v>0</v>
      </c>
    </row>
    <row r="266" spans="1:19">
      <c r="A266" s="962"/>
      <c r="B266" s="135"/>
      <c r="C266" s="52">
        <f t="shared" si="46"/>
        <v>1</v>
      </c>
      <c r="D266" s="960"/>
      <c r="E266" s="52">
        <f t="shared" si="47"/>
        <v>1</v>
      </c>
      <c r="F266" s="960"/>
      <c r="G266" s="52">
        <f t="shared" si="48"/>
        <v>1</v>
      </c>
      <c r="H266" s="960"/>
      <c r="I266" s="52">
        <f t="shared" si="49"/>
        <v>1</v>
      </c>
      <c r="J266" s="960"/>
      <c r="K266" s="52">
        <f t="shared" si="50"/>
        <v>1</v>
      </c>
      <c r="L266" s="960"/>
      <c r="M266" s="52">
        <f t="shared" si="51"/>
        <v>1</v>
      </c>
      <c r="N266" s="960"/>
      <c r="O266" s="52">
        <f t="shared" si="52"/>
        <v>1</v>
      </c>
      <c r="P266" s="960"/>
      <c r="Q266" s="52">
        <f t="shared" si="53"/>
        <v>1</v>
      </c>
      <c r="R266" s="488">
        <f t="shared" si="54"/>
        <v>0</v>
      </c>
      <c r="S266" s="796">
        <f t="shared" si="55"/>
        <v>0</v>
      </c>
    </row>
    <row r="267" spans="1:19">
      <c r="A267" s="962"/>
      <c r="B267" s="135"/>
      <c r="C267" s="52">
        <f t="shared" si="46"/>
        <v>1</v>
      </c>
      <c r="D267" s="960"/>
      <c r="E267" s="52">
        <f t="shared" si="47"/>
        <v>1</v>
      </c>
      <c r="F267" s="960"/>
      <c r="G267" s="52">
        <f t="shared" si="48"/>
        <v>1</v>
      </c>
      <c r="H267" s="960"/>
      <c r="I267" s="52">
        <f t="shared" si="49"/>
        <v>1</v>
      </c>
      <c r="J267" s="960"/>
      <c r="K267" s="52">
        <f t="shared" si="50"/>
        <v>1</v>
      </c>
      <c r="L267" s="960"/>
      <c r="M267" s="52">
        <f t="shared" si="51"/>
        <v>1</v>
      </c>
      <c r="N267" s="960"/>
      <c r="O267" s="52">
        <f t="shared" si="52"/>
        <v>1</v>
      </c>
      <c r="P267" s="960"/>
      <c r="Q267" s="52">
        <f t="shared" si="53"/>
        <v>1</v>
      </c>
      <c r="R267" s="488">
        <f t="shared" si="54"/>
        <v>0</v>
      </c>
      <c r="S267" s="796">
        <f t="shared" si="55"/>
        <v>0</v>
      </c>
    </row>
    <row r="268" spans="1:19">
      <c r="A268" s="962"/>
      <c r="B268" s="135"/>
      <c r="C268" s="52">
        <f t="shared" si="46"/>
        <v>1</v>
      </c>
      <c r="D268" s="960"/>
      <c r="E268" s="52">
        <f t="shared" si="47"/>
        <v>1</v>
      </c>
      <c r="F268" s="960"/>
      <c r="G268" s="52">
        <f t="shared" si="48"/>
        <v>1</v>
      </c>
      <c r="H268" s="960"/>
      <c r="I268" s="52">
        <f t="shared" si="49"/>
        <v>1</v>
      </c>
      <c r="J268" s="960"/>
      <c r="K268" s="52">
        <f t="shared" si="50"/>
        <v>1</v>
      </c>
      <c r="L268" s="960"/>
      <c r="M268" s="52">
        <f t="shared" si="51"/>
        <v>1</v>
      </c>
      <c r="N268" s="960"/>
      <c r="O268" s="52">
        <f t="shared" si="52"/>
        <v>1</v>
      </c>
      <c r="P268" s="960"/>
      <c r="Q268" s="52">
        <f t="shared" si="53"/>
        <v>1</v>
      </c>
      <c r="R268" s="488">
        <f t="shared" si="54"/>
        <v>0</v>
      </c>
      <c r="S268" s="796">
        <f t="shared" si="55"/>
        <v>0</v>
      </c>
    </row>
    <row r="269" spans="1:19">
      <c r="A269" s="962"/>
      <c r="B269" s="135"/>
      <c r="C269" s="52">
        <f t="shared" si="46"/>
        <v>1</v>
      </c>
      <c r="D269" s="960"/>
      <c r="E269" s="52">
        <f t="shared" si="47"/>
        <v>1</v>
      </c>
      <c r="F269" s="960"/>
      <c r="G269" s="52">
        <f t="shared" si="48"/>
        <v>1</v>
      </c>
      <c r="H269" s="960"/>
      <c r="I269" s="52">
        <f t="shared" si="49"/>
        <v>1</v>
      </c>
      <c r="J269" s="960"/>
      <c r="K269" s="52">
        <f t="shared" si="50"/>
        <v>1</v>
      </c>
      <c r="L269" s="960"/>
      <c r="M269" s="52">
        <f t="shared" si="51"/>
        <v>1</v>
      </c>
      <c r="N269" s="960"/>
      <c r="O269" s="52">
        <f t="shared" si="52"/>
        <v>1</v>
      </c>
      <c r="P269" s="960"/>
      <c r="Q269" s="52">
        <f t="shared" si="53"/>
        <v>1</v>
      </c>
      <c r="R269" s="488">
        <f t="shared" si="54"/>
        <v>0</v>
      </c>
      <c r="S269" s="796">
        <f t="shared" si="55"/>
        <v>0</v>
      </c>
    </row>
    <row r="270" spans="1:19">
      <c r="A270" s="962"/>
      <c r="B270" s="135"/>
      <c r="C270" s="52">
        <f t="shared" si="46"/>
        <v>1</v>
      </c>
      <c r="D270" s="960"/>
      <c r="E270" s="52">
        <f t="shared" si="47"/>
        <v>1</v>
      </c>
      <c r="F270" s="960"/>
      <c r="G270" s="52">
        <f t="shared" si="48"/>
        <v>1</v>
      </c>
      <c r="H270" s="960"/>
      <c r="I270" s="52">
        <f t="shared" si="49"/>
        <v>1</v>
      </c>
      <c r="J270" s="960"/>
      <c r="K270" s="52">
        <f t="shared" si="50"/>
        <v>1</v>
      </c>
      <c r="L270" s="960"/>
      <c r="M270" s="52">
        <f t="shared" si="51"/>
        <v>1</v>
      </c>
      <c r="N270" s="960"/>
      <c r="O270" s="52">
        <f t="shared" si="52"/>
        <v>1</v>
      </c>
      <c r="P270" s="960"/>
      <c r="Q270" s="52">
        <f t="shared" si="53"/>
        <v>1</v>
      </c>
      <c r="R270" s="488">
        <f t="shared" si="54"/>
        <v>0</v>
      </c>
      <c r="S270" s="796">
        <f t="shared" si="55"/>
        <v>0</v>
      </c>
    </row>
    <row r="271" spans="1:19">
      <c r="A271" s="962"/>
      <c r="B271" s="135"/>
      <c r="C271" s="52">
        <f t="shared" si="46"/>
        <v>1</v>
      </c>
      <c r="D271" s="960"/>
      <c r="E271" s="52">
        <f t="shared" si="47"/>
        <v>1</v>
      </c>
      <c r="F271" s="960"/>
      <c r="G271" s="52">
        <f t="shared" si="48"/>
        <v>1</v>
      </c>
      <c r="H271" s="960"/>
      <c r="I271" s="52">
        <f t="shared" si="49"/>
        <v>1</v>
      </c>
      <c r="J271" s="960"/>
      <c r="K271" s="52">
        <f t="shared" si="50"/>
        <v>1</v>
      </c>
      <c r="L271" s="960"/>
      <c r="M271" s="52">
        <f t="shared" si="51"/>
        <v>1</v>
      </c>
      <c r="N271" s="960"/>
      <c r="O271" s="52">
        <f t="shared" si="52"/>
        <v>1</v>
      </c>
      <c r="P271" s="960"/>
      <c r="Q271" s="52">
        <f t="shared" si="53"/>
        <v>1</v>
      </c>
      <c r="R271" s="488">
        <f t="shared" si="54"/>
        <v>0</v>
      </c>
      <c r="S271" s="796">
        <f t="shared" si="55"/>
        <v>0</v>
      </c>
    </row>
    <row r="272" spans="1:19">
      <c r="A272" s="962"/>
      <c r="B272" s="135"/>
      <c r="C272" s="52">
        <f t="shared" si="46"/>
        <v>1</v>
      </c>
      <c r="D272" s="960"/>
      <c r="E272" s="52">
        <f t="shared" si="47"/>
        <v>1</v>
      </c>
      <c r="F272" s="960"/>
      <c r="G272" s="52">
        <f t="shared" si="48"/>
        <v>1</v>
      </c>
      <c r="H272" s="960"/>
      <c r="I272" s="52">
        <f t="shared" si="49"/>
        <v>1</v>
      </c>
      <c r="J272" s="960"/>
      <c r="K272" s="52">
        <f t="shared" si="50"/>
        <v>1</v>
      </c>
      <c r="L272" s="960"/>
      <c r="M272" s="52">
        <f t="shared" si="51"/>
        <v>1</v>
      </c>
      <c r="N272" s="960"/>
      <c r="O272" s="52">
        <f t="shared" si="52"/>
        <v>1</v>
      </c>
      <c r="P272" s="960"/>
      <c r="Q272" s="52">
        <f t="shared" si="53"/>
        <v>1</v>
      </c>
      <c r="R272" s="488">
        <f t="shared" si="54"/>
        <v>0</v>
      </c>
      <c r="S272" s="796">
        <f t="shared" si="55"/>
        <v>0</v>
      </c>
    </row>
    <row r="273" spans="1:19">
      <c r="A273" s="962"/>
      <c r="B273" s="135"/>
      <c r="C273" s="52">
        <f t="shared" si="46"/>
        <v>1</v>
      </c>
      <c r="D273" s="960"/>
      <c r="E273" s="52">
        <f t="shared" si="47"/>
        <v>1</v>
      </c>
      <c r="F273" s="960"/>
      <c r="G273" s="52">
        <f t="shared" si="48"/>
        <v>1</v>
      </c>
      <c r="H273" s="960"/>
      <c r="I273" s="52">
        <f t="shared" si="49"/>
        <v>1</v>
      </c>
      <c r="J273" s="960"/>
      <c r="K273" s="52">
        <f t="shared" si="50"/>
        <v>1</v>
      </c>
      <c r="L273" s="960"/>
      <c r="M273" s="52">
        <f t="shared" si="51"/>
        <v>1</v>
      </c>
      <c r="N273" s="960"/>
      <c r="O273" s="52">
        <f t="shared" si="52"/>
        <v>1</v>
      </c>
      <c r="P273" s="960"/>
      <c r="Q273" s="52">
        <f t="shared" si="53"/>
        <v>1</v>
      </c>
      <c r="R273" s="488">
        <f t="shared" si="54"/>
        <v>0</v>
      </c>
      <c r="S273" s="796">
        <f t="shared" si="55"/>
        <v>0</v>
      </c>
    </row>
    <row r="274" spans="1:19">
      <c r="A274" s="962"/>
      <c r="B274" s="135"/>
      <c r="C274" s="52">
        <f t="shared" si="46"/>
        <v>1</v>
      </c>
      <c r="D274" s="960"/>
      <c r="E274" s="52">
        <f t="shared" si="47"/>
        <v>1</v>
      </c>
      <c r="F274" s="960"/>
      <c r="G274" s="52">
        <f t="shared" si="48"/>
        <v>1</v>
      </c>
      <c r="H274" s="960"/>
      <c r="I274" s="52">
        <f t="shared" si="49"/>
        <v>1</v>
      </c>
      <c r="J274" s="960"/>
      <c r="K274" s="52">
        <f t="shared" si="50"/>
        <v>1</v>
      </c>
      <c r="L274" s="960"/>
      <c r="M274" s="52">
        <f t="shared" si="51"/>
        <v>1</v>
      </c>
      <c r="N274" s="960"/>
      <c r="O274" s="52">
        <f t="shared" si="52"/>
        <v>1</v>
      </c>
      <c r="P274" s="960"/>
      <c r="Q274" s="52">
        <f t="shared" si="53"/>
        <v>1</v>
      </c>
      <c r="R274" s="488">
        <f t="shared" si="54"/>
        <v>0</v>
      </c>
      <c r="S274" s="796">
        <f t="shared" si="55"/>
        <v>0</v>
      </c>
    </row>
    <row r="275" spans="1:19">
      <c r="A275" s="962"/>
      <c r="B275" s="135"/>
      <c r="C275" s="52">
        <f t="shared" si="46"/>
        <v>1</v>
      </c>
      <c r="D275" s="960"/>
      <c r="E275" s="52">
        <f t="shared" si="47"/>
        <v>1</v>
      </c>
      <c r="F275" s="960"/>
      <c r="G275" s="52">
        <f t="shared" si="48"/>
        <v>1</v>
      </c>
      <c r="H275" s="960"/>
      <c r="I275" s="52">
        <f t="shared" si="49"/>
        <v>1</v>
      </c>
      <c r="J275" s="960"/>
      <c r="K275" s="52">
        <f t="shared" si="50"/>
        <v>1</v>
      </c>
      <c r="L275" s="960"/>
      <c r="M275" s="52">
        <f t="shared" si="51"/>
        <v>1</v>
      </c>
      <c r="N275" s="960"/>
      <c r="O275" s="52">
        <f t="shared" si="52"/>
        <v>1</v>
      </c>
      <c r="P275" s="960"/>
      <c r="Q275" s="52">
        <f t="shared" si="53"/>
        <v>1</v>
      </c>
      <c r="R275" s="488">
        <f t="shared" si="54"/>
        <v>0</v>
      </c>
      <c r="S275" s="796">
        <f t="shared" si="55"/>
        <v>0</v>
      </c>
    </row>
    <row r="276" spans="1:19">
      <c r="A276" s="962"/>
      <c r="B276" s="135"/>
      <c r="C276" s="52">
        <f t="shared" si="46"/>
        <v>1</v>
      </c>
      <c r="D276" s="960"/>
      <c r="E276" s="52">
        <f t="shared" si="47"/>
        <v>1</v>
      </c>
      <c r="F276" s="960"/>
      <c r="G276" s="52">
        <f t="shared" si="48"/>
        <v>1</v>
      </c>
      <c r="H276" s="960"/>
      <c r="I276" s="52">
        <f t="shared" si="49"/>
        <v>1</v>
      </c>
      <c r="J276" s="960"/>
      <c r="K276" s="52">
        <f t="shared" si="50"/>
        <v>1</v>
      </c>
      <c r="L276" s="960"/>
      <c r="M276" s="52">
        <f t="shared" si="51"/>
        <v>1</v>
      </c>
      <c r="N276" s="960"/>
      <c r="O276" s="52">
        <f t="shared" si="52"/>
        <v>1</v>
      </c>
      <c r="P276" s="960"/>
      <c r="Q276" s="52">
        <f t="shared" si="53"/>
        <v>1</v>
      </c>
      <c r="R276" s="488">
        <f t="shared" si="54"/>
        <v>0</v>
      </c>
      <c r="S276" s="796">
        <f t="shared" si="55"/>
        <v>0</v>
      </c>
    </row>
    <row r="277" spans="1:19">
      <c r="A277" s="962"/>
      <c r="B277" s="135"/>
      <c r="C277" s="52">
        <f t="shared" si="46"/>
        <v>1</v>
      </c>
      <c r="D277" s="960"/>
      <c r="E277" s="52">
        <f t="shared" si="47"/>
        <v>1</v>
      </c>
      <c r="F277" s="960"/>
      <c r="G277" s="52">
        <f t="shared" si="48"/>
        <v>1</v>
      </c>
      <c r="H277" s="960"/>
      <c r="I277" s="52">
        <f t="shared" si="49"/>
        <v>1</v>
      </c>
      <c r="J277" s="960"/>
      <c r="K277" s="52">
        <f t="shared" si="50"/>
        <v>1</v>
      </c>
      <c r="L277" s="960"/>
      <c r="M277" s="52">
        <f t="shared" si="51"/>
        <v>1</v>
      </c>
      <c r="N277" s="960"/>
      <c r="O277" s="52">
        <f t="shared" si="52"/>
        <v>1</v>
      </c>
      <c r="P277" s="960"/>
      <c r="Q277" s="52">
        <f t="shared" si="53"/>
        <v>1</v>
      </c>
      <c r="R277" s="488">
        <f t="shared" si="54"/>
        <v>0</v>
      </c>
      <c r="S277" s="796">
        <f t="shared" si="55"/>
        <v>0</v>
      </c>
    </row>
    <row r="278" spans="1:19">
      <c r="A278" s="962"/>
      <c r="B278" s="135"/>
      <c r="C278" s="52">
        <f t="shared" si="46"/>
        <v>1</v>
      </c>
      <c r="D278" s="960"/>
      <c r="E278" s="52">
        <f t="shared" si="47"/>
        <v>1</v>
      </c>
      <c r="F278" s="960"/>
      <c r="G278" s="52">
        <f t="shared" si="48"/>
        <v>1</v>
      </c>
      <c r="H278" s="960"/>
      <c r="I278" s="52">
        <f t="shared" si="49"/>
        <v>1</v>
      </c>
      <c r="J278" s="960"/>
      <c r="K278" s="52">
        <f t="shared" si="50"/>
        <v>1</v>
      </c>
      <c r="L278" s="960"/>
      <c r="M278" s="52">
        <f t="shared" si="51"/>
        <v>1</v>
      </c>
      <c r="N278" s="960"/>
      <c r="O278" s="52">
        <f t="shared" si="52"/>
        <v>1</v>
      </c>
      <c r="P278" s="960"/>
      <c r="Q278" s="52">
        <f t="shared" si="53"/>
        <v>1</v>
      </c>
      <c r="R278" s="488">
        <f t="shared" si="54"/>
        <v>0</v>
      </c>
      <c r="S278" s="796">
        <f t="shared" si="55"/>
        <v>0</v>
      </c>
    </row>
    <row r="279" spans="1:19">
      <c r="A279" s="962"/>
      <c r="B279" s="135"/>
      <c r="C279" s="52">
        <f t="shared" si="46"/>
        <v>1</v>
      </c>
      <c r="D279" s="960"/>
      <c r="E279" s="52">
        <f t="shared" si="47"/>
        <v>1</v>
      </c>
      <c r="F279" s="960"/>
      <c r="G279" s="52">
        <f t="shared" si="48"/>
        <v>1</v>
      </c>
      <c r="H279" s="960"/>
      <c r="I279" s="52">
        <f t="shared" si="49"/>
        <v>1</v>
      </c>
      <c r="J279" s="960"/>
      <c r="K279" s="52">
        <f t="shared" si="50"/>
        <v>1</v>
      </c>
      <c r="L279" s="960"/>
      <c r="M279" s="52">
        <f t="shared" si="51"/>
        <v>1</v>
      </c>
      <c r="N279" s="960"/>
      <c r="O279" s="52">
        <f t="shared" si="52"/>
        <v>1</v>
      </c>
      <c r="P279" s="960"/>
      <c r="Q279" s="52">
        <f t="shared" si="53"/>
        <v>1</v>
      </c>
      <c r="R279" s="488">
        <f t="shared" si="54"/>
        <v>0</v>
      </c>
      <c r="S279" s="796">
        <f t="shared" si="55"/>
        <v>0</v>
      </c>
    </row>
    <row r="280" spans="1:19">
      <c r="A280" s="962"/>
      <c r="B280" s="135"/>
      <c r="C280" s="52">
        <f t="shared" si="46"/>
        <v>1</v>
      </c>
      <c r="D280" s="960"/>
      <c r="E280" s="52">
        <f t="shared" si="47"/>
        <v>1</v>
      </c>
      <c r="F280" s="960"/>
      <c r="G280" s="52">
        <f t="shared" si="48"/>
        <v>1</v>
      </c>
      <c r="H280" s="960"/>
      <c r="I280" s="52">
        <f t="shared" si="49"/>
        <v>1</v>
      </c>
      <c r="J280" s="960"/>
      <c r="K280" s="52">
        <f t="shared" si="50"/>
        <v>1</v>
      </c>
      <c r="L280" s="960"/>
      <c r="M280" s="52">
        <f t="shared" si="51"/>
        <v>1</v>
      </c>
      <c r="N280" s="960"/>
      <c r="O280" s="52">
        <f t="shared" si="52"/>
        <v>1</v>
      </c>
      <c r="P280" s="960"/>
      <c r="Q280" s="52">
        <f t="shared" si="53"/>
        <v>1</v>
      </c>
      <c r="R280" s="488">
        <f t="shared" si="54"/>
        <v>0</v>
      </c>
      <c r="S280" s="796">
        <f t="shared" si="55"/>
        <v>0</v>
      </c>
    </row>
    <row r="281" spans="1:19">
      <c r="A281" s="962"/>
      <c r="B281" s="135"/>
      <c r="C281" s="52">
        <f t="shared" si="46"/>
        <v>1</v>
      </c>
      <c r="D281" s="960"/>
      <c r="E281" s="52">
        <f t="shared" si="47"/>
        <v>1</v>
      </c>
      <c r="F281" s="960"/>
      <c r="G281" s="52">
        <f t="shared" si="48"/>
        <v>1</v>
      </c>
      <c r="H281" s="960"/>
      <c r="I281" s="52">
        <f t="shared" si="49"/>
        <v>1</v>
      </c>
      <c r="J281" s="960"/>
      <c r="K281" s="52">
        <f t="shared" si="50"/>
        <v>1</v>
      </c>
      <c r="L281" s="960"/>
      <c r="M281" s="52">
        <f t="shared" si="51"/>
        <v>1</v>
      </c>
      <c r="N281" s="960"/>
      <c r="O281" s="52">
        <f t="shared" si="52"/>
        <v>1</v>
      </c>
      <c r="P281" s="960"/>
      <c r="Q281" s="52">
        <f t="shared" si="53"/>
        <v>1</v>
      </c>
      <c r="R281" s="488">
        <f t="shared" si="54"/>
        <v>0</v>
      </c>
      <c r="S281" s="796">
        <f t="shared" si="55"/>
        <v>0</v>
      </c>
    </row>
    <row r="282" spans="1:19">
      <c r="A282" s="962"/>
      <c r="B282" s="135"/>
      <c r="C282" s="52">
        <f t="shared" ref="C282:C345" si="56">IF(B282="",1,(LOOKUP(B282,$3:$3,$4:$4)-LOOKUP($B$24,$3:$3,$4:$4)+100)/100)</f>
        <v>1</v>
      </c>
      <c r="D282" s="960"/>
      <c r="E282" s="52">
        <f t="shared" ref="E282:E345" si="57">(SUMIF($5:$5,D282,$6:$6)-SUMIF($5:$5,$D$24,$6:$6)+100)/100</f>
        <v>1</v>
      </c>
      <c r="F282" s="960"/>
      <c r="G282" s="52">
        <f t="shared" ref="G282:G345" si="58">(SUMIF($7:$7,F282,$8:$8)-SUMIF($7:$7,$F$24,$8:$8)+100)/100</f>
        <v>1</v>
      </c>
      <c r="H282" s="960"/>
      <c r="I282" s="52">
        <f t="shared" ref="I282:I345" si="59">(SUMIF($9:$9,H282,$10:$10)-SUMIF($9:$9,$H$24,$10:$10)+100)/100</f>
        <v>1</v>
      </c>
      <c r="J282" s="960"/>
      <c r="K282" s="52">
        <f t="shared" ref="K282:K345" si="60">(SUMIF($11:$11,J282,$12:$12)-SUMIF($11:$11,$J$24,$12:$12)+100)/100</f>
        <v>1</v>
      </c>
      <c r="L282" s="960"/>
      <c r="M282" s="52">
        <f t="shared" ref="M282:M345" si="61">(SUMIF($13:$13,L282,$14:$14)-SUMIF($13:$13,$L$24,$14:$14)+100)/100</f>
        <v>1</v>
      </c>
      <c r="N282" s="960"/>
      <c r="O282" s="52">
        <f t="shared" ref="O282:O345" si="62">(SUMIF($15:$15,N282,$16:$16)-SUMIF($15:$15,$N$24,$16:$16)+100)/100</f>
        <v>1</v>
      </c>
      <c r="P282" s="960"/>
      <c r="Q282" s="52">
        <f t="shared" ref="Q282:Q345" si="63">(SUMIF($17:$17,P282,$18:$18)-SUMIF($17:$17,$P$24,$18:$18)+100)/100</f>
        <v>1</v>
      </c>
      <c r="R282" s="488">
        <f t="shared" ref="R282:R345" si="64">IF(B282="",0,ROUND($R$24*C282*E282*G282*I282*K282*M282*O282*Q282,0))</f>
        <v>0</v>
      </c>
      <c r="S282" s="796">
        <f t="shared" si="55"/>
        <v>0</v>
      </c>
    </row>
    <row r="283" spans="1:19">
      <c r="A283" s="962"/>
      <c r="B283" s="135"/>
      <c r="C283" s="52">
        <f t="shared" si="56"/>
        <v>1</v>
      </c>
      <c r="D283" s="960"/>
      <c r="E283" s="52">
        <f t="shared" si="57"/>
        <v>1</v>
      </c>
      <c r="F283" s="960"/>
      <c r="G283" s="52">
        <f t="shared" si="58"/>
        <v>1</v>
      </c>
      <c r="H283" s="960"/>
      <c r="I283" s="52">
        <f t="shared" si="59"/>
        <v>1</v>
      </c>
      <c r="J283" s="960"/>
      <c r="K283" s="52">
        <f t="shared" si="60"/>
        <v>1</v>
      </c>
      <c r="L283" s="960"/>
      <c r="M283" s="52">
        <f t="shared" si="61"/>
        <v>1</v>
      </c>
      <c r="N283" s="960"/>
      <c r="O283" s="52">
        <f t="shared" si="62"/>
        <v>1</v>
      </c>
      <c r="P283" s="960"/>
      <c r="Q283" s="52">
        <f t="shared" si="63"/>
        <v>1</v>
      </c>
      <c r="R283" s="488">
        <f t="shared" si="64"/>
        <v>0</v>
      </c>
      <c r="S283" s="796">
        <f t="shared" si="55"/>
        <v>0</v>
      </c>
    </row>
    <row r="284" spans="1:19">
      <c r="A284" s="962"/>
      <c r="B284" s="135"/>
      <c r="C284" s="52">
        <f t="shared" si="56"/>
        <v>1</v>
      </c>
      <c r="D284" s="960"/>
      <c r="E284" s="52">
        <f t="shared" si="57"/>
        <v>1</v>
      </c>
      <c r="F284" s="960"/>
      <c r="G284" s="52">
        <f t="shared" si="58"/>
        <v>1</v>
      </c>
      <c r="H284" s="960"/>
      <c r="I284" s="52">
        <f t="shared" si="59"/>
        <v>1</v>
      </c>
      <c r="J284" s="960"/>
      <c r="K284" s="52">
        <f t="shared" si="60"/>
        <v>1</v>
      </c>
      <c r="L284" s="960"/>
      <c r="M284" s="52">
        <f t="shared" si="61"/>
        <v>1</v>
      </c>
      <c r="N284" s="960"/>
      <c r="O284" s="52">
        <f t="shared" si="62"/>
        <v>1</v>
      </c>
      <c r="P284" s="960"/>
      <c r="Q284" s="52">
        <f t="shared" si="63"/>
        <v>1</v>
      </c>
      <c r="R284" s="488">
        <f t="shared" si="64"/>
        <v>0</v>
      </c>
      <c r="S284" s="796">
        <f t="shared" si="55"/>
        <v>0</v>
      </c>
    </row>
    <row r="285" spans="1:19">
      <c r="A285" s="962"/>
      <c r="B285" s="135"/>
      <c r="C285" s="52">
        <f t="shared" si="56"/>
        <v>1</v>
      </c>
      <c r="D285" s="960"/>
      <c r="E285" s="52">
        <f t="shared" si="57"/>
        <v>1</v>
      </c>
      <c r="F285" s="960"/>
      <c r="G285" s="52">
        <f t="shared" si="58"/>
        <v>1</v>
      </c>
      <c r="H285" s="960"/>
      <c r="I285" s="52">
        <f t="shared" si="59"/>
        <v>1</v>
      </c>
      <c r="J285" s="960"/>
      <c r="K285" s="52">
        <f t="shared" si="60"/>
        <v>1</v>
      </c>
      <c r="L285" s="960"/>
      <c r="M285" s="52">
        <f t="shared" si="61"/>
        <v>1</v>
      </c>
      <c r="N285" s="960"/>
      <c r="O285" s="52">
        <f t="shared" si="62"/>
        <v>1</v>
      </c>
      <c r="P285" s="960"/>
      <c r="Q285" s="52">
        <f t="shared" si="63"/>
        <v>1</v>
      </c>
      <c r="R285" s="488">
        <f t="shared" si="64"/>
        <v>0</v>
      </c>
      <c r="S285" s="796">
        <f t="shared" si="55"/>
        <v>0</v>
      </c>
    </row>
    <row r="286" spans="1:19">
      <c r="A286" s="962"/>
      <c r="B286" s="135"/>
      <c r="C286" s="52">
        <f t="shared" si="56"/>
        <v>1</v>
      </c>
      <c r="D286" s="960"/>
      <c r="E286" s="52">
        <f t="shared" si="57"/>
        <v>1</v>
      </c>
      <c r="F286" s="960"/>
      <c r="G286" s="52">
        <f t="shared" si="58"/>
        <v>1</v>
      </c>
      <c r="H286" s="960"/>
      <c r="I286" s="52">
        <f t="shared" si="59"/>
        <v>1</v>
      </c>
      <c r="J286" s="960"/>
      <c r="K286" s="52">
        <f t="shared" si="60"/>
        <v>1</v>
      </c>
      <c r="L286" s="960"/>
      <c r="M286" s="52">
        <f t="shared" si="61"/>
        <v>1</v>
      </c>
      <c r="N286" s="960"/>
      <c r="O286" s="52">
        <f t="shared" si="62"/>
        <v>1</v>
      </c>
      <c r="P286" s="960"/>
      <c r="Q286" s="52">
        <f t="shared" si="63"/>
        <v>1</v>
      </c>
      <c r="R286" s="488">
        <f t="shared" si="64"/>
        <v>0</v>
      </c>
      <c r="S286" s="796">
        <f t="shared" si="55"/>
        <v>0</v>
      </c>
    </row>
    <row r="287" spans="1:19">
      <c r="A287" s="962"/>
      <c r="B287" s="135"/>
      <c r="C287" s="52">
        <f t="shared" si="56"/>
        <v>1</v>
      </c>
      <c r="D287" s="960"/>
      <c r="E287" s="52">
        <f t="shared" si="57"/>
        <v>1</v>
      </c>
      <c r="F287" s="960"/>
      <c r="G287" s="52">
        <f t="shared" si="58"/>
        <v>1</v>
      </c>
      <c r="H287" s="960"/>
      <c r="I287" s="52">
        <f t="shared" si="59"/>
        <v>1</v>
      </c>
      <c r="J287" s="960"/>
      <c r="K287" s="52">
        <f t="shared" si="60"/>
        <v>1</v>
      </c>
      <c r="L287" s="960"/>
      <c r="M287" s="52">
        <f t="shared" si="61"/>
        <v>1</v>
      </c>
      <c r="N287" s="960"/>
      <c r="O287" s="52">
        <f t="shared" si="62"/>
        <v>1</v>
      </c>
      <c r="P287" s="960"/>
      <c r="Q287" s="52">
        <f t="shared" si="63"/>
        <v>1</v>
      </c>
      <c r="R287" s="488">
        <f t="shared" si="64"/>
        <v>0</v>
      </c>
      <c r="S287" s="796">
        <f t="shared" ref="S287:S320" si="65">ROUND(R287*B287/10000,0)</f>
        <v>0</v>
      </c>
    </row>
    <row r="288" spans="1:19">
      <c r="A288" s="962"/>
      <c r="B288" s="135"/>
      <c r="C288" s="52">
        <f t="shared" si="56"/>
        <v>1</v>
      </c>
      <c r="D288" s="960"/>
      <c r="E288" s="52">
        <f t="shared" si="57"/>
        <v>1</v>
      </c>
      <c r="F288" s="960"/>
      <c r="G288" s="52">
        <f t="shared" si="58"/>
        <v>1</v>
      </c>
      <c r="H288" s="960"/>
      <c r="I288" s="52">
        <f t="shared" si="59"/>
        <v>1</v>
      </c>
      <c r="J288" s="960"/>
      <c r="K288" s="52">
        <f t="shared" si="60"/>
        <v>1</v>
      </c>
      <c r="L288" s="960"/>
      <c r="M288" s="52">
        <f t="shared" si="61"/>
        <v>1</v>
      </c>
      <c r="N288" s="960"/>
      <c r="O288" s="52">
        <f t="shared" si="62"/>
        <v>1</v>
      </c>
      <c r="P288" s="960"/>
      <c r="Q288" s="52">
        <f t="shared" si="63"/>
        <v>1</v>
      </c>
      <c r="R288" s="488">
        <f t="shared" si="64"/>
        <v>0</v>
      </c>
      <c r="S288" s="796">
        <f t="shared" si="65"/>
        <v>0</v>
      </c>
    </row>
    <row r="289" spans="1:19">
      <c r="A289" s="962"/>
      <c r="B289" s="135"/>
      <c r="C289" s="52">
        <f t="shared" si="56"/>
        <v>1</v>
      </c>
      <c r="D289" s="960"/>
      <c r="E289" s="52">
        <f t="shared" si="57"/>
        <v>1</v>
      </c>
      <c r="F289" s="960"/>
      <c r="G289" s="52">
        <f t="shared" si="58"/>
        <v>1</v>
      </c>
      <c r="H289" s="960"/>
      <c r="I289" s="52">
        <f t="shared" si="59"/>
        <v>1</v>
      </c>
      <c r="J289" s="960"/>
      <c r="K289" s="52">
        <f t="shared" si="60"/>
        <v>1</v>
      </c>
      <c r="L289" s="960"/>
      <c r="M289" s="52">
        <f t="shared" si="61"/>
        <v>1</v>
      </c>
      <c r="N289" s="960"/>
      <c r="O289" s="52">
        <f t="shared" si="62"/>
        <v>1</v>
      </c>
      <c r="P289" s="960"/>
      <c r="Q289" s="52">
        <f t="shared" si="63"/>
        <v>1</v>
      </c>
      <c r="R289" s="488">
        <f t="shared" si="64"/>
        <v>0</v>
      </c>
      <c r="S289" s="796">
        <f t="shared" si="65"/>
        <v>0</v>
      </c>
    </row>
    <row r="290" spans="1:19">
      <c r="A290" s="962"/>
      <c r="B290" s="135"/>
      <c r="C290" s="52">
        <f t="shared" si="56"/>
        <v>1</v>
      </c>
      <c r="D290" s="960"/>
      <c r="E290" s="52">
        <f t="shared" si="57"/>
        <v>1</v>
      </c>
      <c r="F290" s="960"/>
      <c r="G290" s="52">
        <f t="shared" si="58"/>
        <v>1</v>
      </c>
      <c r="H290" s="960"/>
      <c r="I290" s="52">
        <f t="shared" si="59"/>
        <v>1</v>
      </c>
      <c r="J290" s="960"/>
      <c r="K290" s="52">
        <f t="shared" si="60"/>
        <v>1</v>
      </c>
      <c r="L290" s="960"/>
      <c r="M290" s="52">
        <f t="shared" si="61"/>
        <v>1</v>
      </c>
      <c r="N290" s="960"/>
      <c r="O290" s="52">
        <f t="shared" si="62"/>
        <v>1</v>
      </c>
      <c r="P290" s="960"/>
      <c r="Q290" s="52">
        <f t="shared" si="63"/>
        <v>1</v>
      </c>
      <c r="R290" s="488">
        <f t="shared" si="64"/>
        <v>0</v>
      </c>
      <c r="S290" s="796">
        <f t="shared" si="65"/>
        <v>0</v>
      </c>
    </row>
    <row r="291" spans="1:19">
      <c r="A291" s="962"/>
      <c r="B291" s="135"/>
      <c r="C291" s="52">
        <f t="shared" si="56"/>
        <v>1</v>
      </c>
      <c r="D291" s="960"/>
      <c r="E291" s="52">
        <f t="shared" si="57"/>
        <v>1</v>
      </c>
      <c r="F291" s="960"/>
      <c r="G291" s="52">
        <f t="shared" si="58"/>
        <v>1</v>
      </c>
      <c r="H291" s="960"/>
      <c r="I291" s="52">
        <f t="shared" si="59"/>
        <v>1</v>
      </c>
      <c r="J291" s="960"/>
      <c r="K291" s="52">
        <f t="shared" si="60"/>
        <v>1</v>
      </c>
      <c r="L291" s="960"/>
      <c r="M291" s="52">
        <f t="shared" si="61"/>
        <v>1</v>
      </c>
      <c r="N291" s="960"/>
      <c r="O291" s="52">
        <f t="shared" si="62"/>
        <v>1</v>
      </c>
      <c r="P291" s="960"/>
      <c r="Q291" s="52">
        <f t="shared" si="63"/>
        <v>1</v>
      </c>
      <c r="R291" s="488">
        <f t="shared" si="64"/>
        <v>0</v>
      </c>
      <c r="S291" s="796">
        <f t="shared" si="65"/>
        <v>0</v>
      </c>
    </row>
    <row r="292" spans="1:19">
      <c r="A292" s="962"/>
      <c r="B292" s="135"/>
      <c r="C292" s="52">
        <f t="shared" si="56"/>
        <v>1</v>
      </c>
      <c r="D292" s="960"/>
      <c r="E292" s="52">
        <f t="shared" si="57"/>
        <v>1</v>
      </c>
      <c r="F292" s="960"/>
      <c r="G292" s="52">
        <f t="shared" si="58"/>
        <v>1</v>
      </c>
      <c r="H292" s="960"/>
      <c r="I292" s="52">
        <f t="shared" si="59"/>
        <v>1</v>
      </c>
      <c r="J292" s="960"/>
      <c r="K292" s="52">
        <f t="shared" si="60"/>
        <v>1</v>
      </c>
      <c r="L292" s="960"/>
      <c r="M292" s="52">
        <f t="shared" si="61"/>
        <v>1</v>
      </c>
      <c r="N292" s="960"/>
      <c r="O292" s="52">
        <f t="shared" si="62"/>
        <v>1</v>
      </c>
      <c r="P292" s="960"/>
      <c r="Q292" s="52">
        <f t="shared" si="63"/>
        <v>1</v>
      </c>
      <c r="R292" s="488">
        <f t="shared" si="64"/>
        <v>0</v>
      </c>
      <c r="S292" s="796">
        <f t="shared" si="65"/>
        <v>0</v>
      </c>
    </row>
    <row r="293" spans="1:19">
      <c r="A293" s="962"/>
      <c r="B293" s="135"/>
      <c r="C293" s="52">
        <f t="shared" si="56"/>
        <v>1</v>
      </c>
      <c r="D293" s="960"/>
      <c r="E293" s="52">
        <f t="shared" si="57"/>
        <v>1</v>
      </c>
      <c r="F293" s="960"/>
      <c r="G293" s="52">
        <f t="shared" si="58"/>
        <v>1</v>
      </c>
      <c r="H293" s="960"/>
      <c r="I293" s="52">
        <f t="shared" si="59"/>
        <v>1</v>
      </c>
      <c r="J293" s="960"/>
      <c r="K293" s="52">
        <f t="shared" si="60"/>
        <v>1</v>
      </c>
      <c r="L293" s="960"/>
      <c r="M293" s="52">
        <f t="shared" si="61"/>
        <v>1</v>
      </c>
      <c r="N293" s="960"/>
      <c r="O293" s="52">
        <f t="shared" si="62"/>
        <v>1</v>
      </c>
      <c r="P293" s="960"/>
      <c r="Q293" s="52">
        <f t="shared" si="63"/>
        <v>1</v>
      </c>
      <c r="R293" s="488">
        <f t="shared" si="64"/>
        <v>0</v>
      </c>
      <c r="S293" s="796">
        <f t="shared" si="65"/>
        <v>0</v>
      </c>
    </row>
    <row r="294" spans="1:19">
      <c r="A294" s="962"/>
      <c r="B294" s="135"/>
      <c r="C294" s="52">
        <f t="shared" si="56"/>
        <v>1</v>
      </c>
      <c r="D294" s="960"/>
      <c r="E294" s="52">
        <f t="shared" si="57"/>
        <v>1</v>
      </c>
      <c r="F294" s="960"/>
      <c r="G294" s="52">
        <f t="shared" si="58"/>
        <v>1</v>
      </c>
      <c r="H294" s="960"/>
      <c r="I294" s="52">
        <f t="shared" si="59"/>
        <v>1</v>
      </c>
      <c r="J294" s="960"/>
      <c r="K294" s="52">
        <f t="shared" si="60"/>
        <v>1</v>
      </c>
      <c r="L294" s="960"/>
      <c r="M294" s="52">
        <f t="shared" si="61"/>
        <v>1</v>
      </c>
      <c r="N294" s="960"/>
      <c r="O294" s="52">
        <f t="shared" si="62"/>
        <v>1</v>
      </c>
      <c r="P294" s="960"/>
      <c r="Q294" s="52">
        <f t="shared" si="63"/>
        <v>1</v>
      </c>
      <c r="R294" s="488">
        <f t="shared" si="64"/>
        <v>0</v>
      </c>
      <c r="S294" s="796">
        <f t="shared" si="65"/>
        <v>0</v>
      </c>
    </row>
    <row r="295" spans="1:19">
      <c r="A295" s="962"/>
      <c r="B295" s="135"/>
      <c r="C295" s="52">
        <f t="shared" si="56"/>
        <v>1</v>
      </c>
      <c r="D295" s="960"/>
      <c r="E295" s="52">
        <f t="shared" si="57"/>
        <v>1</v>
      </c>
      <c r="F295" s="960"/>
      <c r="G295" s="52">
        <f t="shared" si="58"/>
        <v>1</v>
      </c>
      <c r="H295" s="960"/>
      <c r="I295" s="52">
        <f t="shared" si="59"/>
        <v>1</v>
      </c>
      <c r="J295" s="960"/>
      <c r="K295" s="52">
        <f t="shared" si="60"/>
        <v>1</v>
      </c>
      <c r="L295" s="960"/>
      <c r="M295" s="52">
        <f t="shared" si="61"/>
        <v>1</v>
      </c>
      <c r="N295" s="960"/>
      <c r="O295" s="52">
        <f t="shared" si="62"/>
        <v>1</v>
      </c>
      <c r="P295" s="960"/>
      <c r="Q295" s="52">
        <f t="shared" si="63"/>
        <v>1</v>
      </c>
      <c r="R295" s="488">
        <f t="shared" si="64"/>
        <v>0</v>
      </c>
      <c r="S295" s="796">
        <f t="shared" si="65"/>
        <v>0</v>
      </c>
    </row>
    <row r="296" spans="1:19">
      <c r="A296" s="962"/>
      <c r="B296" s="135"/>
      <c r="C296" s="52">
        <f t="shared" si="56"/>
        <v>1</v>
      </c>
      <c r="D296" s="960"/>
      <c r="E296" s="52">
        <f t="shared" si="57"/>
        <v>1</v>
      </c>
      <c r="F296" s="960"/>
      <c r="G296" s="52">
        <f t="shared" si="58"/>
        <v>1</v>
      </c>
      <c r="H296" s="960"/>
      <c r="I296" s="52">
        <f t="shared" si="59"/>
        <v>1</v>
      </c>
      <c r="J296" s="960"/>
      <c r="K296" s="52">
        <f t="shared" si="60"/>
        <v>1</v>
      </c>
      <c r="L296" s="960"/>
      <c r="M296" s="52">
        <f t="shared" si="61"/>
        <v>1</v>
      </c>
      <c r="N296" s="960"/>
      <c r="O296" s="52">
        <f t="shared" si="62"/>
        <v>1</v>
      </c>
      <c r="P296" s="960"/>
      <c r="Q296" s="52">
        <f t="shared" si="63"/>
        <v>1</v>
      </c>
      <c r="R296" s="488">
        <f t="shared" si="64"/>
        <v>0</v>
      </c>
      <c r="S296" s="796">
        <f t="shared" si="65"/>
        <v>0</v>
      </c>
    </row>
    <row r="297" spans="1:19">
      <c r="A297" s="962"/>
      <c r="B297" s="135"/>
      <c r="C297" s="52">
        <f t="shared" si="56"/>
        <v>1</v>
      </c>
      <c r="D297" s="960"/>
      <c r="E297" s="52">
        <f t="shared" si="57"/>
        <v>1</v>
      </c>
      <c r="F297" s="960"/>
      <c r="G297" s="52">
        <f t="shared" si="58"/>
        <v>1</v>
      </c>
      <c r="H297" s="960"/>
      <c r="I297" s="52">
        <f t="shared" si="59"/>
        <v>1</v>
      </c>
      <c r="J297" s="960"/>
      <c r="K297" s="52">
        <f t="shared" si="60"/>
        <v>1</v>
      </c>
      <c r="L297" s="960"/>
      <c r="M297" s="52">
        <f t="shared" si="61"/>
        <v>1</v>
      </c>
      <c r="N297" s="960"/>
      <c r="O297" s="52">
        <f t="shared" si="62"/>
        <v>1</v>
      </c>
      <c r="P297" s="960"/>
      <c r="Q297" s="52">
        <f t="shared" si="63"/>
        <v>1</v>
      </c>
      <c r="R297" s="488">
        <f t="shared" si="64"/>
        <v>0</v>
      </c>
      <c r="S297" s="796">
        <f t="shared" si="65"/>
        <v>0</v>
      </c>
    </row>
    <row r="298" spans="1:19">
      <c r="A298" s="962"/>
      <c r="B298" s="135"/>
      <c r="C298" s="52">
        <f t="shared" si="56"/>
        <v>1</v>
      </c>
      <c r="D298" s="960"/>
      <c r="E298" s="52">
        <f t="shared" si="57"/>
        <v>1</v>
      </c>
      <c r="F298" s="960"/>
      <c r="G298" s="52">
        <f t="shared" si="58"/>
        <v>1</v>
      </c>
      <c r="H298" s="960"/>
      <c r="I298" s="52">
        <f t="shared" si="59"/>
        <v>1</v>
      </c>
      <c r="J298" s="960"/>
      <c r="K298" s="52">
        <f t="shared" si="60"/>
        <v>1</v>
      </c>
      <c r="L298" s="960"/>
      <c r="M298" s="52">
        <f t="shared" si="61"/>
        <v>1</v>
      </c>
      <c r="N298" s="960"/>
      <c r="O298" s="52">
        <f t="shared" si="62"/>
        <v>1</v>
      </c>
      <c r="P298" s="960"/>
      <c r="Q298" s="52">
        <f t="shared" si="63"/>
        <v>1</v>
      </c>
      <c r="R298" s="488">
        <f t="shared" si="64"/>
        <v>0</v>
      </c>
      <c r="S298" s="796">
        <f t="shared" si="65"/>
        <v>0</v>
      </c>
    </row>
    <row r="299" spans="1:19">
      <c r="A299" s="962"/>
      <c r="B299" s="135"/>
      <c r="C299" s="52">
        <f t="shared" si="56"/>
        <v>1</v>
      </c>
      <c r="D299" s="960"/>
      <c r="E299" s="52">
        <f t="shared" si="57"/>
        <v>1</v>
      </c>
      <c r="F299" s="960"/>
      <c r="G299" s="52">
        <f t="shared" si="58"/>
        <v>1</v>
      </c>
      <c r="H299" s="960"/>
      <c r="I299" s="52">
        <f t="shared" si="59"/>
        <v>1</v>
      </c>
      <c r="J299" s="960"/>
      <c r="K299" s="52">
        <f t="shared" si="60"/>
        <v>1</v>
      </c>
      <c r="L299" s="960"/>
      <c r="M299" s="52">
        <f t="shared" si="61"/>
        <v>1</v>
      </c>
      <c r="N299" s="960"/>
      <c r="O299" s="52">
        <f t="shared" si="62"/>
        <v>1</v>
      </c>
      <c r="P299" s="960"/>
      <c r="Q299" s="52">
        <f t="shared" si="63"/>
        <v>1</v>
      </c>
      <c r="R299" s="488">
        <f t="shared" si="64"/>
        <v>0</v>
      </c>
      <c r="S299" s="796">
        <f t="shared" si="65"/>
        <v>0</v>
      </c>
    </row>
    <row r="300" spans="1:19">
      <c r="A300" s="962"/>
      <c r="B300" s="135"/>
      <c r="C300" s="52">
        <f t="shared" si="56"/>
        <v>1</v>
      </c>
      <c r="D300" s="960"/>
      <c r="E300" s="52">
        <f t="shared" si="57"/>
        <v>1</v>
      </c>
      <c r="F300" s="960"/>
      <c r="G300" s="52">
        <f t="shared" si="58"/>
        <v>1</v>
      </c>
      <c r="H300" s="960"/>
      <c r="I300" s="52">
        <f t="shared" si="59"/>
        <v>1</v>
      </c>
      <c r="J300" s="960"/>
      <c r="K300" s="52">
        <f t="shared" si="60"/>
        <v>1</v>
      </c>
      <c r="L300" s="960"/>
      <c r="M300" s="52">
        <f t="shared" si="61"/>
        <v>1</v>
      </c>
      <c r="N300" s="960"/>
      <c r="O300" s="52">
        <f t="shared" si="62"/>
        <v>1</v>
      </c>
      <c r="P300" s="960"/>
      <c r="Q300" s="52">
        <f t="shared" si="63"/>
        <v>1</v>
      </c>
      <c r="R300" s="488">
        <f t="shared" si="64"/>
        <v>0</v>
      </c>
      <c r="S300" s="796">
        <f t="shared" si="65"/>
        <v>0</v>
      </c>
    </row>
    <row r="301" spans="1:19">
      <c r="A301" s="962"/>
      <c r="B301" s="135"/>
      <c r="C301" s="52">
        <f t="shared" si="56"/>
        <v>1</v>
      </c>
      <c r="D301" s="960"/>
      <c r="E301" s="52">
        <f t="shared" si="57"/>
        <v>1</v>
      </c>
      <c r="F301" s="960"/>
      <c r="G301" s="52">
        <f t="shared" si="58"/>
        <v>1</v>
      </c>
      <c r="H301" s="960"/>
      <c r="I301" s="52">
        <f t="shared" si="59"/>
        <v>1</v>
      </c>
      <c r="J301" s="960"/>
      <c r="K301" s="52">
        <f t="shared" si="60"/>
        <v>1</v>
      </c>
      <c r="L301" s="960"/>
      <c r="M301" s="52">
        <f t="shared" si="61"/>
        <v>1</v>
      </c>
      <c r="N301" s="960"/>
      <c r="O301" s="52">
        <f t="shared" si="62"/>
        <v>1</v>
      </c>
      <c r="P301" s="960"/>
      <c r="Q301" s="52">
        <f t="shared" si="63"/>
        <v>1</v>
      </c>
      <c r="R301" s="488">
        <f t="shared" si="64"/>
        <v>0</v>
      </c>
      <c r="S301" s="796">
        <f t="shared" si="65"/>
        <v>0</v>
      </c>
    </row>
    <row r="302" spans="1:19">
      <c r="A302" s="962"/>
      <c r="B302" s="135"/>
      <c r="C302" s="52">
        <f t="shared" si="56"/>
        <v>1</v>
      </c>
      <c r="D302" s="960"/>
      <c r="E302" s="52">
        <f t="shared" si="57"/>
        <v>1</v>
      </c>
      <c r="F302" s="960"/>
      <c r="G302" s="52">
        <f t="shared" si="58"/>
        <v>1</v>
      </c>
      <c r="H302" s="960"/>
      <c r="I302" s="52">
        <f t="shared" si="59"/>
        <v>1</v>
      </c>
      <c r="J302" s="960"/>
      <c r="K302" s="52">
        <f t="shared" si="60"/>
        <v>1</v>
      </c>
      <c r="L302" s="960"/>
      <c r="M302" s="52">
        <f t="shared" si="61"/>
        <v>1</v>
      </c>
      <c r="N302" s="960"/>
      <c r="O302" s="52">
        <f t="shared" si="62"/>
        <v>1</v>
      </c>
      <c r="P302" s="960"/>
      <c r="Q302" s="52">
        <f t="shared" si="63"/>
        <v>1</v>
      </c>
      <c r="R302" s="488">
        <f t="shared" si="64"/>
        <v>0</v>
      </c>
      <c r="S302" s="796">
        <f t="shared" si="65"/>
        <v>0</v>
      </c>
    </row>
    <row r="303" spans="1:19">
      <c r="A303" s="962"/>
      <c r="B303" s="135"/>
      <c r="C303" s="52">
        <f t="shared" si="56"/>
        <v>1</v>
      </c>
      <c r="D303" s="960"/>
      <c r="E303" s="52">
        <f t="shared" si="57"/>
        <v>1</v>
      </c>
      <c r="F303" s="960"/>
      <c r="G303" s="52">
        <f t="shared" si="58"/>
        <v>1</v>
      </c>
      <c r="H303" s="960"/>
      <c r="I303" s="52">
        <f t="shared" si="59"/>
        <v>1</v>
      </c>
      <c r="J303" s="960"/>
      <c r="K303" s="52">
        <f t="shared" si="60"/>
        <v>1</v>
      </c>
      <c r="L303" s="960"/>
      <c r="M303" s="52">
        <f t="shared" si="61"/>
        <v>1</v>
      </c>
      <c r="N303" s="960"/>
      <c r="O303" s="52">
        <f t="shared" si="62"/>
        <v>1</v>
      </c>
      <c r="P303" s="960"/>
      <c r="Q303" s="52">
        <f t="shared" si="63"/>
        <v>1</v>
      </c>
      <c r="R303" s="488">
        <f t="shared" si="64"/>
        <v>0</v>
      </c>
      <c r="S303" s="796">
        <f t="shared" si="65"/>
        <v>0</v>
      </c>
    </row>
    <row r="304" spans="1:19">
      <c r="A304" s="962"/>
      <c r="B304" s="135"/>
      <c r="C304" s="52">
        <f t="shared" si="56"/>
        <v>1</v>
      </c>
      <c r="D304" s="960"/>
      <c r="E304" s="52">
        <f t="shared" si="57"/>
        <v>1</v>
      </c>
      <c r="F304" s="960"/>
      <c r="G304" s="52">
        <f t="shared" si="58"/>
        <v>1</v>
      </c>
      <c r="H304" s="960"/>
      <c r="I304" s="52">
        <f t="shared" si="59"/>
        <v>1</v>
      </c>
      <c r="J304" s="960"/>
      <c r="K304" s="52">
        <f t="shared" si="60"/>
        <v>1</v>
      </c>
      <c r="L304" s="960"/>
      <c r="M304" s="52">
        <f t="shared" si="61"/>
        <v>1</v>
      </c>
      <c r="N304" s="960"/>
      <c r="O304" s="52">
        <f t="shared" si="62"/>
        <v>1</v>
      </c>
      <c r="P304" s="960"/>
      <c r="Q304" s="52">
        <f t="shared" si="63"/>
        <v>1</v>
      </c>
      <c r="R304" s="488">
        <f t="shared" si="64"/>
        <v>0</v>
      </c>
      <c r="S304" s="796">
        <f t="shared" si="65"/>
        <v>0</v>
      </c>
    </row>
    <row r="305" spans="1:19">
      <c r="A305" s="962"/>
      <c r="B305" s="135"/>
      <c r="C305" s="52">
        <f t="shared" si="56"/>
        <v>1</v>
      </c>
      <c r="D305" s="960"/>
      <c r="E305" s="52">
        <f t="shared" si="57"/>
        <v>1</v>
      </c>
      <c r="F305" s="960"/>
      <c r="G305" s="52">
        <f t="shared" si="58"/>
        <v>1</v>
      </c>
      <c r="H305" s="960"/>
      <c r="I305" s="52">
        <f t="shared" si="59"/>
        <v>1</v>
      </c>
      <c r="J305" s="960"/>
      <c r="K305" s="52">
        <f t="shared" si="60"/>
        <v>1</v>
      </c>
      <c r="L305" s="960"/>
      <c r="M305" s="52">
        <f t="shared" si="61"/>
        <v>1</v>
      </c>
      <c r="N305" s="960"/>
      <c r="O305" s="52">
        <f t="shared" si="62"/>
        <v>1</v>
      </c>
      <c r="P305" s="960"/>
      <c r="Q305" s="52">
        <f t="shared" si="63"/>
        <v>1</v>
      </c>
      <c r="R305" s="488">
        <f t="shared" si="64"/>
        <v>0</v>
      </c>
      <c r="S305" s="796">
        <f t="shared" si="65"/>
        <v>0</v>
      </c>
    </row>
    <row r="306" spans="1:19">
      <c r="A306" s="962"/>
      <c r="B306" s="135"/>
      <c r="C306" s="52">
        <f t="shared" si="56"/>
        <v>1</v>
      </c>
      <c r="D306" s="960"/>
      <c r="E306" s="52">
        <f t="shared" si="57"/>
        <v>1</v>
      </c>
      <c r="F306" s="960"/>
      <c r="G306" s="52">
        <f t="shared" si="58"/>
        <v>1</v>
      </c>
      <c r="H306" s="960"/>
      <c r="I306" s="52">
        <f t="shared" si="59"/>
        <v>1</v>
      </c>
      <c r="J306" s="960"/>
      <c r="K306" s="52">
        <f t="shared" si="60"/>
        <v>1</v>
      </c>
      <c r="L306" s="960"/>
      <c r="M306" s="52">
        <f t="shared" si="61"/>
        <v>1</v>
      </c>
      <c r="N306" s="960"/>
      <c r="O306" s="52">
        <f t="shared" si="62"/>
        <v>1</v>
      </c>
      <c r="P306" s="960"/>
      <c r="Q306" s="52">
        <f t="shared" si="63"/>
        <v>1</v>
      </c>
      <c r="R306" s="488">
        <f t="shared" si="64"/>
        <v>0</v>
      </c>
      <c r="S306" s="796">
        <f t="shared" si="65"/>
        <v>0</v>
      </c>
    </row>
    <row r="307" spans="1:19">
      <c r="A307" s="962"/>
      <c r="B307" s="135"/>
      <c r="C307" s="52">
        <f t="shared" si="56"/>
        <v>1</v>
      </c>
      <c r="D307" s="960"/>
      <c r="E307" s="52">
        <f t="shared" si="57"/>
        <v>1</v>
      </c>
      <c r="F307" s="960"/>
      <c r="G307" s="52">
        <f t="shared" si="58"/>
        <v>1</v>
      </c>
      <c r="H307" s="960"/>
      <c r="I307" s="52">
        <f t="shared" si="59"/>
        <v>1</v>
      </c>
      <c r="J307" s="960"/>
      <c r="K307" s="52">
        <f t="shared" si="60"/>
        <v>1</v>
      </c>
      <c r="L307" s="960"/>
      <c r="M307" s="52">
        <f t="shared" si="61"/>
        <v>1</v>
      </c>
      <c r="N307" s="960"/>
      <c r="O307" s="52">
        <f t="shared" si="62"/>
        <v>1</v>
      </c>
      <c r="P307" s="960"/>
      <c r="Q307" s="52">
        <f t="shared" si="63"/>
        <v>1</v>
      </c>
      <c r="R307" s="488">
        <f t="shared" si="64"/>
        <v>0</v>
      </c>
      <c r="S307" s="796">
        <f t="shared" si="65"/>
        <v>0</v>
      </c>
    </row>
    <row r="308" spans="1:19">
      <c r="A308" s="962"/>
      <c r="B308" s="135"/>
      <c r="C308" s="52">
        <f t="shared" si="56"/>
        <v>1</v>
      </c>
      <c r="D308" s="960"/>
      <c r="E308" s="52">
        <f t="shared" si="57"/>
        <v>1</v>
      </c>
      <c r="F308" s="960"/>
      <c r="G308" s="52">
        <f t="shared" si="58"/>
        <v>1</v>
      </c>
      <c r="H308" s="960"/>
      <c r="I308" s="52">
        <f t="shared" si="59"/>
        <v>1</v>
      </c>
      <c r="J308" s="960"/>
      <c r="K308" s="52">
        <f t="shared" si="60"/>
        <v>1</v>
      </c>
      <c r="L308" s="960"/>
      <c r="M308" s="52">
        <f t="shared" si="61"/>
        <v>1</v>
      </c>
      <c r="N308" s="960"/>
      <c r="O308" s="52">
        <f t="shared" si="62"/>
        <v>1</v>
      </c>
      <c r="P308" s="960"/>
      <c r="Q308" s="52">
        <f t="shared" si="63"/>
        <v>1</v>
      </c>
      <c r="R308" s="488">
        <f t="shared" si="64"/>
        <v>0</v>
      </c>
      <c r="S308" s="796">
        <f t="shared" si="65"/>
        <v>0</v>
      </c>
    </row>
    <row r="309" spans="1:19">
      <c r="A309" s="962"/>
      <c r="B309" s="135"/>
      <c r="C309" s="52">
        <f t="shared" si="56"/>
        <v>1</v>
      </c>
      <c r="D309" s="960"/>
      <c r="E309" s="52">
        <f t="shared" si="57"/>
        <v>1</v>
      </c>
      <c r="F309" s="960"/>
      <c r="G309" s="52">
        <f t="shared" si="58"/>
        <v>1</v>
      </c>
      <c r="H309" s="960"/>
      <c r="I309" s="52">
        <f t="shared" si="59"/>
        <v>1</v>
      </c>
      <c r="J309" s="960"/>
      <c r="K309" s="52">
        <f t="shared" si="60"/>
        <v>1</v>
      </c>
      <c r="L309" s="960"/>
      <c r="M309" s="52">
        <f t="shared" si="61"/>
        <v>1</v>
      </c>
      <c r="N309" s="960"/>
      <c r="O309" s="52">
        <f t="shared" si="62"/>
        <v>1</v>
      </c>
      <c r="P309" s="960"/>
      <c r="Q309" s="52">
        <f t="shared" si="63"/>
        <v>1</v>
      </c>
      <c r="R309" s="488">
        <f t="shared" si="64"/>
        <v>0</v>
      </c>
      <c r="S309" s="796">
        <f t="shared" si="65"/>
        <v>0</v>
      </c>
    </row>
    <row r="310" spans="1:19">
      <c r="A310" s="962"/>
      <c r="B310" s="135"/>
      <c r="C310" s="52">
        <f t="shared" si="56"/>
        <v>1</v>
      </c>
      <c r="D310" s="960"/>
      <c r="E310" s="52">
        <f t="shared" si="57"/>
        <v>1</v>
      </c>
      <c r="F310" s="960"/>
      <c r="G310" s="52">
        <f t="shared" si="58"/>
        <v>1</v>
      </c>
      <c r="H310" s="960"/>
      <c r="I310" s="52">
        <f t="shared" si="59"/>
        <v>1</v>
      </c>
      <c r="J310" s="960"/>
      <c r="K310" s="52">
        <f t="shared" si="60"/>
        <v>1</v>
      </c>
      <c r="L310" s="960"/>
      <c r="M310" s="52">
        <f t="shared" si="61"/>
        <v>1</v>
      </c>
      <c r="N310" s="960"/>
      <c r="O310" s="52">
        <f t="shared" si="62"/>
        <v>1</v>
      </c>
      <c r="P310" s="960"/>
      <c r="Q310" s="52">
        <f t="shared" si="63"/>
        <v>1</v>
      </c>
      <c r="R310" s="488">
        <f t="shared" si="64"/>
        <v>0</v>
      </c>
      <c r="S310" s="796">
        <f t="shared" si="65"/>
        <v>0</v>
      </c>
    </row>
    <row r="311" spans="1:19">
      <c r="A311" s="962"/>
      <c r="B311" s="135"/>
      <c r="C311" s="52">
        <f t="shared" si="56"/>
        <v>1</v>
      </c>
      <c r="D311" s="960"/>
      <c r="E311" s="52">
        <f t="shared" si="57"/>
        <v>1</v>
      </c>
      <c r="F311" s="960"/>
      <c r="G311" s="52">
        <f t="shared" si="58"/>
        <v>1</v>
      </c>
      <c r="H311" s="960"/>
      <c r="I311" s="52">
        <f t="shared" si="59"/>
        <v>1</v>
      </c>
      <c r="J311" s="960"/>
      <c r="K311" s="52">
        <f t="shared" si="60"/>
        <v>1</v>
      </c>
      <c r="L311" s="960"/>
      <c r="M311" s="52">
        <f t="shared" si="61"/>
        <v>1</v>
      </c>
      <c r="N311" s="960"/>
      <c r="O311" s="52">
        <f t="shared" si="62"/>
        <v>1</v>
      </c>
      <c r="P311" s="960"/>
      <c r="Q311" s="52">
        <f t="shared" si="63"/>
        <v>1</v>
      </c>
      <c r="R311" s="488">
        <f t="shared" si="64"/>
        <v>0</v>
      </c>
      <c r="S311" s="796">
        <f t="shared" si="65"/>
        <v>0</v>
      </c>
    </row>
    <row r="312" spans="1:19">
      <c r="A312" s="962"/>
      <c r="B312" s="135"/>
      <c r="C312" s="52">
        <f t="shared" si="56"/>
        <v>1</v>
      </c>
      <c r="D312" s="960"/>
      <c r="E312" s="52">
        <f t="shared" si="57"/>
        <v>1</v>
      </c>
      <c r="F312" s="960"/>
      <c r="G312" s="52">
        <f t="shared" si="58"/>
        <v>1</v>
      </c>
      <c r="H312" s="960"/>
      <c r="I312" s="52">
        <f t="shared" si="59"/>
        <v>1</v>
      </c>
      <c r="J312" s="960"/>
      <c r="K312" s="52">
        <f t="shared" si="60"/>
        <v>1</v>
      </c>
      <c r="L312" s="960"/>
      <c r="M312" s="52">
        <f t="shared" si="61"/>
        <v>1</v>
      </c>
      <c r="N312" s="960"/>
      <c r="O312" s="52">
        <f t="shared" si="62"/>
        <v>1</v>
      </c>
      <c r="P312" s="960"/>
      <c r="Q312" s="52">
        <f t="shared" si="63"/>
        <v>1</v>
      </c>
      <c r="R312" s="488">
        <f t="shared" si="64"/>
        <v>0</v>
      </c>
      <c r="S312" s="796">
        <f t="shared" si="65"/>
        <v>0</v>
      </c>
    </row>
    <row r="313" spans="1:19">
      <c r="A313" s="962"/>
      <c r="B313" s="135"/>
      <c r="C313" s="52">
        <f t="shared" si="56"/>
        <v>1</v>
      </c>
      <c r="D313" s="960"/>
      <c r="E313" s="52">
        <f t="shared" si="57"/>
        <v>1</v>
      </c>
      <c r="F313" s="960"/>
      <c r="G313" s="52">
        <f t="shared" si="58"/>
        <v>1</v>
      </c>
      <c r="H313" s="960"/>
      <c r="I313" s="52">
        <f t="shared" si="59"/>
        <v>1</v>
      </c>
      <c r="J313" s="960"/>
      <c r="K313" s="52">
        <f t="shared" si="60"/>
        <v>1</v>
      </c>
      <c r="L313" s="960"/>
      <c r="M313" s="52">
        <f t="shared" si="61"/>
        <v>1</v>
      </c>
      <c r="N313" s="960"/>
      <c r="O313" s="52">
        <f t="shared" si="62"/>
        <v>1</v>
      </c>
      <c r="P313" s="960"/>
      <c r="Q313" s="52">
        <f t="shared" si="63"/>
        <v>1</v>
      </c>
      <c r="R313" s="488">
        <f t="shared" si="64"/>
        <v>0</v>
      </c>
      <c r="S313" s="796">
        <f t="shared" si="65"/>
        <v>0</v>
      </c>
    </row>
    <row r="314" spans="1:19">
      <c r="A314" s="962"/>
      <c r="B314" s="135"/>
      <c r="C314" s="52">
        <f t="shared" si="56"/>
        <v>1</v>
      </c>
      <c r="D314" s="960"/>
      <c r="E314" s="52">
        <f t="shared" si="57"/>
        <v>1</v>
      </c>
      <c r="F314" s="960"/>
      <c r="G314" s="52">
        <f t="shared" si="58"/>
        <v>1</v>
      </c>
      <c r="H314" s="960"/>
      <c r="I314" s="52">
        <f t="shared" si="59"/>
        <v>1</v>
      </c>
      <c r="J314" s="960"/>
      <c r="K314" s="52">
        <f t="shared" si="60"/>
        <v>1</v>
      </c>
      <c r="L314" s="960"/>
      <c r="M314" s="52">
        <f t="shared" si="61"/>
        <v>1</v>
      </c>
      <c r="N314" s="960"/>
      <c r="O314" s="52">
        <f t="shared" si="62"/>
        <v>1</v>
      </c>
      <c r="P314" s="960"/>
      <c r="Q314" s="52">
        <f t="shared" si="63"/>
        <v>1</v>
      </c>
      <c r="R314" s="488">
        <f t="shared" si="64"/>
        <v>0</v>
      </c>
      <c r="S314" s="796">
        <f t="shared" si="65"/>
        <v>0</v>
      </c>
    </row>
    <row r="315" spans="1:19">
      <c r="A315" s="962"/>
      <c r="B315" s="135"/>
      <c r="C315" s="52">
        <f t="shared" si="56"/>
        <v>1</v>
      </c>
      <c r="D315" s="960"/>
      <c r="E315" s="52">
        <f t="shared" si="57"/>
        <v>1</v>
      </c>
      <c r="F315" s="960"/>
      <c r="G315" s="52">
        <f t="shared" si="58"/>
        <v>1</v>
      </c>
      <c r="H315" s="960"/>
      <c r="I315" s="52">
        <f t="shared" si="59"/>
        <v>1</v>
      </c>
      <c r="J315" s="960"/>
      <c r="K315" s="52">
        <f t="shared" si="60"/>
        <v>1</v>
      </c>
      <c r="L315" s="960"/>
      <c r="M315" s="52">
        <f t="shared" si="61"/>
        <v>1</v>
      </c>
      <c r="N315" s="960"/>
      <c r="O315" s="52">
        <f t="shared" si="62"/>
        <v>1</v>
      </c>
      <c r="P315" s="960"/>
      <c r="Q315" s="52">
        <f t="shared" si="63"/>
        <v>1</v>
      </c>
      <c r="R315" s="488">
        <f t="shared" si="64"/>
        <v>0</v>
      </c>
      <c r="S315" s="796">
        <f t="shared" si="65"/>
        <v>0</v>
      </c>
    </row>
    <row r="316" spans="1:19">
      <c r="A316" s="962"/>
      <c r="B316" s="135"/>
      <c r="C316" s="52">
        <f t="shared" si="56"/>
        <v>1</v>
      </c>
      <c r="D316" s="960"/>
      <c r="E316" s="52">
        <f t="shared" si="57"/>
        <v>1</v>
      </c>
      <c r="F316" s="960"/>
      <c r="G316" s="52">
        <f t="shared" si="58"/>
        <v>1</v>
      </c>
      <c r="H316" s="960"/>
      <c r="I316" s="52">
        <f t="shared" si="59"/>
        <v>1</v>
      </c>
      <c r="J316" s="960"/>
      <c r="K316" s="52">
        <f t="shared" si="60"/>
        <v>1</v>
      </c>
      <c r="L316" s="960"/>
      <c r="M316" s="52">
        <f t="shared" si="61"/>
        <v>1</v>
      </c>
      <c r="N316" s="960"/>
      <c r="O316" s="52">
        <f t="shared" si="62"/>
        <v>1</v>
      </c>
      <c r="P316" s="960"/>
      <c r="Q316" s="52">
        <f t="shared" si="63"/>
        <v>1</v>
      </c>
      <c r="R316" s="488">
        <f t="shared" si="64"/>
        <v>0</v>
      </c>
      <c r="S316" s="796">
        <f t="shared" si="65"/>
        <v>0</v>
      </c>
    </row>
    <row r="317" spans="1:19">
      <c r="A317" s="962"/>
      <c r="B317" s="135"/>
      <c r="C317" s="52">
        <f t="shared" si="56"/>
        <v>1</v>
      </c>
      <c r="D317" s="960"/>
      <c r="E317" s="52">
        <f t="shared" si="57"/>
        <v>1</v>
      </c>
      <c r="F317" s="960"/>
      <c r="G317" s="52">
        <f t="shared" si="58"/>
        <v>1</v>
      </c>
      <c r="H317" s="960"/>
      <c r="I317" s="52">
        <f t="shared" si="59"/>
        <v>1</v>
      </c>
      <c r="J317" s="960"/>
      <c r="K317" s="52">
        <f t="shared" si="60"/>
        <v>1</v>
      </c>
      <c r="L317" s="960"/>
      <c r="M317" s="52">
        <f t="shared" si="61"/>
        <v>1</v>
      </c>
      <c r="N317" s="960"/>
      <c r="O317" s="52">
        <f t="shared" si="62"/>
        <v>1</v>
      </c>
      <c r="P317" s="960"/>
      <c r="Q317" s="52">
        <f t="shared" si="63"/>
        <v>1</v>
      </c>
      <c r="R317" s="488">
        <f t="shared" si="64"/>
        <v>0</v>
      </c>
      <c r="S317" s="796">
        <f t="shared" si="65"/>
        <v>0</v>
      </c>
    </row>
    <row r="318" spans="1:19">
      <c r="A318" s="962"/>
      <c r="B318" s="135"/>
      <c r="C318" s="52">
        <f t="shared" si="56"/>
        <v>1</v>
      </c>
      <c r="D318" s="960"/>
      <c r="E318" s="52">
        <f t="shared" si="57"/>
        <v>1</v>
      </c>
      <c r="F318" s="960"/>
      <c r="G318" s="52">
        <f t="shared" si="58"/>
        <v>1</v>
      </c>
      <c r="H318" s="960"/>
      <c r="I318" s="52">
        <f t="shared" si="59"/>
        <v>1</v>
      </c>
      <c r="J318" s="960"/>
      <c r="K318" s="52">
        <f t="shared" si="60"/>
        <v>1</v>
      </c>
      <c r="L318" s="960"/>
      <c r="M318" s="52">
        <f t="shared" si="61"/>
        <v>1</v>
      </c>
      <c r="N318" s="960"/>
      <c r="O318" s="52">
        <f t="shared" si="62"/>
        <v>1</v>
      </c>
      <c r="P318" s="960"/>
      <c r="Q318" s="52">
        <f t="shared" si="63"/>
        <v>1</v>
      </c>
      <c r="R318" s="488">
        <f t="shared" si="64"/>
        <v>0</v>
      </c>
      <c r="S318" s="796">
        <f t="shared" si="65"/>
        <v>0</v>
      </c>
    </row>
    <row r="319" spans="1:19">
      <c r="A319" s="962"/>
      <c r="B319" s="135"/>
      <c r="C319" s="52">
        <f t="shared" si="56"/>
        <v>1</v>
      </c>
      <c r="D319" s="960"/>
      <c r="E319" s="52">
        <f t="shared" si="57"/>
        <v>1</v>
      </c>
      <c r="F319" s="960"/>
      <c r="G319" s="52">
        <f t="shared" si="58"/>
        <v>1</v>
      </c>
      <c r="H319" s="960"/>
      <c r="I319" s="52">
        <f t="shared" si="59"/>
        <v>1</v>
      </c>
      <c r="J319" s="960"/>
      <c r="K319" s="52">
        <f t="shared" si="60"/>
        <v>1</v>
      </c>
      <c r="L319" s="960"/>
      <c r="M319" s="52">
        <f t="shared" si="61"/>
        <v>1</v>
      </c>
      <c r="N319" s="960"/>
      <c r="O319" s="52">
        <f t="shared" si="62"/>
        <v>1</v>
      </c>
      <c r="P319" s="960"/>
      <c r="Q319" s="52">
        <f t="shared" si="63"/>
        <v>1</v>
      </c>
      <c r="R319" s="488">
        <f t="shared" si="64"/>
        <v>0</v>
      </c>
      <c r="S319" s="796">
        <f t="shared" si="65"/>
        <v>0</v>
      </c>
    </row>
    <row r="320" spans="1:19">
      <c r="A320" s="962"/>
      <c r="B320" s="135"/>
      <c r="C320" s="52">
        <f t="shared" si="56"/>
        <v>1</v>
      </c>
      <c r="D320" s="960"/>
      <c r="E320" s="52">
        <f t="shared" si="57"/>
        <v>1</v>
      </c>
      <c r="F320" s="960"/>
      <c r="G320" s="52">
        <f t="shared" si="58"/>
        <v>1</v>
      </c>
      <c r="H320" s="960"/>
      <c r="I320" s="52">
        <f t="shared" si="59"/>
        <v>1</v>
      </c>
      <c r="J320" s="960"/>
      <c r="K320" s="52">
        <f t="shared" si="60"/>
        <v>1</v>
      </c>
      <c r="L320" s="960"/>
      <c r="M320" s="52">
        <f t="shared" si="61"/>
        <v>1</v>
      </c>
      <c r="N320" s="960"/>
      <c r="O320" s="52">
        <f t="shared" si="62"/>
        <v>1</v>
      </c>
      <c r="P320" s="960"/>
      <c r="Q320" s="52">
        <f t="shared" si="63"/>
        <v>1</v>
      </c>
      <c r="R320" s="488">
        <f t="shared" si="64"/>
        <v>0</v>
      </c>
      <c r="S320" s="796">
        <f t="shared" si="65"/>
        <v>0</v>
      </c>
    </row>
    <row r="321" spans="1:19">
      <c r="A321" s="962"/>
      <c r="B321" s="135"/>
      <c r="C321" s="52">
        <f t="shared" si="56"/>
        <v>1</v>
      </c>
      <c r="D321" s="960"/>
      <c r="E321" s="52">
        <f t="shared" si="57"/>
        <v>1</v>
      </c>
      <c r="F321" s="960"/>
      <c r="G321" s="52">
        <f t="shared" si="58"/>
        <v>1</v>
      </c>
      <c r="H321" s="960"/>
      <c r="I321" s="52">
        <f t="shared" si="59"/>
        <v>1</v>
      </c>
      <c r="J321" s="960"/>
      <c r="K321" s="52">
        <f t="shared" si="60"/>
        <v>1</v>
      </c>
      <c r="L321" s="960"/>
      <c r="M321" s="52">
        <f t="shared" si="61"/>
        <v>1</v>
      </c>
      <c r="N321" s="960"/>
      <c r="O321" s="52">
        <f t="shared" si="62"/>
        <v>1</v>
      </c>
      <c r="P321" s="960"/>
      <c r="Q321" s="52">
        <f t="shared" si="63"/>
        <v>1</v>
      </c>
      <c r="R321" s="488">
        <f t="shared" si="64"/>
        <v>0</v>
      </c>
      <c r="S321" s="796">
        <f t="shared" ref="S321:S384" si="66">ROUND(R321*B321/10000,0)</f>
        <v>0</v>
      </c>
    </row>
    <row r="322" spans="1:19">
      <c r="A322" s="962"/>
      <c r="B322" s="135"/>
      <c r="C322" s="52">
        <f t="shared" si="56"/>
        <v>1</v>
      </c>
      <c r="D322" s="960"/>
      <c r="E322" s="52">
        <f t="shared" si="57"/>
        <v>1</v>
      </c>
      <c r="F322" s="960"/>
      <c r="G322" s="52">
        <f t="shared" si="58"/>
        <v>1</v>
      </c>
      <c r="H322" s="960"/>
      <c r="I322" s="52">
        <f t="shared" si="59"/>
        <v>1</v>
      </c>
      <c r="J322" s="960"/>
      <c r="K322" s="52">
        <f t="shared" si="60"/>
        <v>1</v>
      </c>
      <c r="L322" s="960"/>
      <c r="M322" s="52">
        <f t="shared" si="61"/>
        <v>1</v>
      </c>
      <c r="N322" s="960"/>
      <c r="O322" s="52">
        <f t="shared" si="62"/>
        <v>1</v>
      </c>
      <c r="P322" s="960"/>
      <c r="Q322" s="52">
        <f t="shared" si="63"/>
        <v>1</v>
      </c>
      <c r="R322" s="488">
        <f t="shared" si="64"/>
        <v>0</v>
      </c>
      <c r="S322" s="796">
        <f t="shared" si="66"/>
        <v>0</v>
      </c>
    </row>
    <row r="323" spans="1:19">
      <c r="A323" s="962"/>
      <c r="B323" s="135"/>
      <c r="C323" s="52">
        <f t="shared" si="56"/>
        <v>1</v>
      </c>
      <c r="D323" s="960"/>
      <c r="E323" s="52">
        <f t="shared" si="57"/>
        <v>1</v>
      </c>
      <c r="F323" s="960"/>
      <c r="G323" s="52">
        <f t="shared" si="58"/>
        <v>1</v>
      </c>
      <c r="H323" s="960"/>
      <c r="I323" s="52">
        <f t="shared" si="59"/>
        <v>1</v>
      </c>
      <c r="J323" s="960"/>
      <c r="K323" s="52">
        <f t="shared" si="60"/>
        <v>1</v>
      </c>
      <c r="L323" s="960"/>
      <c r="M323" s="52">
        <f t="shared" si="61"/>
        <v>1</v>
      </c>
      <c r="N323" s="960"/>
      <c r="O323" s="52">
        <f t="shared" si="62"/>
        <v>1</v>
      </c>
      <c r="P323" s="960"/>
      <c r="Q323" s="52">
        <f t="shared" si="63"/>
        <v>1</v>
      </c>
      <c r="R323" s="488">
        <f t="shared" si="64"/>
        <v>0</v>
      </c>
      <c r="S323" s="796">
        <f t="shared" si="66"/>
        <v>0</v>
      </c>
    </row>
    <row r="324" spans="1:19">
      <c r="A324" s="962"/>
      <c r="B324" s="135"/>
      <c r="C324" s="52">
        <f t="shared" si="56"/>
        <v>1</v>
      </c>
      <c r="D324" s="960"/>
      <c r="E324" s="52">
        <f t="shared" si="57"/>
        <v>1</v>
      </c>
      <c r="F324" s="960"/>
      <c r="G324" s="52">
        <f t="shared" si="58"/>
        <v>1</v>
      </c>
      <c r="H324" s="960"/>
      <c r="I324" s="52">
        <f t="shared" si="59"/>
        <v>1</v>
      </c>
      <c r="J324" s="960"/>
      <c r="K324" s="52">
        <f t="shared" si="60"/>
        <v>1</v>
      </c>
      <c r="L324" s="960"/>
      <c r="M324" s="52">
        <f t="shared" si="61"/>
        <v>1</v>
      </c>
      <c r="N324" s="960"/>
      <c r="O324" s="52">
        <f t="shared" si="62"/>
        <v>1</v>
      </c>
      <c r="P324" s="960"/>
      <c r="Q324" s="52">
        <f t="shared" si="63"/>
        <v>1</v>
      </c>
      <c r="R324" s="488">
        <f t="shared" si="64"/>
        <v>0</v>
      </c>
      <c r="S324" s="796">
        <f t="shared" si="66"/>
        <v>0</v>
      </c>
    </row>
    <row r="325" spans="1:19">
      <c r="A325" s="962"/>
      <c r="B325" s="135"/>
      <c r="C325" s="52">
        <f t="shared" si="56"/>
        <v>1</v>
      </c>
      <c r="D325" s="960"/>
      <c r="E325" s="52">
        <f t="shared" si="57"/>
        <v>1</v>
      </c>
      <c r="F325" s="960"/>
      <c r="G325" s="52">
        <f t="shared" si="58"/>
        <v>1</v>
      </c>
      <c r="H325" s="960"/>
      <c r="I325" s="52">
        <f t="shared" si="59"/>
        <v>1</v>
      </c>
      <c r="J325" s="960"/>
      <c r="K325" s="52">
        <f t="shared" si="60"/>
        <v>1</v>
      </c>
      <c r="L325" s="960"/>
      <c r="M325" s="52">
        <f t="shared" si="61"/>
        <v>1</v>
      </c>
      <c r="N325" s="960"/>
      <c r="O325" s="52">
        <f t="shared" si="62"/>
        <v>1</v>
      </c>
      <c r="P325" s="960"/>
      <c r="Q325" s="52">
        <f t="shared" si="63"/>
        <v>1</v>
      </c>
      <c r="R325" s="488">
        <f t="shared" si="64"/>
        <v>0</v>
      </c>
      <c r="S325" s="796">
        <f t="shared" si="66"/>
        <v>0</v>
      </c>
    </row>
    <row r="326" spans="1:19">
      <c r="A326" s="962"/>
      <c r="B326" s="135"/>
      <c r="C326" s="52">
        <f t="shared" si="56"/>
        <v>1</v>
      </c>
      <c r="D326" s="960"/>
      <c r="E326" s="52">
        <f t="shared" si="57"/>
        <v>1</v>
      </c>
      <c r="F326" s="960"/>
      <c r="G326" s="52">
        <f t="shared" si="58"/>
        <v>1</v>
      </c>
      <c r="H326" s="960"/>
      <c r="I326" s="52">
        <f t="shared" si="59"/>
        <v>1</v>
      </c>
      <c r="J326" s="960"/>
      <c r="K326" s="52">
        <f t="shared" si="60"/>
        <v>1</v>
      </c>
      <c r="L326" s="960"/>
      <c r="M326" s="52">
        <f t="shared" si="61"/>
        <v>1</v>
      </c>
      <c r="N326" s="960"/>
      <c r="O326" s="52">
        <f t="shared" si="62"/>
        <v>1</v>
      </c>
      <c r="P326" s="960"/>
      <c r="Q326" s="52">
        <f t="shared" si="63"/>
        <v>1</v>
      </c>
      <c r="R326" s="488">
        <f t="shared" si="64"/>
        <v>0</v>
      </c>
      <c r="S326" s="796">
        <f t="shared" si="66"/>
        <v>0</v>
      </c>
    </row>
    <row r="327" spans="1:19">
      <c r="A327" s="962"/>
      <c r="B327" s="135"/>
      <c r="C327" s="52">
        <f t="shared" si="56"/>
        <v>1</v>
      </c>
      <c r="D327" s="960"/>
      <c r="E327" s="52">
        <f t="shared" si="57"/>
        <v>1</v>
      </c>
      <c r="F327" s="960"/>
      <c r="G327" s="52">
        <f t="shared" si="58"/>
        <v>1</v>
      </c>
      <c r="H327" s="960"/>
      <c r="I327" s="52">
        <f t="shared" si="59"/>
        <v>1</v>
      </c>
      <c r="J327" s="960"/>
      <c r="K327" s="52">
        <f t="shared" si="60"/>
        <v>1</v>
      </c>
      <c r="L327" s="960"/>
      <c r="M327" s="52">
        <f t="shared" si="61"/>
        <v>1</v>
      </c>
      <c r="N327" s="960"/>
      <c r="O327" s="52">
        <f t="shared" si="62"/>
        <v>1</v>
      </c>
      <c r="P327" s="960"/>
      <c r="Q327" s="52">
        <f t="shared" si="63"/>
        <v>1</v>
      </c>
      <c r="R327" s="488">
        <f t="shared" si="64"/>
        <v>0</v>
      </c>
      <c r="S327" s="796">
        <f t="shared" si="66"/>
        <v>0</v>
      </c>
    </row>
    <row r="328" spans="1:19">
      <c r="A328" s="962"/>
      <c r="B328" s="135"/>
      <c r="C328" s="52">
        <f t="shared" si="56"/>
        <v>1</v>
      </c>
      <c r="D328" s="960"/>
      <c r="E328" s="52">
        <f t="shared" si="57"/>
        <v>1</v>
      </c>
      <c r="F328" s="960"/>
      <c r="G328" s="52">
        <f t="shared" si="58"/>
        <v>1</v>
      </c>
      <c r="H328" s="960"/>
      <c r="I328" s="52">
        <f t="shared" si="59"/>
        <v>1</v>
      </c>
      <c r="J328" s="960"/>
      <c r="K328" s="52">
        <f t="shared" si="60"/>
        <v>1</v>
      </c>
      <c r="L328" s="960"/>
      <c r="M328" s="52">
        <f t="shared" si="61"/>
        <v>1</v>
      </c>
      <c r="N328" s="960"/>
      <c r="O328" s="52">
        <f t="shared" si="62"/>
        <v>1</v>
      </c>
      <c r="P328" s="960"/>
      <c r="Q328" s="52">
        <f t="shared" si="63"/>
        <v>1</v>
      </c>
      <c r="R328" s="488">
        <f t="shared" si="64"/>
        <v>0</v>
      </c>
      <c r="S328" s="796">
        <f t="shared" si="66"/>
        <v>0</v>
      </c>
    </row>
    <row r="329" spans="1:19">
      <c r="A329" s="962"/>
      <c r="B329" s="135"/>
      <c r="C329" s="52">
        <f t="shared" si="56"/>
        <v>1</v>
      </c>
      <c r="D329" s="960"/>
      <c r="E329" s="52">
        <f t="shared" si="57"/>
        <v>1</v>
      </c>
      <c r="F329" s="960"/>
      <c r="G329" s="52">
        <f t="shared" si="58"/>
        <v>1</v>
      </c>
      <c r="H329" s="960"/>
      <c r="I329" s="52">
        <f t="shared" si="59"/>
        <v>1</v>
      </c>
      <c r="J329" s="960"/>
      <c r="K329" s="52">
        <f t="shared" si="60"/>
        <v>1</v>
      </c>
      <c r="L329" s="960"/>
      <c r="M329" s="52">
        <f t="shared" si="61"/>
        <v>1</v>
      </c>
      <c r="N329" s="960"/>
      <c r="O329" s="52">
        <f t="shared" si="62"/>
        <v>1</v>
      </c>
      <c r="P329" s="960"/>
      <c r="Q329" s="52">
        <f t="shared" si="63"/>
        <v>1</v>
      </c>
      <c r="R329" s="488">
        <f t="shared" si="64"/>
        <v>0</v>
      </c>
      <c r="S329" s="796">
        <f t="shared" si="66"/>
        <v>0</v>
      </c>
    </row>
    <row r="330" spans="1:19">
      <c r="A330" s="962"/>
      <c r="B330" s="135"/>
      <c r="C330" s="52">
        <f t="shared" si="56"/>
        <v>1</v>
      </c>
      <c r="D330" s="960"/>
      <c r="E330" s="52">
        <f t="shared" si="57"/>
        <v>1</v>
      </c>
      <c r="F330" s="960"/>
      <c r="G330" s="52">
        <f t="shared" si="58"/>
        <v>1</v>
      </c>
      <c r="H330" s="960"/>
      <c r="I330" s="52">
        <f t="shared" si="59"/>
        <v>1</v>
      </c>
      <c r="J330" s="960"/>
      <c r="K330" s="52">
        <f t="shared" si="60"/>
        <v>1</v>
      </c>
      <c r="L330" s="960"/>
      <c r="M330" s="52">
        <f t="shared" si="61"/>
        <v>1</v>
      </c>
      <c r="N330" s="960"/>
      <c r="O330" s="52">
        <f t="shared" si="62"/>
        <v>1</v>
      </c>
      <c r="P330" s="960"/>
      <c r="Q330" s="52">
        <f t="shared" si="63"/>
        <v>1</v>
      </c>
      <c r="R330" s="488">
        <f t="shared" si="64"/>
        <v>0</v>
      </c>
      <c r="S330" s="796">
        <f t="shared" si="66"/>
        <v>0</v>
      </c>
    </row>
    <row r="331" spans="1:19">
      <c r="A331" s="962"/>
      <c r="B331" s="135"/>
      <c r="C331" s="52">
        <f t="shared" si="56"/>
        <v>1</v>
      </c>
      <c r="D331" s="960"/>
      <c r="E331" s="52">
        <f t="shared" si="57"/>
        <v>1</v>
      </c>
      <c r="F331" s="960"/>
      <c r="G331" s="52">
        <f t="shared" si="58"/>
        <v>1</v>
      </c>
      <c r="H331" s="960"/>
      <c r="I331" s="52">
        <f t="shared" si="59"/>
        <v>1</v>
      </c>
      <c r="J331" s="960"/>
      <c r="K331" s="52">
        <f t="shared" si="60"/>
        <v>1</v>
      </c>
      <c r="L331" s="960"/>
      <c r="M331" s="52">
        <f t="shared" si="61"/>
        <v>1</v>
      </c>
      <c r="N331" s="960"/>
      <c r="O331" s="52">
        <f t="shared" si="62"/>
        <v>1</v>
      </c>
      <c r="P331" s="960"/>
      <c r="Q331" s="52">
        <f t="shared" si="63"/>
        <v>1</v>
      </c>
      <c r="R331" s="488">
        <f t="shared" si="64"/>
        <v>0</v>
      </c>
      <c r="S331" s="796">
        <f t="shared" si="66"/>
        <v>0</v>
      </c>
    </row>
    <row r="332" spans="1:19">
      <c r="A332" s="962"/>
      <c r="B332" s="135"/>
      <c r="C332" s="52">
        <f t="shared" si="56"/>
        <v>1</v>
      </c>
      <c r="D332" s="960"/>
      <c r="E332" s="52">
        <f t="shared" si="57"/>
        <v>1</v>
      </c>
      <c r="F332" s="960"/>
      <c r="G332" s="52">
        <f t="shared" si="58"/>
        <v>1</v>
      </c>
      <c r="H332" s="960"/>
      <c r="I332" s="52">
        <f t="shared" si="59"/>
        <v>1</v>
      </c>
      <c r="J332" s="960"/>
      <c r="K332" s="52">
        <f t="shared" si="60"/>
        <v>1</v>
      </c>
      <c r="L332" s="960"/>
      <c r="M332" s="52">
        <f t="shared" si="61"/>
        <v>1</v>
      </c>
      <c r="N332" s="960"/>
      <c r="O332" s="52">
        <f t="shared" si="62"/>
        <v>1</v>
      </c>
      <c r="P332" s="960"/>
      <c r="Q332" s="52">
        <f t="shared" si="63"/>
        <v>1</v>
      </c>
      <c r="R332" s="488">
        <f t="shared" si="64"/>
        <v>0</v>
      </c>
      <c r="S332" s="796">
        <f t="shared" si="66"/>
        <v>0</v>
      </c>
    </row>
    <row r="333" spans="1:19">
      <c r="A333" s="962"/>
      <c r="B333" s="135"/>
      <c r="C333" s="52">
        <f t="shared" si="56"/>
        <v>1</v>
      </c>
      <c r="D333" s="960"/>
      <c r="E333" s="52">
        <f t="shared" si="57"/>
        <v>1</v>
      </c>
      <c r="F333" s="960"/>
      <c r="G333" s="52">
        <f t="shared" si="58"/>
        <v>1</v>
      </c>
      <c r="H333" s="960"/>
      <c r="I333" s="52">
        <f t="shared" si="59"/>
        <v>1</v>
      </c>
      <c r="J333" s="960"/>
      <c r="K333" s="52">
        <f t="shared" si="60"/>
        <v>1</v>
      </c>
      <c r="L333" s="960"/>
      <c r="M333" s="52">
        <f t="shared" si="61"/>
        <v>1</v>
      </c>
      <c r="N333" s="960"/>
      <c r="O333" s="52">
        <f t="shared" si="62"/>
        <v>1</v>
      </c>
      <c r="P333" s="960"/>
      <c r="Q333" s="52">
        <f t="shared" si="63"/>
        <v>1</v>
      </c>
      <c r="R333" s="488">
        <f t="shared" si="64"/>
        <v>0</v>
      </c>
      <c r="S333" s="796">
        <f t="shared" si="66"/>
        <v>0</v>
      </c>
    </row>
    <row r="334" spans="1:19">
      <c r="A334" s="962"/>
      <c r="B334" s="135"/>
      <c r="C334" s="52">
        <f t="shared" si="56"/>
        <v>1</v>
      </c>
      <c r="D334" s="960"/>
      <c r="E334" s="52">
        <f t="shared" si="57"/>
        <v>1</v>
      </c>
      <c r="F334" s="960"/>
      <c r="G334" s="52">
        <f t="shared" si="58"/>
        <v>1</v>
      </c>
      <c r="H334" s="960"/>
      <c r="I334" s="52">
        <f t="shared" si="59"/>
        <v>1</v>
      </c>
      <c r="J334" s="960"/>
      <c r="K334" s="52">
        <f t="shared" si="60"/>
        <v>1</v>
      </c>
      <c r="L334" s="960"/>
      <c r="M334" s="52">
        <f t="shared" si="61"/>
        <v>1</v>
      </c>
      <c r="N334" s="960"/>
      <c r="O334" s="52">
        <f t="shared" si="62"/>
        <v>1</v>
      </c>
      <c r="P334" s="960"/>
      <c r="Q334" s="52">
        <f t="shared" si="63"/>
        <v>1</v>
      </c>
      <c r="R334" s="488">
        <f t="shared" si="64"/>
        <v>0</v>
      </c>
      <c r="S334" s="796">
        <f t="shared" si="66"/>
        <v>0</v>
      </c>
    </row>
    <row r="335" spans="1:19">
      <c r="A335" s="962"/>
      <c r="B335" s="135"/>
      <c r="C335" s="52">
        <f t="shared" si="56"/>
        <v>1</v>
      </c>
      <c r="D335" s="960"/>
      <c r="E335" s="52">
        <f t="shared" si="57"/>
        <v>1</v>
      </c>
      <c r="F335" s="960"/>
      <c r="G335" s="52">
        <f t="shared" si="58"/>
        <v>1</v>
      </c>
      <c r="H335" s="960"/>
      <c r="I335" s="52">
        <f t="shared" si="59"/>
        <v>1</v>
      </c>
      <c r="J335" s="960"/>
      <c r="K335" s="52">
        <f t="shared" si="60"/>
        <v>1</v>
      </c>
      <c r="L335" s="960"/>
      <c r="M335" s="52">
        <f t="shared" si="61"/>
        <v>1</v>
      </c>
      <c r="N335" s="960"/>
      <c r="O335" s="52">
        <f t="shared" si="62"/>
        <v>1</v>
      </c>
      <c r="P335" s="960"/>
      <c r="Q335" s="52">
        <f t="shared" si="63"/>
        <v>1</v>
      </c>
      <c r="R335" s="488">
        <f t="shared" si="64"/>
        <v>0</v>
      </c>
      <c r="S335" s="796">
        <f t="shared" si="66"/>
        <v>0</v>
      </c>
    </row>
    <row r="336" spans="1:19">
      <c r="A336" s="962"/>
      <c r="B336" s="135"/>
      <c r="C336" s="52">
        <f t="shared" si="56"/>
        <v>1</v>
      </c>
      <c r="D336" s="960"/>
      <c r="E336" s="52">
        <f t="shared" si="57"/>
        <v>1</v>
      </c>
      <c r="F336" s="960"/>
      <c r="G336" s="52">
        <f t="shared" si="58"/>
        <v>1</v>
      </c>
      <c r="H336" s="960"/>
      <c r="I336" s="52">
        <f t="shared" si="59"/>
        <v>1</v>
      </c>
      <c r="J336" s="960"/>
      <c r="K336" s="52">
        <f t="shared" si="60"/>
        <v>1</v>
      </c>
      <c r="L336" s="960"/>
      <c r="M336" s="52">
        <f t="shared" si="61"/>
        <v>1</v>
      </c>
      <c r="N336" s="960"/>
      <c r="O336" s="52">
        <f t="shared" si="62"/>
        <v>1</v>
      </c>
      <c r="P336" s="960"/>
      <c r="Q336" s="52">
        <f t="shared" si="63"/>
        <v>1</v>
      </c>
      <c r="R336" s="488">
        <f t="shared" si="64"/>
        <v>0</v>
      </c>
      <c r="S336" s="796">
        <f t="shared" si="66"/>
        <v>0</v>
      </c>
    </row>
    <row r="337" spans="1:19">
      <c r="A337" s="962"/>
      <c r="B337" s="135"/>
      <c r="C337" s="52">
        <f t="shared" si="56"/>
        <v>1</v>
      </c>
      <c r="D337" s="960"/>
      <c r="E337" s="52">
        <f t="shared" si="57"/>
        <v>1</v>
      </c>
      <c r="F337" s="960"/>
      <c r="G337" s="52">
        <f t="shared" si="58"/>
        <v>1</v>
      </c>
      <c r="H337" s="960"/>
      <c r="I337" s="52">
        <f t="shared" si="59"/>
        <v>1</v>
      </c>
      <c r="J337" s="960"/>
      <c r="K337" s="52">
        <f t="shared" si="60"/>
        <v>1</v>
      </c>
      <c r="L337" s="960"/>
      <c r="M337" s="52">
        <f t="shared" si="61"/>
        <v>1</v>
      </c>
      <c r="N337" s="960"/>
      <c r="O337" s="52">
        <f t="shared" si="62"/>
        <v>1</v>
      </c>
      <c r="P337" s="960"/>
      <c r="Q337" s="52">
        <f t="shared" si="63"/>
        <v>1</v>
      </c>
      <c r="R337" s="488">
        <f t="shared" si="64"/>
        <v>0</v>
      </c>
      <c r="S337" s="796">
        <f t="shared" si="66"/>
        <v>0</v>
      </c>
    </row>
    <row r="338" spans="1:19">
      <c r="A338" s="962"/>
      <c r="B338" s="135"/>
      <c r="C338" s="52">
        <f t="shared" si="56"/>
        <v>1</v>
      </c>
      <c r="D338" s="960"/>
      <c r="E338" s="52">
        <f t="shared" si="57"/>
        <v>1</v>
      </c>
      <c r="F338" s="960"/>
      <c r="G338" s="52">
        <f t="shared" si="58"/>
        <v>1</v>
      </c>
      <c r="H338" s="960"/>
      <c r="I338" s="52">
        <f t="shared" si="59"/>
        <v>1</v>
      </c>
      <c r="J338" s="960"/>
      <c r="K338" s="52">
        <f t="shared" si="60"/>
        <v>1</v>
      </c>
      <c r="L338" s="960"/>
      <c r="M338" s="52">
        <f t="shared" si="61"/>
        <v>1</v>
      </c>
      <c r="N338" s="960"/>
      <c r="O338" s="52">
        <f t="shared" si="62"/>
        <v>1</v>
      </c>
      <c r="P338" s="960"/>
      <c r="Q338" s="52">
        <f t="shared" si="63"/>
        <v>1</v>
      </c>
      <c r="R338" s="488">
        <f t="shared" si="64"/>
        <v>0</v>
      </c>
      <c r="S338" s="796">
        <f t="shared" si="66"/>
        <v>0</v>
      </c>
    </row>
    <row r="339" spans="1:19">
      <c r="A339" s="962"/>
      <c r="B339" s="135"/>
      <c r="C339" s="52">
        <f t="shared" si="56"/>
        <v>1</v>
      </c>
      <c r="D339" s="960"/>
      <c r="E339" s="52">
        <f t="shared" si="57"/>
        <v>1</v>
      </c>
      <c r="F339" s="960"/>
      <c r="G339" s="52">
        <f t="shared" si="58"/>
        <v>1</v>
      </c>
      <c r="H339" s="960"/>
      <c r="I339" s="52">
        <f t="shared" si="59"/>
        <v>1</v>
      </c>
      <c r="J339" s="960"/>
      <c r="K339" s="52">
        <f t="shared" si="60"/>
        <v>1</v>
      </c>
      <c r="L339" s="960"/>
      <c r="M339" s="52">
        <f t="shared" si="61"/>
        <v>1</v>
      </c>
      <c r="N339" s="960"/>
      <c r="O339" s="52">
        <f t="shared" si="62"/>
        <v>1</v>
      </c>
      <c r="P339" s="960"/>
      <c r="Q339" s="52">
        <f t="shared" si="63"/>
        <v>1</v>
      </c>
      <c r="R339" s="488">
        <f t="shared" si="64"/>
        <v>0</v>
      </c>
      <c r="S339" s="796">
        <f t="shared" si="66"/>
        <v>0</v>
      </c>
    </row>
    <row r="340" spans="1:19">
      <c r="A340" s="962"/>
      <c r="B340" s="135"/>
      <c r="C340" s="52">
        <f t="shared" si="56"/>
        <v>1</v>
      </c>
      <c r="D340" s="960"/>
      <c r="E340" s="52">
        <f t="shared" si="57"/>
        <v>1</v>
      </c>
      <c r="F340" s="960"/>
      <c r="G340" s="52">
        <f t="shared" si="58"/>
        <v>1</v>
      </c>
      <c r="H340" s="960"/>
      <c r="I340" s="52">
        <f t="shared" si="59"/>
        <v>1</v>
      </c>
      <c r="J340" s="960"/>
      <c r="K340" s="52">
        <f t="shared" si="60"/>
        <v>1</v>
      </c>
      <c r="L340" s="960"/>
      <c r="M340" s="52">
        <f t="shared" si="61"/>
        <v>1</v>
      </c>
      <c r="N340" s="960"/>
      <c r="O340" s="52">
        <f t="shared" si="62"/>
        <v>1</v>
      </c>
      <c r="P340" s="960"/>
      <c r="Q340" s="52">
        <f t="shared" si="63"/>
        <v>1</v>
      </c>
      <c r="R340" s="488">
        <f t="shared" si="64"/>
        <v>0</v>
      </c>
      <c r="S340" s="796">
        <f t="shared" si="66"/>
        <v>0</v>
      </c>
    </row>
    <row r="341" spans="1:19">
      <c r="A341" s="962"/>
      <c r="B341" s="135"/>
      <c r="C341" s="52">
        <f t="shared" si="56"/>
        <v>1</v>
      </c>
      <c r="D341" s="960"/>
      <c r="E341" s="52">
        <f t="shared" si="57"/>
        <v>1</v>
      </c>
      <c r="F341" s="960"/>
      <c r="G341" s="52">
        <f t="shared" si="58"/>
        <v>1</v>
      </c>
      <c r="H341" s="960"/>
      <c r="I341" s="52">
        <f t="shared" si="59"/>
        <v>1</v>
      </c>
      <c r="J341" s="960"/>
      <c r="K341" s="52">
        <f t="shared" si="60"/>
        <v>1</v>
      </c>
      <c r="L341" s="960"/>
      <c r="M341" s="52">
        <f t="shared" si="61"/>
        <v>1</v>
      </c>
      <c r="N341" s="960"/>
      <c r="O341" s="52">
        <f t="shared" si="62"/>
        <v>1</v>
      </c>
      <c r="P341" s="960"/>
      <c r="Q341" s="52">
        <f t="shared" si="63"/>
        <v>1</v>
      </c>
      <c r="R341" s="488">
        <f t="shared" si="64"/>
        <v>0</v>
      </c>
      <c r="S341" s="796">
        <f t="shared" si="66"/>
        <v>0</v>
      </c>
    </row>
    <row r="342" spans="1:19">
      <c r="A342" s="962"/>
      <c r="B342" s="135"/>
      <c r="C342" s="52">
        <f t="shared" si="56"/>
        <v>1</v>
      </c>
      <c r="D342" s="960"/>
      <c r="E342" s="52">
        <f t="shared" si="57"/>
        <v>1</v>
      </c>
      <c r="F342" s="960"/>
      <c r="G342" s="52">
        <f t="shared" si="58"/>
        <v>1</v>
      </c>
      <c r="H342" s="960"/>
      <c r="I342" s="52">
        <f t="shared" si="59"/>
        <v>1</v>
      </c>
      <c r="J342" s="960"/>
      <c r="K342" s="52">
        <f t="shared" si="60"/>
        <v>1</v>
      </c>
      <c r="L342" s="960"/>
      <c r="M342" s="52">
        <f t="shared" si="61"/>
        <v>1</v>
      </c>
      <c r="N342" s="960"/>
      <c r="O342" s="52">
        <f t="shared" si="62"/>
        <v>1</v>
      </c>
      <c r="P342" s="960"/>
      <c r="Q342" s="52">
        <f t="shared" si="63"/>
        <v>1</v>
      </c>
      <c r="R342" s="488">
        <f t="shared" si="64"/>
        <v>0</v>
      </c>
      <c r="S342" s="796">
        <f t="shared" si="66"/>
        <v>0</v>
      </c>
    </row>
    <row r="343" spans="1:19">
      <c r="A343" s="962"/>
      <c r="B343" s="135"/>
      <c r="C343" s="52">
        <f t="shared" si="56"/>
        <v>1</v>
      </c>
      <c r="D343" s="960"/>
      <c r="E343" s="52">
        <f t="shared" si="57"/>
        <v>1</v>
      </c>
      <c r="F343" s="960"/>
      <c r="G343" s="52">
        <f t="shared" si="58"/>
        <v>1</v>
      </c>
      <c r="H343" s="960"/>
      <c r="I343" s="52">
        <f t="shared" si="59"/>
        <v>1</v>
      </c>
      <c r="J343" s="960"/>
      <c r="K343" s="52">
        <f t="shared" si="60"/>
        <v>1</v>
      </c>
      <c r="L343" s="960"/>
      <c r="M343" s="52">
        <f t="shared" si="61"/>
        <v>1</v>
      </c>
      <c r="N343" s="960"/>
      <c r="O343" s="52">
        <f t="shared" si="62"/>
        <v>1</v>
      </c>
      <c r="P343" s="960"/>
      <c r="Q343" s="52">
        <f t="shared" si="63"/>
        <v>1</v>
      </c>
      <c r="R343" s="488">
        <f t="shared" si="64"/>
        <v>0</v>
      </c>
      <c r="S343" s="796">
        <f t="shared" si="66"/>
        <v>0</v>
      </c>
    </row>
    <row r="344" spans="1:19">
      <c r="A344" s="962"/>
      <c r="B344" s="135"/>
      <c r="C344" s="52">
        <f t="shared" si="56"/>
        <v>1</v>
      </c>
      <c r="D344" s="960"/>
      <c r="E344" s="52">
        <f t="shared" si="57"/>
        <v>1</v>
      </c>
      <c r="F344" s="960"/>
      <c r="G344" s="52">
        <f t="shared" si="58"/>
        <v>1</v>
      </c>
      <c r="H344" s="960"/>
      <c r="I344" s="52">
        <f t="shared" si="59"/>
        <v>1</v>
      </c>
      <c r="J344" s="960"/>
      <c r="K344" s="52">
        <f t="shared" si="60"/>
        <v>1</v>
      </c>
      <c r="L344" s="960"/>
      <c r="M344" s="52">
        <f t="shared" si="61"/>
        <v>1</v>
      </c>
      <c r="N344" s="960"/>
      <c r="O344" s="52">
        <f t="shared" si="62"/>
        <v>1</v>
      </c>
      <c r="P344" s="960"/>
      <c r="Q344" s="52">
        <f t="shared" si="63"/>
        <v>1</v>
      </c>
      <c r="R344" s="488">
        <f t="shared" si="64"/>
        <v>0</v>
      </c>
      <c r="S344" s="796">
        <f t="shared" si="66"/>
        <v>0</v>
      </c>
    </row>
    <row r="345" spans="1:19">
      <c r="A345" s="962"/>
      <c r="B345" s="135"/>
      <c r="C345" s="52">
        <f t="shared" si="56"/>
        <v>1</v>
      </c>
      <c r="D345" s="960"/>
      <c r="E345" s="52">
        <f t="shared" si="57"/>
        <v>1</v>
      </c>
      <c r="F345" s="960"/>
      <c r="G345" s="52">
        <f t="shared" si="58"/>
        <v>1</v>
      </c>
      <c r="H345" s="960"/>
      <c r="I345" s="52">
        <f t="shared" si="59"/>
        <v>1</v>
      </c>
      <c r="J345" s="960"/>
      <c r="K345" s="52">
        <f t="shared" si="60"/>
        <v>1</v>
      </c>
      <c r="L345" s="960"/>
      <c r="M345" s="52">
        <f t="shared" si="61"/>
        <v>1</v>
      </c>
      <c r="N345" s="960"/>
      <c r="O345" s="52">
        <f t="shared" si="62"/>
        <v>1</v>
      </c>
      <c r="P345" s="960"/>
      <c r="Q345" s="52">
        <f t="shared" si="63"/>
        <v>1</v>
      </c>
      <c r="R345" s="488">
        <f t="shared" si="64"/>
        <v>0</v>
      </c>
      <c r="S345" s="796">
        <f t="shared" si="66"/>
        <v>0</v>
      </c>
    </row>
    <row r="346" spans="1:19">
      <c r="A346" s="962"/>
      <c r="B346" s="135"/>
      <c r="C346" s="52">
        <f t="shared" ref="C346:C409" si="67">IF(B346="",1,(LOOKUP(B346,$3:$3,$4:$4)-LOOKUP($B$24,$3:$3,$4:$4)+100)/100)</f>
        <v>1</v>
      </c>
      <c r="D346" s="960"/>
      <c r="E346" s="52">
        <f t="shared" ref="E346:E409" si="68">(SUMIF($5:$5,D346,$6:$6)-SUMIF($5:$5,$D$24,$6:$6)+100)/100</f>
        <v>1</v>
      </c>
      <c r="F346" s="960"/>
      <c r="G346" s="52">
        <f t="shared" ref="G346:G409" si="69">(SUMIF($7:$7,F346,$8:$8)-SUMIF($7:$7,$F$24,$8:$8)+100)/100</f>
        <v>1</v>
      </c>
      <c r="H346" s="960"/>
      <c r="I346" s="52">
        <f t="shared" ref="I346:I409" si="70">(SUMIF($9:$9,H346,$10:$10)-SUMIF($9:$9,$H$24,$10:$10)+100)/100</f>
        <v>1</v>
      </c>
      <c r="J346" s="960"/>
      <c r="K346" s="52">
        <f t="shared" ref="K346:K409" si="71">(SUMIF($11:$11,J346,$12:$12)-SUMIF($11:$11,$J$24,$12:$12)+100)/100</f>
        <v>1</v>
      </c>
      <c r="L346" s="960"/>
      <c r="M346" s="52">
        <f t="shared" ref="M346:M409" si="72">(SUMIF($13:$13,L346,$14:$14)-SUMIF($13:$13,$L$24,$14:$14)+100)/100</f>
        <v>1</v>
      </c>
      <c r="N346" s="960"/>
      <c r="O346" s="52">
        <f t="shared" ref="O346:O409" si="73">(SUMIF($15:$15,N346,$16:$16)-SUMIF($15:$15,$N$24,$16:$16)+100)/100</f>
        <v>1</v>
      </c>
      <c r="P346" s="960"/>
      <c r="Q346" s="52">
        <f t="shared" ref="Q346:Q409" si="74">(SUMIF($17:$17,P346,$18:$18)-SUMIF($17:$17,$P$24,$18:$18)+100)/100</f>
        <v>1</v>
      </c>
      <c r="R346" s="488">
        <f t="shared" ref="R346:R409" si="75">IF(B346="",0,ROUND($R$24*C346*E346*G346*I346*K346*M346*O346*Q346,0))</f>
        <v>0</v>
      </c>
      <c r="S346" s="796">
        <f t="shared" si="66"/>
        <v>0</v>
      </c>
    </row>
    <row r="347" spans="1:19">
      <c r="A347" s="962"/>
      <c r="B347" s="135"/>
      <c r="C347" s="52">
        <f t="shared" si="67"/>
        <v>1</v>
      </c>
      <c r="D347" s="960"/>
      <c r="E347" s="52">
        <f t="shared" si="68"/>
        <v>1</v>
      </c>
      <c r="F347" s="960"/>
      <c r="G347" s="52">
        <f t="shared" si="69"/>
        <v>1</v>
      </c>
      <c r="H347" s="960"/>
      <c r="I347" s="52">
        <f t="shared" si="70"/>
        <v>1</v>
      </c>
      <c r="J347" s="960"/>
      <c r="K347" s="52">
        <f t="shared" si="71"/>
        <v>1</v>
      </c>
      <c r="L347" s="960"/>
      <c r="M347" s="52">
        <f t="shared" si="72"/>
        <v>1</v>
      </c>
      <c r="N347" s="960"/>
      <c r="O347" s="52">
        <f t="shared" si="73"/>
        <v>1</v>
      </c>
      <c r="P347" s="960"/>
      <c r="Q347" s="52">
        <f t="shared" si="74"/>
        <v>1</v>
      </c>
      <c r="R347" s="488">
        <f t="shared" si="75"/>
        <v>0</v>
      </c>
      <c r="S347" s="796">
        <f t="shared" si="66"/>
        <v>0</v>
      </c>
    </row>
    <row r="348" spans="1:19">
      <c r="A348" s="962"/>
      <c r="B348" s="135"/>
      <c r="C348" s="52">
        <f t="shared" si="67"/>
        <v>1</v>
      </c>
      <c r="D348" s="960"/>
      <c r="E348" s="52">
        <f t="shared" si="68"/>
        <v>1</v>
      </c>
      <c r="F348" s="960"/>
      <c r="G348" s="52">
        <f t="shared" si="69"/>
        <v>1</v>
      </c>
      <c r="H348" s="960"/>
      <c r="I348" s="52">
        <f t="shared" si="70"/>
        <v>1</v>
      </c>
      <c r="J348" s="960"/>
      <c r="K348" s="52">
        <f t="shared" si="71"/>
        <v>1</v>
      </c>
      <c r="L348" s="960"/>
      <c r="M348" s="52">
        <f t="shared" si="72"/>
        <v>1</v>
      </c>
      <c r="N348" s="960"/>
      <c r="O348" s="52">
        <f t="shared" si="73"/>
        <v>1</v>
      </c>
      <c r="P348" s="960"/>
      <c r="Q348" s="52">
        <f t="shared" si="74"/>
        <v>1</v>
      </c>
      <c r="R348" s="488">
        <f t="shared" si="75"/>
        <v>0</v>
      </c>
      <c r="S348" s="796">
        <f t="shared" si="66"/>
        <v>0</v>
      </c>
    </row>
    <row r="349" spans="1:19">
      <c r="A349" s="962"/>
      <c r="B349" s="135"/>
      <c r="C349" s="52">
        <f t="shared" si="67"/>
        <v>1</v>
      </c>
      <c r="D349" s="960"/>
      <c r="E349" s="52">
        <f t="shared" si="68"/>
        <v>1</v>
      </c>
      <c r="F349" s="960"/>
      <c r="G349" s="52">
        <f t="shared" si="69"/>
        <v>1</v>
      </c>
      <c r="H349" s="960"/>
      <c r="I349" s="52">
        <f t="shared" si="70"/>
        <v>1</v>
      </c>
      <c r="J349" s="960"/>
      <c r="K349" s="52">
        <f t="shared" si="71"/>
        <v>1</v>
      </c>
      <c r="L349" s="960"/>
      <c r="M349" s="52">
        <f t="shared" si="72"/>
        <v>1</v>
      </c>
      <c r="N349" s="960"/>
      <c r="O349" s="52">
        <f t="shared" si="73"/>
        <v>1</v>
      </c>
      <c r="P349" s="960"/>
      <c r="Q349" s="52">
        <f t="shared" si="74"/>
        <v>1</v>
      </c>
      <c r="R349" s="488">
        <f t="shared" si="75"/>
        <v>0</v>
      </c>
      <c r="S349" s="796">
        <f t="shared" si="66"/>
        <v>0</v>
      </c>
    </row>
    <row r="350" spans="1:19">
      <c r="A350" s="962"/>
      <c r="B350" s="135"/>
      <c r="C350" s="52">
        <f t="shared" si="67"/>
        <v>1</v>
      </c>
      <c r="D350" s="960"/>
      <c r="E350" s="52">
        <f t="shared" si="68"/>
        <v>1</v>
      </c>
      <c r="F350" s="960"/>
      <c r="G350" s="52">
        <f t="shared" si="69"/>
        <v>1</v>
      </c>
      <c r="H350" s="960"/>
      <c r="I350" s="52">
        <f t="shared" si="70"/>
        <v>1</v>
      </c>
      <c r="J350" s="960"/>
      <c r="K350" s="52">
        <f t="shared" si="71"/>
        <v>1</v>
      </c>
      <c r="L350" s="960"/>
      <c r="M350" s="52">
        <f t="shared" si="72"/>
        <v>1</v>
      </c>
      <c r="N350" s="960"/>
      <c r="O350" s="52">
        <f t="shared" si="73"/>
        <v>1</v>
      </c>
      <c r="P350" s="960"/>
      <c r="Q350" s="52">
        <f t="shared" si="74"/>
        <v>1</v>
      </c>
      <c r="R350" s="488">
        <f t="shared" si="75"/>
        <v>0</v>
      </c>
      <c r="S350" s="796">
        <f t="shared" si="66"/>
        <v>0</v>
      </c>
    </row>
    <row r="351" spans="1:19">
      <c r="A351" s="962"/>
      <c r="B351" s="135"/>
      <c r="C351" s="52">
        <f t="shared" si="67"/>
        <v>1</v>
      </c>
      <c r="D351" s="960"/>
      <c r="E351" s="52">
        <f t="shared" si="68"/>
        <v>1</v>
      </c>
      <c r="F351" s="960"/>
      <c r="G351" s="52">
        <f t="shared" si="69"/>
        <v>1</v>
      </c>
      <c r="H351" s="960"/>
      <c r="I351" s="52">
        <f t="shared" si="70"/>
        <v>1</v>
      </c>
      <c r="J351" s="960"/>
      <c r="K351" s="52">
        <f t="shared" si="71"/>
        <v>1</v>
      </c>
      <c r="L351" s="960"/>
      <c r="M351" s="52">
        <f t="shared" si="72"/>
        <v>1</v>
      </c>
      <c r="N351" s="960"/>
      <c r="O351" s="52">
        <f t="shared" si="73"/>
        <v>1</v>
      </c>
      <c r="P351" s="960"/>
      <c r="Q351" s="52">
        <f t="shared" si="74"/>
        <v>1</v>
      </c>
      <c r="R351" s="488">
        <f t="shared" si="75"/>
        <v>0</v>
      </c>
      <c r="S351" s="796">
        <f t="shared" si="66"/>
        <v>0</v>
      </c>
    </row>
    <row r="352" spans="1:19">
      <c r="A352" s="962"/>
      <c r="B352" s="135"/>
      <c r="C352" s="52">
        <f t="shared" si="67"/>
        <v>1</v>
      </c>
      <c r="D352" s="960"/>
      <c r="E352" s="52">
        <f t="shared" si="68"/>
        <v>1</v>
      </c>
      <c r="F352" s="960"/>
      <c r="G352" s="52">
        <f t="shared" si="69"/>
        <v>1</v>
      </c>
      <c r="H352" s="960"/>
      <c r="I352" s="52">
        <f t="shared" si="70"/>
        <v>1</v>
      </c>
      <c r="J352" s="960"/>
      <c r="K352" s="52">
        <f t="shared" si="71"/>
        <v>1</v>
      </c>
      <c r="L352" s="960"/>
      <c r="M352" s="52">
        <f t="shared" si="72"/>
        <v>1</v>
      </c>
      <c r="N352" s="960"/>
      <c r="O352" s="52">
        <f t="shared" si="73"/>
        <v>1</v>
      </c>
      <c r="P352" s="960"/>
      <c r="Q352" s="52">
        <f t="shared" si="74"/>
        <v>1</v>
      </c>
      <c r="R352" s="488">
        <f t="shared" si="75"/>
        <v>0</v>
      </c>
      <c r="S352" s="796">
        <f t="shared" si="66"/>
        <v>0</v>
      </c>
    </row>
    <row r="353" spans="1:19">
      <c r="A353" s="962"/>
      <c r="B353" s="135"/>
      <c r="C353" s="52">
        <f t="shared" si="67"/>
        <v>1</v>
      </c>
      <c r="D353" s="960"/>
      <c r="E353" s="52">
        <f t="shared" si="68"/>
        <v>1</v>
      </c>
      <c r="F353" s="960"/>
      <c r="G353" s="52">
        <f t="shared" si="69"/>
        <v>1</v>
      </c>
      <c r="H353" s="960"/>
      <c r="I353" s="52">
        <f t="shared" si="70"/>
        <v>1</v>
      </c>
      <c r="J353" s="960"/>
      <c r="K353" s="52">
        <f t="shared" si="71"/>
        <v>1</v>
      </c>
      <c r="L353" s="960"/>
      <c r="M353" s="52">
        <f t="shared" si="72"/>
        <v>1</v>
      </c>
      <c r="N353" s="960"/>
      <c r="O353" s="52">
        <f t="shared" si="73"/>
        <v>1</v>
      </c>
      <c r="P353" s="960"/>
      <c r="Q353" s="52">
        <f t="shared" si="74"/>
        <v>1</v>
      </c>
      <c r="R353" s="488">
        <f t="shared" si="75"/>
        <v>0</v>
      </c>
      <c r="S353" s="796">
        <f t="shared" si="66"/>
        <v>0</v>
      </c>
    </row>
    <row r="354" spans="1:19">
      <c r="A354" s="962"/>
      <c r="B354" s="135"/>
      <c r="C354" s="52">
        <f t="shared" si="67"/>
        <v>1</v>
      </c>
      <c r="D354" s="960"/>
      <c r="E354" s="52">
        <f t="shared" si="68"/>
        <v>1</v>
      </c>
      <c r="F354" s="960"/>
      <c r="G354" s="52">
        <f t="shared" si="69"/>
        <v>1</v>
      </c>
      <c r="H354" s="960"/>
      <c r="I354" s="52">
        <f t="shared" si="70"/>
        <v>1</v>
      </c>
      <c r="J354" s="960"/>
      <c r="K354" s="52">
        <f t="shared" si="71"/>
        <v>1</v>
      </c>
      <c r="L354" s="960"/>
      <c r="M354" s="52">
        <f t="shared" si="72"/>
        <v>1</v>
      </c>
      <c r="N354" s="960"/>
      <c r="O354" s="52">
        <f t="shared" si="73"/>
        <v>1</v>
      </c>
      <c r="P354" s="960"/>
      <c r="Q354" s="52">
        <f t="shared" si="74"/>
        <v>1</v>
      </c>
      <c r="R354" s="488">
        <f t="shared" si="75"/>
        <v>0</v>
      </c>
      <c r="S354" s="796">
        <f t="shared" si="66"/>
        <v>0</v>
      </c>
    </row>
    <row r="355" spans="1:19">
      <c r="A355" s="962"/>
      <c r="B355" s="135"/>
      <c r="C355" s="52">
        <f t="shared" si="67"/>
        <v>1</v>
      </c>
      <c r="D355" s="960"/>
      <c r="E355" s="52">
        <f t="shared" si="68"/>
        <v>1</v>
      </c>
      <c r="F355" s="960"/>
      <c r="G355" s="52">
        <f t="shared" si="69"/>
        <v>1</v>
      </c>
      <c r="H355" s="960"/>
      <c r="I355" s="52">
        <f t="shared" si="70"/>
        <v>1</v>
      </c>
      <c r="J355" s="960"/>
      <c r="K355" s="52">
        <f t="shared" si="71"/>
        <v>1</v>
      </c>
      <c r="L355" s="960"/>
      <c r="M355" s="52">
        <f t="shared" si="72"/>
        <v>1</v>
      </c>
      <c r="N355" s="960"/>
      <c r="O355" s="52">
        <f t="shared" si="73"/>
        <v>1</v>
      </c>
      <c r="P355" s="960"/>
      <c r="Q355" s="52">
        <f t="shared" si="74"/>
        <v>1</v>
      </c>
      <c r="R355" s="488">
        <f t="shared" si="75"/>
        <v>0</v>
      </c>
      <c r="S355" s="796">
        <f t="shared" si="66"/>
        <v>0</v>
      </c>
    </row>
    <row r="356" spans="1:19">
      <c r="A356" s="962"/>
      <c r="B356" s="135"/>
      <c r="C356" s="52">
        <f t="shared" si="67"/>
        <v>1</v>
      </c>
      <c r="D356" s="960"/>
      <c r="E356" s="52">
        <f t="shared" si="68"/>
        <v>1</v>
      </c>
      <c r="F356" s="960"/>
      <c r="G356" s="52">
        <f t="shared" si="69"/>
        <v>1</v>
      </c>
      <c r="H356" s="960"/>
      <c r="I356" s="52">
        <f t="shared" si="70"/>
        <v>1</v>
      </c>
      <c r="J356" s="960"/>
      <c r="K356" s="52">
        <f t="shared" si="71"/>
        <v>1</v>
      </c>
      <c r="L356" s="960"/>
      <c r="M356" s="52">
        <f t="shared" si="72"/>
        <v>1</v>
      </c>
      <c r="N356" s="960"/>
      <c r="O356" s="52">
        <f t="shared" si="73"/>
        <v>1</v>
      </c>
      <c r="P356" s="960"/>
      <c r="Q356" s="52">
        <f t="shared" si="74"/>
        <v>1</v>
      </c>
      <c r="R356" s="488">
        <f t="shared" si="75"/>
        <v>0</v>
      </c>
      <c r="S356" s="796">
        <f t="shared" si="66"/>
        <v>0</v>
      </c>
    </row>
    <row r="357" spans="1:19">
      <c r="A357" s="962"/>
      <c r="B357" s="135"/>
      <c r="C357" s="52">
        <f t="shared" si="67"/>
        <v>1</v>
      </c>
      <c r="D357" s="960"/>
      <c r="E357" s="52">
        <f t="shared" si="68"/>
        <v>1</v>
      </c>
      <c r="F357" s="960"/>
      <c r="G357" s="52">
        <f t="shared" si="69"/>
        <v>1</v>
      </c>
      <c r="H357" s="960"/>
      <c r="I357" s="52">
        <f t="shared" si="70"/>
        <v>1</v>
      </c>
      <c r="J357" s="960"/>
      <c r="K357" s="52">
        <f t="shared" si="71"/>
        <v>1</v>
      </c>
      <c r="L357" s="960"/>
      <c r="M357" s="52">
        <f t="shared" si="72"/>
        <v>1</v>
      </c>
      <c r="N357" s="960"/>
      <c r="O357" s="52">
        <f t="shared" si="73"/>
        <v>1</v>
      </c>
      <c r="P357" s="960"/>
      <c r="Q357" s="52">
        <f t="shared" si="74"/>
        <v>1</v>
      </c>
      <c r="R357" s="488">
        <f t="shared" si="75"/>
        <v>0</v>
      </c>
      <c r="S357" s="796">
        <f t="shared" si="66"/>
        <v>0</v>
      </c>
    </row>
    <row r="358" spans="1:19">
      <c r="A358" s="962"/>
      <c r="B358" s="135"/>
      <c r="C358" s="52">
        <f t="shared" si="67"/>
        <v>1</v>
      </c>
      <c r="D358" s="960"/>
      <c r="E358" s="52">
        <f t="shared" si="68"/>
        <v>1</v>
      </c>
      <c r="F358" s="960"/>
      <c r="G358" s="52">
        <f t="shared" si="69"/>
        <v>1</v>
      </c>
      <c r="H358" s="960"/>
      <c r="I358" s="52">
        <f t="shared" si="70"/>
        <v>1</v>
      </c>
      <c r="J358" s="960"/>
      <c r="K358" s="52">
        <f t="shared" si="71"/>
        <v>1</v>
      </c>
      <c r="L358" s="960"/>
      <c r="M358" s="52">
        <f t="shared" si="72"/>
        <v>1</v>
      </c>
      <c r="N358" s="960"/>
      <c r="O358" s="52">
        <f t="shared" si="73"/>
        <v>1</v>
      </c>
      <c r="P358" s="960"/>
      <c r="Q358" s="52">
        <f t="shared" si="74"/>
        <v>1</v>
      </c>
      <c r="R358" s="488">
        <f t="shared" si="75"/>
        <v>0</v>
      </c>
      <c r="S358" s="796">
        <f t="shared" si="66"/>
        <v>0</v>
      </c>
    </row>
    <row r="359" spans="1:19">
      <c r="A359" s="962"/>
      <c r="B359" s="135"/>
      <c r="C359" s="52">
        <f t="shared" si="67"/>
        <v>1</v>
      </c>
      <c r="D359" s="960"/>
      <c r="E359" s="52">
        <f t="shared" si="68"/>
        <v>1</v>
      </c>
      <c r="F359" s="960"/>
      <c r="G359" s="52">
        <f t="shared" si="69"/>
        <v>1</v>
      </c>
      <c r="H359" s="960"/>
      <c r="I359" s="52">
        <f t="shared" si="70"/>
        <v>1</v>
      </c>
      <c r="J359" s="960"/>
      <c r="K359" s="52">
        <f t="shared" si="71"/>
        <v>1</v>
      </c>
      <c r="L359" s="960"/>
      <c r="M359" s="52">
        <f t="shared" si="72"/>
        <v>1</v>
      </c>
      <c r="N359" s="960"/>
      <c r="O359" s="52">
        <f t="shared" si="73"/>
        <v>1</v>
      </c>
      <c r="P359" s="960"/>
      <c r="Q359" s="52">
        <f t="shared" si="74"/>
        <v>1</v>
      </c>
      <c r="R359" s="488">
        <f t="shared" si="75"/>
        <v>0</v>
      </c>
      <c r="S359" s="796">
        <f t="shared" si="66"/>
        <v>0</v>
      </c>
    </row>
    <row r="360" spans="1:19">
      <c r="A360" s="962"/>
      <c r="B360" s="135"/>
      <c r="C360" s="52">
        <f t="shared" si="67"/>
        <v>1</v>
      </c>
      <c r="D360" s="960"/>
      <c r="E360" s="52">
        <f t="shared" si="68"/>
        <v>1</v>
      </c>
      <c r="F360" s="960"/>
      <c r="G360" s="52">
        <f t="shared" si="69"/>
        <v>1</v>
      </c>
      <c r="H360" s="960"/>
      <c r="I360" s="52">
        <f t="shared" si="70"/>
        <v>1</v>
      </c>
      <c r="J360" s="960"/>
      <c r="K360" s="52">
        <f t="shared" si="71"/>
        <v>1</v>
      </c>
      <c r="L360" s="960"/>
      <c r="M360" s="52">
        <f t="shared" si="72"/>
        <v>1</v>
      </c>
      <c r="N360" s="960"/>
      <c r="O360" s="52">
        <f t="shared" si="73"/>
        <v>1</v>
      </c>
      <c r="P360" s="960"/>
      <c r="Q360" s="52">
        <f t="shared" si="74"/>
        <v>1</v>
      </c>
      <c r="R360" s="488">
        <f t="shared" si="75"/>
        <v>0</v>
      </c>
      <c r="S360" s="796">
        <f t="shared" si="66"/>
        <v>0</v>
      </c>
    </row>
    <row r="361" spans="1:19">
      <c r="A361" s="962"/>
      <c r="B361" s="135"/>
      <c r="C361" s="52">
        <f t="shared" si="67"/>
        <v>1</v>
      </c>
      <c r="D361" s="960"/>
      <c r="E361" s="52">
        <f t="shared" si="68"/>
        <v>1</v>
      </c>
      <c r="F361" s="960"/>
      <c r="G361" s="52">
        <f t="shared" si="69"/>
        <v>1</v>
      </c>
      <c r="H361" s="960"/>
      <c r="I361" s="52">
        <f t="shared" si="70"/>
        <v>1</v>
      </c>
      <c r="J361" s="960"/>
      <c r="K361" s="52">
        <f t="shared" si="71"/>
        <v>1</v>
      </c>
      <c r="L361" s="960"/>
      <c r="M361" s="52">
        <f t="shared" si="72"/>
        <v>1</v>
      </c>
      <c r="N361" s="960"/>
      <c r="O361" s="52">
        <f t="shared" si="73"/>
        <v>1</v>
      </c>
      <c r="P361" s="960"/>
      <c r="Q361" s="52">
        <f t="shared" si="74"/>
        <v>1</v>
      </c>
      <c r="R361" s="488">
        <f t="shared" si="75"/>
        <v>0</v>
      </c>
      <c r="S361" s="796">
        <f t="shared" si="66"/>
        <v>0</v>
      </c>
    </row>
    <row r="362" spans="1:19">
      <c r="A362" s="962"/>
      <c r="B362" s="135"/>
      <c r="C362" s="52">
        <f t="shared" si="67"/>
        <v>1</v>
      </c>
      <c r="D362" s="960"/>
      <c r="E362" s="52">
        <f t="shared" si="68"/>
        <v>1</v>
      </c>
      <c r="F362" s="960"/>
      <c r="G362" s="52">
        <f t="shared" si="69"/>
        <v>1</v>
      </c>
      <c r="H362" s="960"/>
      <c r="I362" s="52">
        <f t="shared" si="70"/>
        <v>1</v>
      </c>
      <c r="J362" s="960"/>
      <c r="K362" s="52">
        <f t="shared" si="71"/>
        <v>1</v>
      </c>
      <c r="L362" s="960"/>
      <c r="M362" s="52">
        <f t="shared" si="72"/>
        <v>1</v>
      </c>
      <c r="N362" s="960"/>
      <c r="O362" s="52">
        <f t="shared" si="73"/>
        <v>1</v>
      </c>
      <c r="P362" s="960"/>
      <c r="Q362" s="52">
        <f t="shared" si="74"/>
        <v>1</v>
      </c>
      <c r="R362" s="488">
        <f t="shared" si="75"/>
        <v>0</v>
      </c>
      <c r="S362" s="796">
        <f t="shared" si="66"/>
        <v>0</v>
      </c>
    </row>
    <row r="363" spans="1:19">
      <c r="A363" s="962"/>
      <c r="B363" s="135"/>
      <c r="C363" s="52">
        <f t="shared" si="67"/>
        <v>1</v>
      </c>
      <c r="D363" s="960"/>
      <c r="E363" s="52">
        <f t="shared" si="68"/>
        <v>1</v>
      </c>
      <c r="F363" s="960"/>
      <c r="G363" s="52">
        <f t="shared" si="69"/>
        <v>1</v>
      </c>
      <c r="H363" s="960"/>
      <c r="I363" s="52">
        <f t="shared" si="70"/>
        <v>1</v>
      </c>
      <c r="J363" s="960"/>
      <c r="K363" s="52">
        <f t="shared" si="71"/>
        <v>1</v>
      </c>
      <c r="L363" s="960"/>
      <c r="M363" s="52">
        <f t="shared" si="72"/>
        <v>1</v>
      </c>
      <c r="N363" s="960"/>
      <c r="O363" s="52">
        <f t="shared" si="73"/>
        <v>1</v>
      </c>
      <c r="P363" s="960"/>
      <c r="Q363" s="52">
        <f t="shared" si="74"/>
        <v>1</v>
      </c>
      <c r="R363" s="488">
        <f t="shared" si="75"/>
        <v>0</v>
      </c>
      <c r="S363" s="796">
        <f t="shared" si="66"/>
        <v>0</v>
      </c>
    </row>
    <row r="364" spans="1:19">
      <c r="A364" s="962"/>
      <c r="B364" s="135"/>
      <c r="C364" s="52">
        <f t="shared" si="67"/>
        <v>1</v>
      </c>
      <c r="D364" s="960"/>
      <c r="E364" s="52">
        <f t="shared" si="68"/>
        <v>1</v>
      </c>
      <c r="F364" s="960"/>
      <c r="G364" s="52">
        <f t="shared" si="69"/>
        <v>1</v>
      </c>
      <c r="H364" s="960"/>
      <c r="I364" s="52">
        <f t="shared" si="70"/>
        <v>1</v>
      </c>
      <c r="J364" s="960"/>
      <c r="K364" s="52">
        <f t="shared" si="71"/>
        <v>1</v>
      </c>
      <c r="L364" s="960"/>
      <c r="M364" s="52">
        <f t="shared" si="72"/>
        <v>1</v>
      </c>
      <c r="N364" s="960"/>
      <c r="O364" s="52">
        <f t="shared" si="73"/>
        <v>1</v>
      </c>
      <c r="P364" s="960"/>
      <c r="Q364" s="52">
        <f t="shared" si="74"/>
        <v>1</v>
      </c>
      <c r="R364" s="488">
        <f t="shared" si="75"/>
        <v>0</v>
      </c>
      <c r="S364" s="796">
        <f t="shared" si="66"/>
        <v>0</v>
      </c>
    </row>
    <row r="365" spans="1:19">
      <c r="A365" s="962"/>
      <c r="B365" s="135"/>
      <c r="C365" s="52">
        <f t="shared" si="67"/>
        <v>1</v>
      </c>
      <c r="D365" s="960"/>
      <c r="E365" s="52">
        <f t="shared" si="68"/>
        <v>1</v>
      </c>
      <c r="F365" s="960"/>
      <c r="G365" s="52">
        <f t="shared" si="69"/>
        <v>1</v>
      </c>
      <c r="H365" s="960"/>
      <c r="I365" s="52">
        <f t="shared" si="70"/>
        <v>1</v>
      </c>
      <c r="J365" s="960"/>
      <c r="K365" s="52">
        <f t="shared" si="71"/>
        <v>1</v>
      </c>
      <c r="L365" s="960"/>
      <c r="M365" s="52">
        <f t="shared" si="72"/>
        <v>1</v>
      </c>
      <c r="N365" s="960"/>
      <c r="O365" s="52">
        <f t="shared" si="73"/>
        <v>1</v>
      </c>
      <c r="P365" s="960"/>
      <c r="Q365" s="52">
        <f t="shared" si="74"/>
        <v>1</v>
      </c>
      <c r="R365" s="488">
        <f t="shared" si="75"/>
        <v>0</v>
      </c>
      <c r="S365" s="796">
        <f t="shared" si="66"/>
        <v>0</v>
      </c>
    </row>
    <row r="366" spans="1:19">
      <c r="A366" s="962"/>
      <c r="B366" s="135"/>
      <c r="C366" s="52">
        <f t="shared" si="67"/>
        <v>1</v>
      </c>
      <c r="D366" s="960"/>
      <c r="E366" s="52">
        <f t="shared" si="68"/>
        <v>1</v>
      </c>
      <c r="F366" s="960"/>
      <c r="G366" s="52">
        <f t="shared" si="69"/>
        <v>1</v>
      </c>
      <c r="H366" s="960"/>
      <c r="I366" s="52">
        <f t="shared" si="70"/>
        <v>1</v>
      </c>
      <c r="J366" s="960"/>
      <c r="K366" s="52">
        <f t="shared" si="71"/>
        <v>1</v>
      </c>
      <c r="L366" s="960"/>
      <c r="M366" s="52">
        <f t="shared" si="72"/>
        <v>1</v>
      </c>
      <c r="N366" s="960"/>
      <c r="O366" s="52">
        <f t="shared" si="73"/>
        <v>1</v>
      </c>
      <c r="P366" s="960"/>
      <c r="Q366" s="52">
        <f t="shared" si="74"/>
        <v>1</v>
      </c>
      <c r="R366" s="488">
        <f t="shared" si="75"/>
        <v>0</v>
      </c>
      <c r="S366" s="796">
        <f t="shared" si="66"/>
        <v>0</v>
      </c>
    </row>
    <row r="367" spans="1:19">
      <c r="A367" s="962"/>
      <c r="B367" s="135"/>
      <c r="C367" s="52">
        <f t="shared" si="67"/>
        <v>1</v>
      </c>
      <c r="D367" s="960"/>
      <c r="E367" s="52">
        <f t="shared" si="68"/>
        <v>1</v>
      </c>
      <c r="F367" s="960"/>
      <c r="G367" s="52">
        <f t="shared" si="69"/>
        <v>1</v>
      </c>
      <c r="H367" s="960"/>
      <c r="I367" s="52">
        <f t="shared" si="70"/>
        <v>1</v>
      </c>
      <c r="J367" s="960"/>
      <c r="K367" s="52">
        <f t="shared" si="71"/>
        <v>1</v>
      </c>
      <c r="L367" s="960"/>
      <c r="M367" s="52">
        <f t="shared" si="72"/>
        <v>1</v>
      </c>
      <c r="N367" s="960"/>
      <c r="O367" s="52">
        <f t="shared" si="73"/>
        <v>1</v>
      </c>
      <c r="P367" s="960"/>
      <c r="Q367" s="52">
        <f t="shared" si="74"/>
        <v>1</v>
      </c>
      <c r="R367" s="488">
        <f t="shared" si="75"/>
        <v>0</v>
      </c>
      <c r="S367" s="796">
        <f t="shared" si="66"/>
        <v>0</v>
      </c>
    </row>
    <row r="368" spans="1:19">
      <c r="A368" s="962"/>
      <c r="B368" s="135"/>
      <c r="C368" s="52">
        <f t="shared" si="67"/>
        <v>1</v>
      </c>
      <c r="D368" s="960"/>
      <c r="E368" s="52">
        <f t="shared" si="68"/>
        <v>1</v>
      </c>
      <c r="F368" s="960"/>
      <c r="G368" s="52">
        <f t="shared" si="69"/>
        <v>1</v>
      </c>
      <c r="H368" s="960"/>
      <c r="I368" s="52">
        <f t="shared" si="70"/>
        <v>1</v>
      </c>
      <c r="J368" s="960"/>
      <c r="K368" s="52">
        <f t="shared" si="71"/>
        <v>1</v>
      </c>
      <c r="L368" s="960"/>
      <c r="M368" s="52">
        <f t="shared" si="72"/>
        <v>1</v>
      </c>
      <c r="N368" s="960"/>
      <c r="O368" s="52">
        <f t="shared" si="73"/>
        <v>1</v>
      </c>
      <c r="P368" s="960"/>
      <c r="Q368" s="52">
        <f t="shared" si="74"/>
        <v>1</v>
      </c>
      <c r="R368" s="488">
        <f t="shared" si="75"/>
        <v>0</v>
      </c>
      <c r="S368" s="796">
        <f t="shared" si="66"/>
        <v>0</v>
      </c>
    </row>
    <row r="369" spans="1:19">
      <c r="A369" s="962"/>
      <c r="B369" s="135"/>
      <c r="C369" s="52">
        <f t="shared" si="67"/>
        <v>1</v>
      </c>
      <c r="D369" s="960"/>
      <c r="E369" s="52">
        <f t="shared" si="68"/>
        <v>1</v>
      </c>
      <c r="F369" s="960"/>
      <c r="G369" s="52">
        <f t="shared" si="69"/>
        <v>1</v>
      </c>
      <c r="H369" s="960"/>
      <c r="I369" s="52">
        <f t="shared" si="70"/>
        <v>1</v>
      </c>
      <c r="J369" s="960"/>
      <c r="K369" s="52">
        <f t="shared" si="71"/>
        <v>1</v>
      </c>
      <c r="L369" s="960"/>
      <c r="M369" s="52">
        <f t="shared" si="72"/>
        <v>1</v>
      </c>
      <c r="N369" s="960"/>
      <c r="O369" s="52">
        <f t="shared" si="73"/>
        <v>1</v>
      </c>
      <c r="P369" s="960"/>
      <c r="Q369" s="52">
        <f t="shared" si="74"/>
        <v>1</v>
      </c>
      <c r="R369" s="488">
        <f t="shared" si="75"/>
        <v>0</v>
      </c>
      <c r="S369" s="796">
        <f t="shared" si="66"/>
        <v>0</v>
      </c>
    </row>
    <row r="370" spans="1:19">
      <c r="A370" s="962"/>
      <c r="B370" s="135"/>
      <c r="C370" s="52">
        <f t="shared" si="67"/>
        <v>1</v>
      </c>
      <c r="D370" s="960"/>
      <c r="E370" s="52">
        <f t="shared" si="68"/>
        <v>1</v>
      </c>
      <c r="F370" s="960"/>
      <c r="G370" s="52">
        <f t="shared" si="69"/>
        <v>1</v>
      </c>
      <c r="H370" s="960"/>
      <c r="I370" s="52">
        <f t="shared" si="70"/>
        <v>1</v>
      </c>
      <c r="J370" s="960"/>
      <c r="K370" s="52">
        <f t="shared" si="71"/>
        <v>1</v>
      </c>
      <c r="L370" s="960"/>
      <c r="M370" s="52">
        <f t="shared" si="72"/>
        <v>1</v>
      </c>
      <c r="N370" s="960"/>
      <c r="O370" s="52">
        <f t="shared" si="73"/>
        <v>1</v>
      </c>
      <c r="P370" s="960"/>
      <c r="Q370" s="52">
        <f t="shared" si="74"/>
        <v>1</v>
      </c>
      <c r="R370" s="488">
        <f t="shared" si="75"/>
        <v>0</v>
      </c>
      <c r="S370" s="796">
        <f t="shared" si="66"/>
        <v>0</v>
      </c>
    </row>
    <row r="371" spans="1:19">
      <c r="A371" s="962"/>
      <c r="B371" s="135"/>
      <c r="C371" s="52">
        <f t="shared" si="67"/>
        <v>1</v>
      </c>
      <c r="D371" s="960"/>
      <c r="E371" s="52">
        <f t="shared" si="68"/>
        <v>1</v>
      </c>
      <c r="F371" s="960"/>
      <c r="G371" s="52">
        <f t="shared" si="69"/>
        <v>1</v>
      </c>
      <c r="H371" s="960"/>
      <c r="I371" s="52">
        <f t="shared" si="70"/>
        <v>1</v>
      </c>
      <c r="J371" s="960"/>
      <c r="K371" s="52">
        <f t="shared" si="71"/>
        <v>1</v>
      </c>
      <c r="L371" s="960"/>
      <c r="M371" s="52">
        <f t="shared" si="72"/>
        <v>1</v>
      </c>
      <c r="N371" s="960"/>
      <c r="O371" s="52">
        <f t="shared" si="73"/>
        <v>1</v>
      </c>
      <c r="P371" s="960"/>
      <c r="Q371" s="52">
        <f t="shared" si="74"/>
        <v>1</v>
      </c>
      <c r="R371" s="488">
        <f t="shared" si="75"/>
        <v>0</v>
      </c>
      <c r="S371" s="796">
        <f t="shared" si="66"/>
        <v>0</v>
      </c>
    </row>
    <row r="372" spans="1:19">
      <c r="A372" s="962"/>
      <c r="B372" s="135"/>
      <c r="C372" s="52">
        <f t="shared" si="67"/>
        <v>1</v>
      </c>
      <c r="D372" s="960"/>
      <c r="E372" s="52">
        <f t="shared" si="68"/>
        <v>1</v>
      </c>
      <c r="F372" s="960"/>
      <c r="G372" s="52">
        <f t="shared" si="69"/>
        <v>1</v>
      </c>
      <c r="H372" s="960"/>
      <c r="I372" s="52">
        <f t="shared" si="70"/>
        <v>1</v>
      </c>
      <c r="J372" s="960"/>
      <c r="K372" s="52">
        <f t="shared" si="71"/>
        <v>1</v>
      </c>
      <c r="L372" s="960"/>
      <c r="M372" s="52">
        <f t="shared" si="72"/>
        <v>1</v>
      </c>
      <c r="N372" s="960"/>
      <c r="O372" s="52">
        <f t="shared" si="73"/>
        <v>1</v>
      </c>
      <c r="P372" s="960"/>
      <c r="Q372" s="52">
        <f t="shared" si="74"/>
        <v>1</v>
      </c>
      <c r="R372" s="488">
        <f t="shared" si="75"/>
        <v>0</v>
      </c>
      <c r="S372" s="796">
        <f t="shared" si="66"/>
        <v>0</v>
      </c>
    </row>
    <row r="373" spans="1:19">
      <c r="A373" s="962"/>
      <c r="B373" s="135"/>
      <c r="C373" s="52">
        <f t="shared" si="67"/>
        <v>1</v>
      </c>
      <c r="D373" s="960"/>
      <c r="E373" s="52">
        <f t="shared" si="68"/>
        <v>1</v>
      </c>
      <c r="F373" s="960"/>
      <c r="G373" s="52">
        <f t="shared" si="69"/>
        <v>1</v>
      </c>
      <c r="H373" s="960"/>
      <c r="I373" s="52">
        <f t="shared" si="70"/>
        <v>1</v>
      </c>
      <c r="J373" s="960"/>
      <c r="K373" s="52">
        <f t="shared" si="71"/>
        <v>1</v>
      </c>
      <c r="L373" s="960"/>
      <c r="M373" s="52">
        <f t="shared" si="72"/>
        <v>1</v>
      </c>
      <c r="N373" s="960"/>
      <c r="O373" s="52">
        <f t="shared" si="73"/>
        <v>1</v>
      </c>
      <c r="P373" s="960"/>
      <c r="Q373" s="52">
        <f t="shared" si="74"/>
        <v>1</v>
      </c>
      <c r="R373" s="488">
        <f t="shared" si="75"/>
        <v>0</v>
      </c>
      <c r="S373" s="796">
        <f t="shared" si="66"/>
        <v>0</v>
      </c>
    </row>
    <row r="374" spans="1:19">
      <c r="A374" s="962"/>
      <c r="B374" s="135"/>
      <c r="C374" s="52">
        <f t="shared" si="67"/>
        <v>1</v>
      </c>
      <c r="D374" s="960"/>
      <c r="E374" s="52">
        <f t="shared" si="68"/>
        <v>1</v>
      </c>
      <c r="F374" s="960"/>
      <c r="G374" s="52">
        <f t="shared" si="69"/>
        <v>1</v>
      </c>
      <c r="H374" s="960"/>
      <c r="I374" s="52">
        <f t="shared" si="70"/>
        <v>1</v>
      </c>
      <c r="J374" s="960"/>
      <c r="K374" s="52">
        <f t="shared" si="71"/>
        <v>1</v>
      </c>
      <c r="L374" s="960"/>
      <c r="M374" s="52">
        <f t="shared" si="72"/>
        <v>1</v>
      </c>
      <c r="N374" s="960"/>
      <c r="O374" s="52">
        <f t="shared" si="73"/>
        <v>1</v>
      </c>
      <c r="P374" s="960"/>
      <c r="Q374" s="52">
        <f t="shared" si="74"/>
        <v>1</v>
      </c>
      <c r="R374" s="488">
        <f t="shared" si="75"/>
        <v>0</v>
      </c>
      <c r="S374" s="796">
        <f t="shared" si="66"/>
        <v>0</v>
      </c>
    </row>
    <row r="375" spans="1:19">
      <c r="A375" s="962"/>
      <c r="B375" s="135"/>
      <c r="C375" s="52">
        <f t="shared" si="67"/>
        <v>1</v>
      </c>
      <c r="D375" s="960"/>
      <c r="E375" s="52">
        <f t="shared" si="68"/>
        <v>1</v>
      </c>
      <c r="F375" s="960"/>
      <c r="G375" s="52">
        <f t="shared" si="69"/>
        <v>1</v>
      </c>
      <c r="H375" s="960"/>
      <c r="I375" s="52">
        <f t="shared" si="70"/>
        <v>1</v>
      </c>
      <c r="J375" s="960"/>
      <c r="K375" s="52">
        <f t="shared" si="71"/>
        <v>1</v>
      </c>
      <c r="L375" s="960"/>
      <c r="M375" s="52">
        <f t="shared" si="72"/>
        <v>1</v>
      </c>
      <c r="N375" s="960"/>
      <c r="O375" s="52">
        <f t="shared" si="73"/>
        <v>1</v>
      </c>
      <c r="P375" s="960"/>
      <c r="Q375" s="52">
        <f t="shared" si="74"/>
        <v>1</v>
      </c>
      <c r="R375" s="488">
        <f t="shared" si="75"/>
        <v>0</v>
      </c>
      <c r="S375" s="796">
        <f t="shared" si="66"/>
        <v>0</v>
      </c>
    </row>
    <row r="376" spans="1:19">
      <c r="A376" s="962"/>
      <c r="B376" s="135"/>
      <c r="C376" s="52">
        <f t="shared" si="67"/>
        <v>1</v>
      </c>
      <c r="D376" s="960"/>
      <c r="E376" s="52">
        <f t="shared" si="68"/>
        <v>1</v>
      </c>
      <c r="F376" s="960"/>
      <c r="G376" s="52">
        <f t="shared" si="69"/>
        <v>1</v>
      </c>
      <c r="H376" s="960"/>
      <c r="I376" s="52">
        <f t="shared" si="70"/>
        <v>1</v>
      </c>
      <c r="J376" s="960"/>
      <c r="K376" s="52">
        <f t="shared" si="71"/>
        <v>1</v>
      </c>
      <c r="L376" s="960"/>
      <c r="M376" s="52">
        <f t="shared" si="72"/>
        <v>1</v>
      </c>
      <c r="N376" s="960"/>
      <c r="O376" s="52">
        <f t="shared" si="73"/>
        <v>1</v>
      </c>
      <c r="P376" s="960"/>
      <c r="Q376" s="52">
        <f t="shared" si="74"/>
        <v>1</v>
      </c>
      <c r="R376" s="488">
        <f t="shared" si="75"/>
        <v>0</v>
      </c>
      <c r="S376" s="796">
        <f t="shared" si="66"/>
        <v>0</v>
      </c>
    </row>
    <row r="377" spans="1:19">
      <c r="A377" s="962"/>
      <c r="B377" s="135"/>
      <c r="C377" s="52">
        <f t="shared" si="67"/>
        <v>1</v>
      </c>
      <c r="D377" s="960"/>
      <c r="E377" s="52">
        <f t="shared" si="68"/>
        <v>1</v>
      </c>
      <c r="F377" s="960"/>
      <c r="G377" s="52">
        <f t="shared" si="69"/>
        <v>1</v>
      </c>
      <c r="H377" s="960"/>
      <c r="I377" s="52">
        <f t="shared" si="70"/>
        <v>1</v>
      </c>
      <c r="J377" s="960"/>
      <c r="K377" s="52">
        <f t="shared" si="71"/>
        <v>1</v>
      </c>
      <c r="L377" s="960"/>
      <c r="M377" s="52">
        <f t="shared" si="72"/>
        <v>1</v>
      </c>
      <c r="N377" s="960"/>
      <c r="O377" s="52">
        <f t="shared" si="73"/>
        <v>1</v>
      </c>
      <c r="P377" s="960"/>
      <c r="Q377" s="52">
        <f t="shared" si="74"/>
        <v>1</v>
      </c>
      <c r="R377" s="488">
        <f t="shared" si="75"/>
        <v>0</v>
      </c>
      <c r="S377" s="796">
        <f t="shared" si="66"/>
        <v>0</v>
      </c>
    </row>
    <row r="378" spans="1:19">
      <c r="A378" s="962"/>
      <c r="B378" s="135"/>
      <c r="C378" s="52">
        <f t="shared" si="67"/>
        <v>1</v>
      </c>
      <c r="D378" s="960"/>
      <c r="E378" s="52">
        <f t="shared" si="68"/>
        <v>1</v>
      </c>
      <c r="F378" s="960"/>
      <c r="G378" s="52">
        <f t="shared" si="69"/>
        <v>1</v>
      </c>
      <c r="H378" s="960"/>
      <c r="I378" s="52">
        <f t="shared" si="70"/>
        <v>1</v>
      </c>
      <c r="J378" s="960"/>
      <c r="K378" s="52">
        <f t="shared" si="71"/>
        <v>1</v>
      </c>
      <c r="L378" s="960"/>
      <c r="M378" s="52">
        <f t="shared" si="72"/>
        <v>1</v>
      </c>
      <c r="N378" s="960"/>
      <c r="O378" s="52">
        <f t="shared" si="73"/>
        <v>1</v>
      </c>
      <c r="P378" s="960"/>
      <c r="Q378" s="52">
        <f t="shared" si="74"/>
        <v>1</v>
      </c>
      <c r="R378" s="488">
        <f t="shared" si="75"/>
        <v>0</v>
      </c>
      <c r="S378" s="796">
        <f t="shared" si="66"/>
        <v>0</v>
      </c>
    </row>
    <row r="379" spans="1:19">
      <c r="A379" s="962"/>
      <c r="B379" s="135"/>
      <c r="C379" s="52">
        <f t="shared" si="67"/>
        <v>1</v>
      </c>
      <c r="D379" s="960"/>
      <c r="E379" s="52">
        <f t="shared" si="68"/>
        <v>1</v>
      </c>
      <c r="F379" s="960"/>
      <c r="G379" s="52">
        <f t="shared" si="69"/>
        <v>1</v>
      </c>
      <c r="H379" s="960"/>
      <c r="I379" s="52">
        <f t="shared" si="70"/>
        <v>1</v>
      </c>
      <c r="J379" s="960"/>
      <c r="K379" s="52">
        <f t="shared" si="71"/>
        <v>1</v>
      </c>
      <c r="L379" s="960"/>
      <c r="M379" s="52">
        <f t="shared" si="72"/>
        <v>1</v>
      </c>
      <c r="N379" s="960"/>
      <c r="O379" s="52">
        <f t="shared" si="73"/>
        <v>1</v>
      </c>
      <c r="P379" s="960"/>
      <c r="Q379" s="52">
        <f t="shared" si="74"/>
        <v>1</v>
      </c>
      <c r="R379" s="488">
        <f t="shared" si="75"/>
        <v>0</v>
      </c>
      <c r="S379" s="796">
        <f t="shared" si="66"/>
        <v>0</v>
      </c>
    </row>
    <row r="380" spans="1:19">
      <c r="A380" s="962"/>
      <c r="B380" s="135"/>
      <c r="C380" s="52">
        <f t="shared" si="67"/>
        <v>1</v>
      </c>
      <c r="D380" s="960"/>
      <c r="E380" s="52">
        <f t="shared" si="68"/>
        <v>1</v>
      </c>
      <c r="F380" s="960"/>
      <c r="G380" s="52">
        <f t="shared" si="69"/>
        <v>1</v>
      </c>
      <c r="H380" s="960"/>
      <c r="I380" s="52">
        <f t="shared" si="70"/>
        <v>1</v>
      </c>
      <c r="J380" s="960"/>
      <c r="K380" s="52">
        <f t="shared" si="71"/>
        <v>1</v>
      </c>
      <c r="L380" s="960"/>
      <c r="M380" s="52">
        <f t="shared" si="72"/>
        <v>1</v>
      </c>
      <c r="N380" s="960"/>
      <c r="O380" s="52">
        <f t="shared" si="73"/>
        <v>1</v>
      </c>
      <c r="P380" s="960"/>
      <c r="Q380" s="52">
        <f t="shared" si="74"/>
        <v>1</v>
      </c>
      <c r="R380" s="488">
        <f t="shared" si="75"/>
        <v>0</v>
      </c>
      <c r="S380" s="796">
        <f t="shared" si="66"/>
        <v>0</v>
      </c>
    </row>
    <row r="381" spans="1:19">
      <c r="A381" s="962"/>
      <c r="B381" s="135"/>
      <c r="C381" s="52">
        <f t="shared" si="67"/>
        <v>1</v>
      </c>
      <c r="D381" s="960"/>
      <c r="E381" s="52">
        <f t="shared" si="68"/>
        <v>1</v>
      </c>
      <c r="F381" s="960"/>
      <c r="G381" s="52">
        <f t="shared" si="69"/>
        <v>1</v>
      </c>
      <c r="H381" s="960"/>
      <c r="I381" s="52">
        <f t="shared" si="70"/>
        <v>1</v>
      </c>
      <c r="J381" s="960"/>
      <c r="K381" s="52">
        <f t="shared" si="71"/>
        <v>1</v>
      </c>
      <c r="L381" s="960"/>
      <c r="M381" s="52">
        <f t="shared" si="72"/>
        <v>1</v>
      </c>
      <c r="N381" s="960"/>
      <c r="O381" s="52">
        <f t="shared" si="73"/>
        <v>1</v>
      </c>
      <c r="P381" s="960"/>
      <c r="Q381" s="52">
        <f t="shared" si="74"/>
        <v>1</v>
      </c>
      <c r="R381" s="488">
        <f t="shared" si="75"/>
        <v>0</v>
      </c>
      <c r="S381" s="796">
        <f t="shared" si="66"/>
        <v>0</v>
      </c>
    </row>
    <row r="382" spans="1:19">
      <c r="A382" s="962"/>
      <c r="B382" s="135"/>
      <c r="C382" s="52">
        <f t="shared" si="67"/>
        <v>1</v>
      </c>
      <c r="D382" s="960"/>
      <c r="E382" s="52">
        <f t="shared" si="68"/>
        <v>1</v>
      </c>
      <c r="F382" s="960"/>
      <c r="G382" s="52">
        <f t="shared" si="69"/>
        <v>1</v>
      </c>
      <c r="H382" s="960"/>
      <c r="I382" s="52">
        <f t="shared" si="70"/>
        <v>1</v>
      </c>
      <c r="J382" s="960"/>
      <c r="K382" s="52">
        <f t="shared" si="71"/>
        <v>1</v>
      </c>
      <c r="L382" s="960"/>
      <c r="M382" s="52">
        <f t="shared" si="72"/>
        <v>1</v>
      </c>
      <c r="N382" s="960"/>
      <c r="O382" s="52">
        <f t="shared" si="73"/>
        <v>1</v>
      </c>
      <c r="P382" s="960"/>
      <c r="Q382" s="52">
        <f t="shared" si="74"/>
        <v>1</v>
      </c>
      <c r="R382" s="488">
        <f t="shared" si="75"/>
        <v>0</v>
      </c>
      <c r="S382" s="796">
        <f t="shared" si="66"/>
        <v>0</v>
      </c>
    </row>
    <row r="383" spans="1:19">
      <c r="A383" s="962"/>
      <c r="B383" s="135"/>
      <c r="C383" s="52">
        <f t="shared" si="67"/>
        <v>1</v>
      </c>
      <c r="D383" s="960"/>
      <c r="E383" s="52">
        <f t="shared" si="68"/>
        <v>1</v>
      </c>
      <c r="F383" s="960"/>
      <c r="G383" s="52">
        <f t="shared" si="69"/>
        <v>1</v>
      </c>
      <c r="H383" s="960"/>
      <c r="I383" s="52">
        <f t="shared" si="70"/>
        <v>1</v>
      </c>
      <c r="J383" s="960"/>
      <c r="K383" s="52">
        <f t="shared" si="71"/>
        <v>1</v>
      </c>
      <c r="L383" s="960"/>
      <c r="M383" s="52">
        <f t="shared" si="72"/>
        <v>1</v>
      </c>
      <c r="N383" s="960"/>
      <c r="O383" s="52">
        <f t="shared" si="73"/>
        <v>1</v>
      </c>
      <c r="P383" s="960"/>
      <c r="Q383" s="52">
        <f t="shared" si="74"/>
        <v>1</v>
      </c>
      <c r="R383" s="488">
        <f t="shared" si="75"/>
        <v>0</v>
      </c>
      <c r="S383" s="796">
        <f t="shared" si="66"/>
        <v>0</v>
      </c>
    </row>
    <row r="384" spans="1:19">
      <c r="A384" s="962"/>
      <c r="B384" s="135"/>
      <c r="C384" s="52">
        <f t="shared" si="67"/>
        <v>1</v>
      </c>
      <c r="D384" s="960"/>
      <c r="E384" s="52">
        <f t="shared" si="68"/>
        <v>1</v>
      </c>
      <c r="F384" s="960"/>
      <c r="G384" s="52">
        <f t="shared" si="69"/>
        <v>1</v>
      </c>
      <c r="H384" s="960"/>
      <c r="I384" s="52">
        <f t="shared" si="70"/>
        <v>1</v>
      </c>
      <c r="J384" s="960"/>
      <c r="K384" s="52">
        <f t="shared" si="71"/>
        <v>1</v>
      </c>
      <c r="L384" s="960"/>
      <c r="M384" s="52">
        <f t="shared" si="72"/>
        <v>1</v>
      </c>
      <c r="N384" s="960"/>
      <c r="O384" s="52">
        <f t="shared" si="73"/>
        <v>1</v>
      </c>
      <c r="P384" s="960"/>
      <c r="Q384" s="52">
        <f t="shared" si="74"/>
        <v>1</v>
      </c>
      <c r="R384" s="488">
        <f t="shared" si="75"/>
        <v>0</v>
      </c>
      <c r="S384" s="796">
        <f t="shared" si="66"/>
        <v>0</v>
      </c>
    </row>
    <row r="385" spans="1:19">
      <c r="A385" s="962"/>
      <c r="B385" s="135"/>
      <c r="C385" s="52">
        <f t="shared" si="67"/>
        <v>1</v>
      </c>
      <c r="D385" s="960"/>
      <c r="E385" s="52">
        <f t="shared" si="68"/>
        <v>1</v>
      </c>
      <c r="F385" s="960"/>
      <c r="G385" s="52">
        <f t="shared" si="69"/>
        <v>1</v>
      </c>
      <c r="H385" s="960"/>
      <c r="I385" s="52">
        <f t="shared" si="70"/>
        <v>1</v>
      </c>
      <c r="J385" s="960"/>
      <c r="K385" s="52">
        <f t="shared" si="71"/>
        <v>1</v>
      </c>
      <c r="L385" s="960"/>
      <c r="M385" s="52">
        <f t="shared" si="72"/>
        <v>1</v>
      </c>
      <c r="N385" s="960"/>
      <c r="O385" s="52">
        <f t="shared" si="73"/>
        <v>1</v>
      </c>
      <c r="P385" s="960"/>
      <c r="Q385" s="52">
        <f t="shared" si="74"/>
        <v>1</v>
      </c>
      <c r="R385" s="488">
        <f t="shared" si="75"/>
        <v>0</v>
      </c>
      <c r="S385" s="796">
        <f t="shared" ref="S385:S422" si="76">ROUND(R385*B385/10000,0)</f>
        <v>0</v>
      </c>
    </row>
    <row r="386" spans="1:19">
      <c r="A386" s="962"/>
      <c r="B386" s="135"/>
      <c r="C386" s="52">
        <f t="shared" si="67"/>
        <v>1</v>
      </c>
      <c r="D386" s="960"/>
      <c r="E386" s="52">
        <f t="shared" si="68"/>
        <v>1</v>
      </c>
      <c r="F386" s="960"/>
      <c r="G386" s="52">
        <f t="shared" si="69"/>
        <v>1</v>
      </c>
      <c r="H386" s="960"/>
      <c r="I386" s="52">
        <f t="shared" si="70"/>
        <v>1</v>
      </c>
      <c r="J386" s="960"/>
      <c r="K386" s="52">
        <f t="shared" si="71"/>
        <v>1</v>
      </c>
      <c r="L386" s="960"/>
      <c r="M386" s="52">
        <f t="shared" si="72"/>
        <v>1</v>
      </c>
      <c r="N386" s="960"/>
      <c r="O386" s="52">
        <f t="shared" si="73"/>
        <v>1</v>
      </c>
      <c r="P386" s="960"/>
      <c r="Q386" s="52">
        <f t="shared" si="74"/>
        <v>1</v>
      </c>
      <c r="R386" s="488">
        <f t="shared" si="75"/>
        <v>0</v>
      </c>
      <c r="S386" s="796">
        <f t="shared" si="76"/>
        <v>0</v>
      </c>
    </row>
    <row r="387" spans="1:19">
      <c r="A387" s="962"/>
      <c r="B387" s="135"/>
      <c r="C387" s="52">
        <f t="shared" si="67"/>
        <v>1</v>
      </c>
      <c r="D387" s="960"/>
      <c r="E387" s="52">
        <f t="shared" si="68"/>
        <v>1</v>
      </c>
      <c r="F387" s="960"/>
      <c r="G387" s="52">
        <f t="shared" si="69"/>
        <v>1</v>
      </c>
      <c r="H387" s="960"/>
      <c r="I387" s="52">
        <f t="shared" si="70"/>
        <v>1</v>
      </c>
      <c r="J387" s="960"/>
      <c r="K387" s="52">
        <f t="shared" si="71"/>
        <v>1</v>
      </c>
      <c r="L387" s="960"/>
      <c r="M387" s="52">
        <f t="shared" si="72"/>
        <v>1</v>
      </c>
      <c r="N387" s="960"/>
      <c r="O387" s="52">
        <f t="shared" si="73"/>
        <v>1</v>
      </c>
      <c r="P387" s="960"/>
      <c r="Q387" s="52">
        <f t="shared" si="74"/>
        <v>1</v>
      </c>
      <c r="R387" s="488">
        <f t="shared" si="75"/>
        <v>0</v>
      </c>
      <c r="S387" s="796">
        <f t="shared" si="76"/>
        <v>0</v>
      </c>
    </row>
    <row r="388" spans="1:19">
      <c r="A388" s="962"/>
      <c r="B388" s="135"/>
      <c r="C388" s="52">
        <f t="shared" si="67"/>
        <v>1</v>
      </c>
      <c r="D388" s="960"/>
      <c r="E388" s="52">
        <f t="shared" si="68"/>
        <v>1</v>
      </c>
      <c r="F388" s="960"/>
      <c r="G388" s="52">
        <f t="shared" si="69"/>
        <v>1</v>
      </c>
      <c r="H388" s="960"/>
      <c r="I388" s="52">
        <f t="shared" si="70"/>
        <v>1</v>
      </c>
      <c r="J388" s="960"/>
      <c r="K388" s="52">
        <f t="shared" si="71"/>
        <v>1</v>
      </c>
      <c r="L388" s="960"/>
      <c r="M388" s="52">
        <f t="shared" si="72"/>
        <v>1</v>
      </c>
      <c r="N388" s="960"/>
      <c r="O388" s="52">
        <f t="shared" si="73"/>
        <v>1</v>
      </c>
      <c r="P388" s="960"/>
      <c r="Q388" s="52">
        <f t="shared" si="74"/>
        <v>1</v>
      </c>
      <c r="R388" s="488">
        <f t="shared" si="75"/>
        <v>0</v>
      </c>
      <c r="S388" s="796">
        <f t="shared" si="76"/>
        <v>0</v>
      </c>
    </row>
    <row r="389" spans="1:19">
      <c r="A389" s="962"/>
      <c r="B389" s="135"/>
      <c r="C389" s="52">
        <f t="shared" si="67"/>
        <v>1</v>
      </c>
      <c r="D389" s="960"/>
      <c r="E389" s="52">
        <f t="shared" si="68"/>
        <v>1</v>
      </c>
      <c r="F389" s="960"/>
      <c r="G389" s="52">
        <f t="shared" si="69"/>
        <v>1</v>
      </c>
      <c r="H389" s="960"/>
      <c r="I389" s="52">
        <f t="shared" si="70"/>
        <v>1</v>
      </c>
      <c r="J389" s="960"/>
      <c r="K389" s="52">
        <f t="shared" si="71"/>
        <v>1</v>
      </c>
      <c r="L389" s="960"/>
      <c r="M389" s="52">
        <f t="shared" si="72"/>
        <v>1</v>
      </c>
      <c r="N389" s="960"/>
      <c r="O389" s="52">
        <f t="shared" si="73"/>
        <v>1</v>
      </c>
      <c r="P389" s="960"/>
      <c r="Q389" s="52">
        <f t="shared" si="74"/>
        <v>1</v>
      </c>
      <c r="R389" s="488">
        <f t="shared" si="75"/>
        <v>0</v>
      </c>
      <c r="S389" s="796">
        <f t="shared" si="76"/>
        <v>0</v>
      </c>
    </row>
    <row r="390" spans="1:19">
      <c r="A390" s="962"/>
      <c r="B390" s="135"/>
      <c r="C390" s="52">
        <f t="shared" si="67"/>
        <v>1</v>
      </c>
      <c r="D390" s="960"/>
      <c r="E390" s="52">
        <f t="shared" si="68"/>
        <v>1</v>
      </c>
      <c r="F390" s="960"/>
      <c r="G390" s="52">
        <f t="shared" si="69"/>
        <v>1</v>
      </c>
      <c r="H390" s="960"/>
      <c r="I390" s="52">
        <f t="shared" si="70"/>
        <v>1</v>
      </c>
      <c r="J390" s="960"/>
      <c r="K390" s="52">
        <f t="shared" si="71"/>
        <v>1</v>
      </c>
      <c r="L390" s="960"/>
      <c r="M390" s="52">
        <f t="shared" si="72"/>
        <v>1</v>
      </c>
      <c r="N390" s="960"/>
      <c r="O390" s="52">
        <f t="shared" si="73"/>
        <v>1</v>
      </c>
      <c r="P390" s="960"/>
      <c r="Q390" s="52">
        <f t="shared" si="74"/>
        <v>1</v>
      </c>
      <c r="R390" s="488">
        <f t="shared" si="75"/>
        <v>0</v>
      </c>
      <c r="S390" s="796">
        <f t="shared" si="76"/>
        <v>0</v>
      </c>
    </row>
    <row r="391" spans="1:19">
      <c r="A391" s="962"/>
      <c r="B391" s="135"/>
      <c r="C391" s="52">
        <f t="shared" si="67"/>
        <v>1</v>
      </c>
      <c r="D391" s="960"/>
      <c r="E391" s="52">
        <f t="shared" si="68"/>
        <v>1</v>
      </c>
      <c r="F391" s="960"/>
      <c r="G391" s="52">
        <f t="shared" si="69"/>
        <v>1</v>
      </c>
      <c r="H391" s="960"/>
      <c r="I391" s="52">
        <f t="shared" si="70"/>
        <v>1</v>
      </c>
      <c r="J391" s="960"/>
      <c r="K391" s="52">
        <f t="shared" si="71"/>
        <v>1</v>
      </c>
      <c r="L391" s="960"/>
      <c r="M391" s="52">
        <f t="shared" si="72"/>
        <v>1</v>
      </c>
      <c r="N391" s="960"/>
      <c r="O391" s="52">
        <f t="shared" si="73"/>
        <v>1</v>
      </c>
      <c r="P391" s="960"/>
      <c r="Q391" s="52">
        <f t="shared" si="74"/>
        <v>1</v>
      </c>
      <c r="R391" s="488">
        <f t="shared" si="75"/>
        <v>0</v>
      </c>
      <c r="S391" s="796">
        <f t="shared" si="76"/>
        <v>0</v>
      </c>
    </row>
    <row r="392" spans="1:19">
      <c r="A392" s="962"/>
      <c r="B392" s="135"/>
      <c r="C392" s="52">
        <f t="shared" si="67"/>
        <v>1</v>
      </c>
      <c r="D392" s="960"/>
      <c r="E392" s="52">
        <f t="shared" si="68"/>
        <v>1</v>
      </c>
      <c r="F392" s="960"/>
      <c r="G392" s="52">
        <f t="shared" si="69"/>
        <v>1</v>
      </c>
      <c r="H392" s="960"/>
      <c r="I392" s="52">
        <f t="shared" si="70"/>
        <v>1</v>
      </c>
      <c r="J392" s="960"/>
      <c r="K392" s="52">
        <f t="shared" si="71"/>
        <v>1</v>
      </c>
      <c r="L392" s="960"/>
      <c r="M392" s="52">
        <f t="shared" si="72"/>
        <v>1</v>
      </c>
      <c r="N392" s="960"/>
      <c r="O392" s="52">
        <f t="shared" si="73"/>
        <v>1</v>
      </c>
      <c r="P392" s="960"/>
      <c r="Q392" s="52">
        <f t="shared" si="74"/>
        <v>1</v>
      </c>
      <c r="R392" s="488">
        <f t="shared" si="75"/>
        <v>0</v>
      </c>
      <c r="S392" s="796">
        <f t="shared" si="76"/>
        <v>0</v>
      </c>
    </row>
    <row r="393" spans="1:19">
      <c r="A393" s="962"/>
      <c r="B393" s="135"/>
      <c r="C393" s="52">
        <f t="shared" si="67"/>
        <v>1</v>
      </c>
      <c r="D393" s="960"/>
      <c r="E393" s="52">
        <f t="shared" si="68"/>
        <v>1</v>
      </c>
      <c r="F393" s="960"/>
      <c r="G393" s="52">
        <f t="shared" si="69"/>
        <v>1</v>
      </c>
      <c r="H393" s="960"/>
      <c r="I393" s="52">
        <f t="shared" si="70"/>
        <v>1</v>
      </c>
      <c r="J393" s="960"/>
      <c r="K393" s="52">
        <f t="shared" si="71"/>
        <v>1</v>
      </c>
      <c r="L393" s="960"/>
      <c r="M393" s="52">
        <f t="shared" si="72"/>
        <v>1</v>
      </c>
      <c r="N393" s="960"/>
      <c r="O393" s="52">
        <f t="shared" si="73"/>
        <v>1</v>
      </c>
      <c r="P393" s="960"/>
      <c r="Q393" s="52">
        <f t="shared" si="74"/>
        <v>1</v>
      </c>
      <c r="R393" s="488">
        <f t="shared" si="75"/>
        <v>0</v>
      </c>
      <c r="S393" s="796">
        <f t="shared" si="76"/>
        <v>0</v>
      </c>
    </row>
    <row r="394" spans="1:19">
      <c r="A394" s="962"/>
      <c r="B394" s="135"/>
      <c r="C394" s="52">
        <f t="shared" si="67"/>
        <v>1</v>
      </c>
      <c r="D394" s="960"/>
      <c r="E394" s="52">
        <f t="shared" si="68"/>
        <v>1</v>
      </c>
      <c r="F394" s="960"/>
      <c r="G394" s="52">
        <f t="shared" si="69"/>
        <v>1</v>
      </c>
      <c r="H394" s="960"/>
      <c r="I394" s="52">
        <f t="shared" si="70"/>
        <v>1</v>
      </c>
      <c r="J394" s="960"/>
      <c r="K394" s="52">
        <f t="shared" si="71"/>
        <v>1</v>
      </c>
      <c r="L394" s="960"/>
      <c r="M394" s="52">
        <f t="shared" si="72"/>
        <v>1</v>
      </c>
      <c r="N394" s="960"/>
      <c r="O394" s="52">
        <f t="shared" si="73"/>
        <v>1</v>
      </c>
      <c r="P394" s="960"/>
      <c r="Q394" s="52">
        <f t="shared" si="74"/>
        <v>1</v>
      </c>
      <c r="R394" s="488">
        <f t="shared" si="75"/>
        <v>0</v>
      </c>
      <c r="S394" s="796">
        <f t="shared" si="76"/>
        <v>0</v>
      </c>
    </row>
    <row r="395" spans="1:19">
      <c r="A395" s="962"/>
      <c r="B395" s="135"/>
      <c r="C395" s="52">
        <f t="shared" si="67"/>
        <v>1</v>
      </c>
      <c r="D395" s="960"/>
      <c r="E395" s="52">
        <f t="shared" si="68"/>
        <v>1</v>
      </c>
      <c r="F395" s="960"/>
      <c r="G395" s="52">
        <f t="shared" si="69"/>
        <v>1</v>
      </c>
      <c r="H395" s="960"/>
      <c r="I395" s="52">
        <f t="shared" si="70"/>
        <v>1</v>
      </c>
      <c r="J395" s="960"/>
      <c r="K395" s="52">
        <f t="shared" si="71"/>
        <v>1</v>
      </c>
      <c r="L395" s="960"/>
      <c r="M395" s="52">
        <f t="shared" si="72"/>
        <v>1</v>
      </c>
      <c r="N395" s="960"/>
      <c r="O395" s="52">
        <f t="shared" si="73"/>
        <v>1</v>
      </c>
      <c r="P395" s="960"/>
      <c r="Q395" s="52">
        <f t="shared" si="74"/>
        <v>1</v>
      </c>
      <c r="R395" s="488">
        <f t="shared" si="75"/>
        <v>0</v>
      </c>
      <c r="S395" s="796">
        <f t="shared" si="76"/>
        <v>0</v>
      </c>
    </row>
    <row r="396" spans="1:19">
      <c r="A396" s="962"/>
      <c r="B396" s="135"/>
      <c r="C396" s="52">
        <f t="shared" si="67"/>
        <v>1</v>
      </c>
      <c r="D396" s="960"/>
      <c r="E396" s="52">
        <f t="shared" si="68"/>
        <v>1</v>
      </c>
      <c r="F396" s="960"/>
      <c r="G396" s="52">
        <f t="shared" si="69"/>
        <v>1</v>
      </c>
      <c r="H396" s="960"/>
      <c r="I396" s="52">
        <f t="shared" si="70"/>
        <v>1</v>
      </c>
      <c r="J396" s="960"/>
      <c r="K396" s="52">
        <f t="shared" si="71"/>
        <v>1</v>
      </c>
      <c r="L396" s="960"/>
      <c r="M396" s="52">
        <f t="shared" si="72"/>
        <v>1</v>
      </c>
      <c r="N396" s="960"/>
      <c r="O396" s="52">
        <f t="shared" si="73"/>
        <v>1</v>
      </c>
      <c r="P396" s="960"/>
      <c r="Q396" s="52">
        <f t="shared" si="74"/>
        <v>1</v>
      </c>
      <c r="R396" s="488">
        <f t="shared" si="75"/>
        <v>0</v>
      </c>
      <c r="S396" s="796">
        <f t="shared" si="76"/>
        <v>0</v>
      </c>
    </row>
    <row r="397" spans="1:19">
      <c r="A397" s="962"/>
      <c r="B397" s="135"/>
      <c r="C397" s="52">
        <f t="shared" si="67"/>
        <v>1</v>
      </c>
      <c r="D397" s="960"/>
      <c r="E397" s="52">
        <f t="shared" si="68"/>
        <v>1</v>
      </c>
      <c r="F397" s="960"/>
      <c r="G397" s="52">
        <f t="shared" si="69"/>
        <v>1</v>
      </c>
      <c r="H397" s="960"/>
      <c r="I397" s="52">
        <f t="shared" si="70"/>
        <v>1</v>
      </c>
      <c r="J397" s="960"/>
      <c r="K397" s="52">
        <f t="shared" si="71"/>
        <v>1</v>
      </c>
      <c r="L397" s="960"/>
      <c r="M397" s="52">
        <f t="shared" si="72"/>
        <v>1</v>
      </c>
      <c r="N397" s="960"/>
      <c r="O397" s="52">
        <f t="shared" si="73"/>
        <v>1</v>
      </c>
      <c r="P397" s="960"/>
      <c r="Q397" s="52">
        <f t="shared" si="74"/>
        <v>1</v>
      </c>
      <c r="R397" s="488">
        <f t="shared" si="75"/>
        <v>0</v>
      </c>
      <c r="S397" s="796">
        <f t="shared" si="76"/>
        <v>0</v>
      </c>
    </row>
    <row r="398" spans="1:19">
      <c r="A398" s="962"/>
      <c r="B398" s="135"/>
      <c r="C398" s="52">
        <f t="shared" si="67"/>
        <v>1</v>
      </c>
      <c r="D398" s="960"/>
      <c r="E398" s="52">
        <f t="shared" si="68"/>
        <v>1</v>
      </c>
      <c r="F398" s="960"/>
      <c r="G398" s="52">
        <f t="shared" si="69"/>
        <v>1</v>
      </c>
      <c r="H398" s="960"/>
      <c r="I398" s="52">
        <f t="shared" si="70"/>
        <v>1</v>
      </c>
      <c r="J398" s="960"/>
      <c r="K398" s="52">
        <f t="shared" si="71"/>
        <v>1</v>
      </c>
      <c r="L398" s="960"/>
      <c r="M398" s="52">
        <f t="shared" si="72"/>
        <v>1</v>
      </c>
      <c r="N398" s="960"/>
      <c r="O398" s="52">
        <f t="shared" si="73"/>
        <v>1</v>
      </c>
      <c r="P398" s="960"/>
      <c r="Q398" s="52">
        <f t="shared" si="74"/>
        <v>1</v>
      </c>
      <c r="R398" s="488">
        <f t="shared" si="75"/>
        <v>0</v>
      </c>
      <c r="S398" s="796">
        <f t="shared" si="76"/>
        <v>0</v>
      </c>
    </row>
    <row r="399" spans="1:19">
      <c r="A399" s="962"/>
      <c r="B399" s="135"/>
      <c r="C399" s="52">
        <f t="shared" si="67"/>
        <v>1</v>
      </c>
      <c r="D399" s="960"/>
      <c r="E399" s="52">
        <f t="shared" si="68"/>
        <v>1</v>
      </c>
      <c r="F399" s="960"/>
      <c r="G399" s="52">
        <f t="shared" si="69"/>
        <v>1</v>
      </c>
      <c r="H399" s="960"/>
      <c r="I399" s="52">
        <f t="shared" si="70"/>
        <v>1</v>
      </c>
      <c r="J399" s="960"/>
      <c r="K399" s="52">
        <f t="shared" si="71"/>
        <v>1</v>
      </c>
      <c r="L399" s="960"/>
      <c r="M399" s="52">
        <f t="shared" si="72"/>
        <v>1</v>
      </c>
      <c r="N399" s="960"/>
      <c r="O399" s="52">
        <f t="shared" si="73"/>
        <v>1</v>
      </c>
      <c r="P399" s="960"/>
      <c r="Q399" s="52">
        <f t="shared" si="74"/>
        <v>1</v>
      </c>
      <c r="R399" s="488">
        <f t="shared" si="75"/>
        <v>0</v>
      </c>
      <c r="S399" s="796">
        <f t="shared" si="76"/>
        <v>0</v>
      </c>
    </row>
    <row r="400" spans="1:19">
      <c r="A400" s="962"/>
      <c r="B400" s="135"/>
      <c r="C400" s="52">
        <f t="shared" si="67"/>
        <v>1</v>
      </c>
      <c r="D400" s="960"/>
      <c r="E400" s="52">
        <f t="shared" si="68"/>
        <v>1</v>
      </c>
      <c r="F400" s="960"/>
      <c r="G400" s="52">
        <f t="shared" si="69"/>
        <v>1</v>
      </c>
      <c r="H400" s="960"/>
      <c r="I400" s="52">
        <f t="shared" si="70"/>
        <v>1</v>
      </c>
      <c r="J400" s="960"/>
      <c r="K400" s="52">
        <f t="shared" si="71"/>
        <v>1</v>
      </c>
      <c r="L400" s="960"/>
      <c r="M400" s="52">
        <f t="shared" si="72"/>
        <v>1</v>
      </c>
      <c r="N400" s="960"/>
      <c r="O400" s="52">
        <f t="shared" si="73"/>
        <v>1</v>
      </c>
      <c r="P400" s="960"/>
      <c r="Q400" s="52">
        <f t="shared" si="74"/>
        <v>1</v>
      </c>
      <c r="R400" s="488">
        <f t="shared" si="75"/>
        <v>0</v>
      </c>
      <c r="S400" s="796">
        <f t="shared" si="76"/>
        <v>0</v>
      </c>
    </row>
    <row r="401" spans="1:19">
      <c r="A401" s="962"/>
      <c r="B401" s="135"/>
      <c r="C401" s="52">
        <f t="shared" si="67"/>
        <v>1</v>
      </c>
      <c r="D401" s="960"/>
      <c r="E401" s="52">
        <f t="shared" si="68"/>
        <v>1</v>
      </c>
      <c r="F401" s="960"/>
      <c r="G401" s="52">
        <f t="shared" si="69"/>
        <v>1</v>
      </c>
      <c r="H401" s="960"/>
      <c r="I401" s="52">
        <f t="shared" si="70"/>
        <v>1</v>
      </c>
      <c r="J401" s="960"/>
      <c r="K401" s="52">
        <f t="shared" si="71"/>
        <v>1</v>
      </c>
      <c r="L401" s="960"/>
      <c r="M401" s="52">
        <f t="shared" si="72"/>
        <v>1</v>
      </c>
      <c r="N401" s="960"/>
      <c r="O401" s="52">
        <f t="shared" si="73"/>
        <v>1</v>
      </c>
      <c r="P401" s="960"/>
      <c r="Q401" s="52">
        <f t="shared" si="74"/>
        <v>1</v>
      </c>
      <c r="R401" s="488">
        <f t="shared" si="75"/>
        <v>0</v>
      </c>
      <c r="S401" s="796">
        <f t="shared" si="76"/>
        <v>0</v>
      </c>
    </row>
    <row r="402" spans="1:19">
      <c r="A402" s="962"/>
      <c r="B402" s="135"/>
      <c r="C402" s="52">
        <f t="shared" si="67"/>
        <v>1</v>
      </c>
      <c r="D402" s="960"/>
      <c r="E402" s="52">
        <f t="shared" si="68"/>
        <v>1</v>
      </c>
      <c r="F402" s="960"/>
      <c r="G402" s="52">
        <f t="shared" si="69"/>
        <v>1</v>
      </c>
      <c r="H402" s="960"/>
      <c r="I402" s="52">
        <f t="shared" si="70"/>
        <v>1</v>
      </c>
      <c r="J402" s="960"/>
      <c r="K402" s="52">
        <f t="shared" si="71"/>
        <v>1</v>
      </c>
      <c r="L402" s="960"/>
      <c r="M402" s="52">
        <f t="shared" si="72"/>
        <v>1</v>
      </c>
      <c r="N402" s="960"/>
      <c r="O402" s="52">
        <f t="shared" si="73"/>
        <v>1</v>
      </c>
      <c r="P402" s="960"/>
      <c r="Q402" s="52">
        <f t="shared" si="74"/>
        <v>1</v>
      </c>
      <c r="R402" s="488">
        <f t="shared" si="75"/>
        <v>0</v>
      </c>
      <c r="S402" s="796">
        <f t="shared" si="76"/>
        <v>0</v>
      </c>
    </row>
    <row r="403" spans="1:19">
      <c r="A403" s="962"/>
      <c r="B403" s="135"/>
      <c r="C403" s="52">
        <f t="shared" si="67"/>
        <v>1</v>
      </c>
      <c r="D403" s="960"/>
      <c r="E403" s="52">
        <f t="shared" si="68"/>
        <v>1</v>
      </c>
      <c r="F403" s="960"/>
      <c r="G403" s="52">
        <f t="shared" si="69"/>
        <v>1</v>
      </c>
      <c r="H403" s="960"/>
      <c r="I403" s="52">
        <f t="shared" si="70"/>
        <v>1</v>
      </c>
      <c r="J403" s="960"/>
      <c r="K403" s="52">
        <f t="shared" si="71"/>
        <v>1</v>
      </c>
      <c r="L403" s="960"/>
      <c r="M403" s="52">
        <f t="shared" si="72"/>
        <v>1</v>
      </c>
      <c r="N403" s="960"/>
      <c r="O403" s="52">
        <f t="shared" si="73"/>
        <v>1</v>
      </c>
      <c r="P403" s="960"/>
      <c r="Q403" s="52">
        <f t="shared" si="74"/>
        <v>1</v>
      </c>
      <c r="R403" s="488">
        <f t="shared" si="75"/>
        <v>0</v>
      </c>
      <c r="S403" s="796">
        <f t="shared" si="76"/>
        <v>0</v>
      </c>
    </row>
    <row r="404" spans="1:19">
      <c r="A404" s="962"/>
      <c r="B404" s="135"/>
      <c r="C404" s="52">
        <f t="shared" si="67"/>
        <v>1</v>
      </c>
      <c r="D404" s="960"/>
      <c r="E404" s="52">
        <f t="shared" si="68"/>
        <v>1</v>
      </c>
      <c r="F404" s="960"/>
      <c r="G404" s="52">
        <f t="shared" si="69"/>
        <v>1</v>
      </c>
      <c r="H404" s="960"/>
      <c r="I404" s="52">
        <f t="shared" si="70"/>
        <v>1</v>
      </c>
      <c r="J404" s="960"/>
      <c r="K404" s="52">
        <f t="shared" si="71"/>
        <v>1</v>
      </c>
      <c r="L404" s="960"/>
      <c r="M404" s="52">
        <f t="shared" si="72"/>
        <v>1</v>
      </c>
      <c r="N404" s="960"/>
      <c r="O404" s="52">
        <f t="shared" si="73"/>
        <v>1</v>
      </c>
      <c r="P404" s="960"/>
      <c r="Q404" s="52">
        <f t="shared" si="74"/>
        <v>1</v>
      </c>
      <c r="R404" s="488">
        <f t="shared" si="75"/>
        <v>0</v>
      </c>
      <c r="S404" s="796">
        <f t="shared" si="76"/>
        <v>0</v>
      </c>
    </row>
    <row r="405" spans="1:19">
      <c r="A405" s="962"/>
      <c r="B405" s="135"/>
      <c r="C405" s="52">
        <f t="shared" si="67"/>
        <v>1</v>
      </c>
      <c r="D405" s="960"/>
      <c r="E405" s="52">
        <f t="shared" si="68"/>
        <v>1</v>
      </c>
      <c r="F405" s="960"/>
      <c r="G405" s="52">
        <f t="shared" si="69"/>
        <v>1</v>
      </c>
      <c r="H405" s="960"/>
      <c r="I405" s="52">
        <f t="shared" si="70"/>
        <v>1</v>
      </c>
      <c r="J405" s="960"/>
      <c r="K405" s="52">
        <f t="shared" si="71"/>
        <v>1</v>
      </c>
      <c r="L405" s="960"/>
      <c r="M405" s="52">
        <f t="shared" si="72"/>
        <v>1</v>
      </c>
      <c r="N405" s="960"/>
      <c r="O405" s="52">
        <f t="shared" si="73"/>
        <v>1</v>
      </c>
      <c r="P405" s="960"/>
      <c r="Q405" s="52">
        <f t="shared" si="74"/>
        <v>1</v>
      </c>
      <c r="R405" s="488">
        <f t="shared" si="75"/>
        <v>0</v>
      </c>
      <c r="S405" s="796">
        <f t="shared" si="76"/>
        <v>0</v>
      </c>
    </row>
    <row r="406" spans="1:19">
      <c r="A406" s="962"/>
      <c r="B406" s="135"/>
      <c r="C406" s="52">
        <f t="shared" si="67"/>
        <v>1</v>
      </c>
      <c r="D406" s="960"/>
      <c r="E406" s="52">
        <f t="shared" si="68"/>
        <v>1</v>
      </c>
      <c r="F406" s="960"/>
      <c r="G406" s="52">
        <f t="shared" si="69"/>
        <v>1</v>
      </c>
      <c r="H406" s="960"/>
      <c r="I406" s="52">
        <f t="shared" si="70"/>
        <v>1</v>
      </c>
      <c r="J406" s="960"/>
      <c r="K406" s="52">
        <f t="shared" si="71"/>
        <v>1</v>
      </c>
      <c r="L406" s="960"/>
      <c r="M406" s="52">
        <f t="shared" si="72"/>
        <v>1</v>
      </c>
      <c r="N406" s="960"/>
      <c r="O406" s="52">
        <f t="shared" si="73"/>
        <v>1</v>
      </c>
      <c r="P406" s="960"/>
      <c r="Q406" s="52">
        <f t="shared" si="74"/>
        <v>1</v>
      </c>
      <c r="R406" s="488">
        <f t="shared" si="75"/>
        <v>0</v>
      </c>
      <c r="S406" s="796">
        <f t="shared" si="76"/>
        <v>0</v>
      </c>
    </row>
    <row r="407" spans="1:19">
      <c r="A407" s="962"/>
      <c r="B407" s="135"/>
      <c r="C407" s="52">
        <f t="shared" si="67"/>
        <v>1</v>
      </c>
      <c r="D407" s="960"/>
      <c r="E407" s="52">
        <f t="shared" si="68"/>
        <v>1</v>
      </c>
      <c r="F407" s="960"/>
      <c r="G407" s="52">
        <f t="shared" si="69"/>
        <v>1</v>
      </c>
      <c r="H407" s="960"/>
      <c r="I407" s="52">
        <f t="shared" si="70"/>
        <v>1</v>
      </c>
      <c r="J407" s="960"/>
      <c r="K407" s="52">
        <f t="shared" si="71"/>
        <v>1</v>
      </c>
      <c r="L407" s="960"/>
      <c r="M407" s="52">
        <f t="shared" si="72"/>
        <v>1</v>
      </c>
      <c r="N407" s="960"/>
      <c r="O407" s="52">
        <f t="shared" si="73"/>
        <v>1</v>
      </c>
      <c r="P407" s="960"/>
      <c r="Q407" s="52">
        <f t="shared" si="74"/>
        <v>1</v>
      </c>
      <c r="R407" s="488">
        <f t="shared" si="75"/>
        <v>0</v>
      </c>
      <c r="S407" s="796">
        <f t="shared" si="76"/>
        <v>0</v>
      </c>
    </row>
    <row r="408" spans="1:19">
      <c r="A408" s="962"/>
      <c r="B408" s="135"/>
      <c r="C408" s="52">
        <f t="shared" si="67"/>
        <v>1</v>
      </c>
      <c r="D408" s="960"/>
      <c r="E408" s="52">
        <f t="shared" si="68"/>
        <v>1</v>
      </c>
      <c r="F408" s="960"/>
      <c r="G408" s="52">
        <f t="shared" si="69"/>
        <v>1</v>
      </c>
      <c r="H408" s="960"/>
      <c r="I408" s="52">
        <f t="shared" si="70"/>
        <v>1</v>
      </c>
      <c r="J408" s="960"/>
      <c r="K408" s="52">
        <f t="shared" si="71"/>
        <v>1</v>
      </c>
      <c r="L408" s="960"/>
      <c r="M408" s="52">
        <f t="shared" si="72"/>
        <v>1</v>
      </c>
      <c r="N408" s="960"/>
      <c r="O408" s="52">
        <f t="shared" si="73"/>
        <v>1</v>
      </c>
      <c r="P408" s="960"/>
      <c r="Q408" s="52">
        <f t="shared" si="74"/>
        <v>1</v>
      </c>
      <c r="R408" s="488">
        <f t="shared" si="75"/>
        <v>0</v>
      </c>
      <c r="S408" s="796">
        <f t="shared" si="76"/>
        <v>0</v>
      </c>
    </row>
    <row r="409" spans="1:19">
      <c r="A409" s="962"/>
      <c r="B409" s="135"/>
      <c r="C409" s="52">
        <f t="shared" si="67"/>
        <v>1</v>
      </c>
      <c r="D409" s="960"/>
      <c r="E409" s="52">
        <f t="shared" si="68"/>
        <v>1</v>
      </c>
      <c r="F409" s="960"/>
      <c r="G409" s="52">
        <f t="shared" si="69"/>
        <v>1</v>
      </c>
      <c r="H409" s="960"/>
      <c r="I409" s="52">
        <f t="shared" si="70"/>
        <v>1</v>
      </c>
      <c r="J409" s="960"/>
      <c r="K409" s="52">
        <f t="shared" si="71"/>
        <v>1</v>
      </c>
      <c r="L409" s="960"/>
      <c r="M409" s="52">
        <f t="shared" si="72"/>
        <v>1</v>
      </c>
      <c r="N409" s="960"/>
      <c r="O409" s="52">
        <f t="shared" si="73"/>
        <v>1</v>
      </c>
      <c r="P409" s="960"/>
      <c r="Q409" s="52">
        <f t="shared" si="74"/>
        <v>1</v>
      </c>
      <c r="R409" s="488">
        <f t="shared" si="75"/>
        <v>0</v>
      </c>
      <c r="S409" s="796">
        <f t="shared" si="76"/>
        <v>0</v>
      </c>
    </row>
    <row r="410" spans="1:19">
      <c r="A410" s="962"/>
      <c r="B410" s="135"/>
      <c r="C410" s="52">
        <f t="shared" ref="C410:C473" si="77">IF(B410="",1,(LOOKUP(B410,$3:$3,$4:$4)-LOOKUP($B$24,$3:$3,$4:$4)+100)/100)</f>
        <v>1</v>
      </c>
      <c r="D410" s="960"/>
      <c r="E410" s="52">
        <f t="shared" ref="E410:E473" si="78">(SUMIF($5:$5,D410,$6:$6)-SUMIF($5:$5,$D$24,$6:$6)+100)/100</f>
        <v>1</v>
      </c>
      <c r="F410" s="960"/>
      <c r="G410" s="52">
        <f t="shared" ref="G410:G473" si="79">(SUMIF($7:$7,F410,$8:$8)-SUMIF($7:$7,$F$24,$8:$8)+100)/100</f>
        <v>1</v>
      </c>
      <c r="H410" s="960"/>
      <c r="I410" s="52">
        <f t="shared" ref="I410:I473" si="80">(SUMIF($9:$9,H410,$10:$10)-SUMIF($9:$9,$H$24,$10:$10)+100)/100</f>
        <v>1</v>
      </c>
      <c r="J410" s="960"/>
      <c r="K410" s="52">
        <f t="shared" ref="K410:K473" si="81">(SUMIF($11:$11,J410,$12:$12)-SUMIF($11:$11,$J$24,$12:$12)+100)/100</f>
        <v>1</v>
      </c>
      <c r="L410" s="960"/>
      <c r="M410" s="52">
        <f t="shared" ref="M410:M473" si="82">(SUMIF($13:$13,L410,$14:$14)-SUMIF($13:$13,$L$24,$14:$14)+100)/100</f>
        <v>1</v>
      </c>
      <c r="N410" s="960"/>
      <c r="O410" s="52">
        <f t="shared" ref="O410:O473" si="83">(SUMIF($15:$15,N410,$16:$16)-SUMIF($15:$15,$N$24,$16:$16)+100)/100</f>
        <v>1</v>
      </c>
      <c r="P410" s="960"/>
      <c r="Q410" s="52">
        <f t="shared" ref="Q410:Q473" si="84">(SUMIF($17:$17,P410,$18:$18)-SUMIF($17:$17,$P$24,$18:$18)+100)/100</f>
        <v>1</v>
      </c>
      <c r="R410" s="488">
        <f t="shared" ref="R410:R473" si="85">IF(B410="",0,ROUND($R$24*C410*E410*G410*I410*K410*M410*O410*Q410,0))</f>
        <v>0</v>
      </c>
      <c r="S410" s="796">
        <f t="shared" si="76"/>
        <v>0</v>
      </c>
    </row>
    <row r="411" spans="1:19">
      <c r="A411" s="962"/>
      <c r="B411" s="135"/>
      <c r="C411" s="52">
        <f t="shared" si="77"/>
        <v>1</v>
      </c>
      <c r="D411" s="960"/>
      <c r="E411" s="52">
        <f t="shared" si="78"/>
        <v>1</v>
      </c>
      <c r="F411" s="960"/>
      <c r="G411" s="52">
        <f t="shared" si="79"/>
        <v>1</v>
      </c>
      <c r="H411" s="960"/>
      <c r="I411" s="52">
        <f t="shared" si="80"/>
        <v>1</v>
      </c>
      <c r="J411" s="960"/>
      <c r="K411" s="52">
        <f t="shared" si="81"/>
        <v>1</v>
      </c>
      <c r="L411" s="960"/>
      <c r="M411" s="52">
        <f t="shared" si="82"/>
        <v>1</v>
      </c>
      <c r="N411" s="960"/>
      <c r="O411" s="52">
        <f t="shared" si="83"/>
        <v>1</v>
      </c>
      <c r="P411" s="960"/>
      <c r="Q411" s="52">
        <f t="shared" si="84"/>
        <v>1</v>
      </c>
      <c r="R411" s="488">
        <f t="shared" si="85"/>
        <v>0</v>
      </c>
      <c r="S411" s="796">
        <f t="shared" si="76"/>
        <v>0</v>
      </c>
    </row>
    <row r="412" spans="1:19">
      <c r="A412" s="962"/>
      <c r="B412" s="135"/>
      <c r="C412" s="52">
        <f t="shared" si="77"/>
        <v>1</v>
      </c>
      <c r="D412" s="960"/>
      <c r="E412" s="52">
        <f t="shared" si="78"/>
        <v>1</v>
      </c>
      <c r="F412" s="960"/>
      <c r="G412" s="52">
        <f t="shared" si="79"/>
        <v>1</v>
      </c>
      <c r="H412" s="960"/>
      <c r="I412" s="52">
        <f t="shared" si="80"/>
        <v>1</v>
      </c>
      <c r="J412" s="960"/>
      <c r="K412" s="52">
        <f t="shared" si="81"/>
        <v>1</v>
      </c>
      <c r="L412" s="960"/>
      <c r="M412" s="52">
        <f t="shared" si="82"/>
        <v>1</v>
      </c>
      <c r="N412" s="960"/>
      <c r="O412" s="52">
        <f t="shared" si="83"/>
        <v>1</v>
      </c>
      <c r="P412" s="960"/>
      <c r="Q412" s="52">
        <f t="shared" si="84"/>
        <v>1</v>
      </c>
      <c r="R412" s="488">
        <f t="shared" si="85"/>
        <v>0</v>
      </c>
      <c r="S412" s="796">
        <f t="shared" si="76"/>
        <v>0</v>
      </c>
    </row>
    <row r="413" spans="1:19">
      <c r="A413" s="962"/>
      <c r="B413" s="135"/>
      <c r="C413" s="52">
        <f t="shared" si="77"/>
        <v>1</v>
      </c>
      <c r="D413" s="960"/>
      <c r="E413" s="52">
        <f t="shared" si="78"/>
        <v>1</v>
      </c>
      <c r="F413" s="960"/>
      <c r="G413" s="52">
        <f t="shared" si="79"/>
        <v>1</v>
      </c>
      <c r="H413" s="960"/>
      <c r="I413" s="52">
        <f t="shared" si="80"/>
        <v>1</v>
      </c>
      <c r="J413" s="960"/>
      <c r="K413" s="52">
        <f t="shared" si="81"/>
        <v>1</v>
      </c>
      <c r="L413" s="960"/>
      <c r="M413" s="52">
        <f t="shared" si="82"/>
        <v>1</v>
      </c>
      <c r="N413" s="960"/>
      <c r="O413" s="52">
        <f t="shared" si="83"/>
        <v>1</v>
      </c>
      <c r="P413" s="960"/>
      <c r="Q413" s="52">
        <f t="shared" si="84"/>
        <v>1</v>
      </c>
      <c r="R413" s="488">
        <f t="shared" si="85"/>
        <v>0</v>
      </c>
      <c r="S413" s="796">
        <f t="shared" si="76"/>
        <v>0</v>
      </c>
    </row>
    <row r="414" spans="1:19">
      <c r="A414" s="962"/>
      <c r="B414" s="135"/>
      <c r="C414" s="52">
        <f t="shared" si="77"/>
        <v>1</v>
      </c>
      <c r="D414" s="960"/>
      <c r="E414" s="52">
        <f t="shared" si="78"/>
        <v>1</v>
      </c>
      <c r="F414" s="960"/>
      <c r="G414" s="52">
        <f t="shared" si="79"/>
        <v>1</v>
      </c>
      <c r="H414" s="960"/>
      <c r="I414" s="52">
        <f t="shared" si="80"/>
        <v>1</v>
      </c>
      <c r="J414" s="960"/>
      <c r="K414" s="52">
        <f t="shared" si="81"/>
        <v>1</v>
      </c>
      <c r="L414" s="960"/>
      <c r="M414" s="52">
        <f t="shared" si="82"/>
        <v>1</v>
      </c>
      <c r="N414" s="960"/>
      <c r="O414" s="52">
        <f t="shared" si="83"/>
        <v>1</v>
      </c>
      <c r="P414" s="960"/>
      <c r="Q414" s="52">
        <f t="shared" si="84"/>
        <v>1</v>
      </c>
      <c r="R414" s="488">
        <f t="shared" si="85"/>
        <v>0</v>
      </c>
      <c r="S414" s="796">
        <f t="shared" si="76"/>
        <v>0</v>
      </c>
    </row>
    <row r="415" spans="1:19">
      <c r="A415" s="962"/>
      <c r="B415" s="135"/>
      <c r="C415" s="52">
        <f t="shared" si="77"/>
        <v>1</v>
      </c>
      <c r="D415" s="960"/>
      <c r="E415" s="52">
        <f t="shared" si="78"/>
        <v>1</v>
      </c>
      <c r="F415" s="960"/>
      <c r="G415" s="52">
        <f t="shared" si="79"/>
        <v>1</v>
      </c>
      <c r="H415" s="960"/>
      <c r="I415" s="52">
        <f t="shared" si="80"/>
        <v>1</v>
      </c>
      <c r="J415" s="960"/>
      <c r="K415" s="52">
        <f t="shared" si="81"/>
        <v>1</v>
      </c>
      <c r="L415" s="960"/>
      <c r="M415" s="52">
        <f t="shared" si="82"/>
        <v>1</v>
      </c>
      <c r="N415" s="960"/>
      <c r="O415" s="52">
        <f t="shared" si="83"/>
        <v>1</v>
      </c>
      <c r="P415" s="960"/>
      <c r="Q415" s="52">
        <f t="shared" si="84"/>
        <v>1</v>
      </c>
      <c r="R415" s="488">
        <f t="shared" si="85"/>
        <v>0</v>
      </c>
      <c r="S415" s="796">
        <f t="shared" si="76"/>
        <v>0</v>
      </c>
    </row>
    <row r="416" spans="1:19">
      <c r="A416" s="962"/>
      <c r="B416" s="135"/>
      <c r="C416" s="52">
        <f t="shared" si="77"/>
        <v>1</v>
      </c>
      <c r="D416" s="960"/>
      <c r="E416" s="52">
        <f t="shared" si="78"/>
        <v>1</v>
      </c>
      <c r="F416" s="960"/>
      <c r="G416" s="52">
        <f t="shared" si="79"/>
        <v>1</v>
      </c>
      <c r="H416" s="960"/>
      <c r="I416" s="52">
        <f t="shared" si="80"/>
        <v>1</v>
      </c>
      <c r="J416" s="960"/>
      <c r="K416" s="52">
        <f t="shared" si="81"/>
        <v>1</v>
      </c>
      <c r="L416" s="960"/>
      <c r="M416" s="52">
        <f t="shared" si="82"/>
        <v>1</v>
      </c>
      <c r="N416" s="960"/>
      <c r="O416" s="52">
        <f t="shared" si="83"/>
        <v>1</v>
      </c>
      <c r="P416" s="960"/>
      <c r="Q416" s="52">
        <f t="shared" si="84"/>
        <v>1</v>
      </c>
      <c r="R416" s="488">
        <f t="shared" si="85"/>
        <v>0</v>
      </c>
      <c r="S416" s="796">
        <f t="shared" si="76"/>
        <v>0</v>
      </c>
    </row>
    <row r="417" spans="1:19">
      <c r="A417" s="962"/>
      <c r="B417" s="135"/>
      <c r="C417" s="52">
        <f t="shared" si="77"/>
        <v>1</v>
      </c>
      <c r="D417" s="960"/>
      <c r="E417" s="52">
        <f t="shared" si="78"/>
        <v>1</v>
      </c>
      <c r="F417" s="960"/>
      <c r="G417" s="52">
        <f t="shared" si="79"/>
        <v>1</v>
      </c>
      <c r="H417" s="960"/>
      <c r="I417" s="52">
        <f t="shared" si="80"/>
        <v>1</v>
      </c>
      <c r="J417" s="960"/>
      <c r="K417" s="52">
        <f t="shared" si="81"/>
        <v>1</v>
      </c>
      <c r="L417" s="960"/>
      <c r="M417" s="52">
        <f t="shared" si="82"/>
        <v>1</v>
      </c>
      <c r="N417" s="960"/>
      <c r="O417" s="52">
        <f t="shared" si="83"/>
        <v>1</v>
      </c>
      <c r="P417" s="960"/>
      <c r="Q417" s="52">
        <f t="shared" si="84"/>
        <v>1</v>
      </c>
      <c r="R417" s="488">
        <f t="shared" si="85"/>
        <v>0</v>
      </c>
      <c r="S417" s="796">
        <f t="shared" si="76"/>
        <v>0</v>
      </c>
    </row>
    <row r="418" spans="1:19">
      <c r="A418" s="962"/>
      <c r="B418" s="135"/>
      <c r="C418" s="52">
        <f t="shared" si="77"/>
        <v>1</v>
      </c>
      <c r="D418" s="960"/>
      <c r="E418" s="52">
        <f t="shared" si="78"/>
        <v>1</v>
      </c>
      <c r="F418" s="960"/>
      <c r="G418" s="52">
        <f t="shared" si="79"/>
        <v>1</v>
      </c>
      <c r="H418" s="960"/>
      <c r="I418" s="52">
        <f t="shared" si="80"/>
        <v>1</v>
      </c>
      <c r="J418" s="960"/>
      <c r="K418" s="52">
        <f t="shared" si="81"/>
        <v>1</v>
      </c>
      <c r="L418" s="960"/>
      <c r="M418" s="52">
        <f t="shared" si="82"/>
        <v>1</v>
      </c>
      <c r="N418" s="960"/>
      <c r="O418" s="52">
        <f t="shared" si="83"/>
        <v>1</v>
      </c>
      <c r="P418" s="960"/>
      <c r="Q418" s="52">
        <f t="shared" si="84"/>
        <v>1</v>
      </c>
      <c r="R418" s="488">
        <f t="shared" si="85"/>
        <v>0</v>
      </c>
      <c r="S418" s="796">
        <f t="shared" si="76"/>
        <v>0</v>
      </c>
    </row>
    <row r="419" spans="1:19">
      <c r="A419" s="962"/>
      <c r="B419" s="135"/>
      <c r="C419" s="52">
        <f t="shared" si="77"/>
        <v>1</v>
      </c>
      <c r="D419" s="960"/>
      <c r="E419" s="52">
        <f t="shared" si="78"/>
        <v>1</v>
      </c>
      <c r="F419" s="960"/>
      <c r="G419" s="52">
        <f t="shared" si="79"/>
        <v>1</v>
      </c>
      <c r="H419" s="960"/>
      <c r="I419" s="52">
        <f t="shared" si="80"/>
        <v>1</v>
      </c>
      <c r="J419" s="960"/>
      <c r="K419" s="52">
        <f t="shared" si="81"/>
        <v>1</v>
      </c>
      <c r="L419" s="960"/>
      <c r="M419" s="52">
        <f t="shared" si="82"/>
        <v>1</v>
      </c>
      <c r="N419" s="960"/>
      <c r="O419" s="52">
        <f t="shared" si="83"/>
        <v>1</v>
      </c>
      <c r="P419" s="960"/>
      <c r="Q419" s="52">
        <f t="shared" si="84"/>
        <v>1</v>
      </c>
      <c r="R419" s="488">
        <f t="shared" si="85"/>
        <v>0</v>
      </c>
      <c r="S419" s="796">
        <f t="shared" si="76"/>
        <v>0</v>
      </c>
    </row>
    <row r="420" spans="1:19">
      <c r="A420" s="962"/>
      <c r="B420" s="135"/>
      <c r="C420" s="52">
        <f t="shared" si="77"/>
        <v>1</v>
      </c>
      <c r="D420" s="960"/>
      <c r="E420" s="52">
        <f t="shared" si="78"/>
        <v>1</v>
      </c>
      <c r="F420" s="960"/>
      <c r="G420" s="52">
        <f t="shared" si="79"/>
        <v>1</v>
      </c>
      <c r="H420" s="960"/>
      <c r="I420" s="52">
        <f t="shared" si="80"/>
        <v>1</v>
      </c>
      <c r="J420" s="960"/>
      <c r="K420" s="52">
        <f t="shared" si="81"/>
        <v>1</v>
      </c>
      <c r="L420" s="960"/>
      <c r="M420" s="52">
        <f t="shared" si="82"/>
        <v>1</v>
      </c>
      <c r="N420" s="960"/>
      <c r="O420" s="52">
        <f t="shared" si="83"/>
        <v>1</v>
      </c>
      <c r="P420" s="960"/>
      <c r="Q420" s="52">
        <f t="shared" si="84"/>
        <v>1</v>
      </c>
      <c r="R420" s="488">
        <f t="shared" si="85"/>
        <v>0</v>
      </c>
      <c r="S420" s="796">
        <f t="shared" si="76"/>
        <v>0</v>
      </c>
    </row>
    <row r="421" spans="1:19">
      <c r="A421" s="962"/>
      <c r="B421" s="135"/>
      <c r="C421" s="52">
        <f t="shared" si="77"/>
        <v>1</v>
      </c>
      <c r="D421" s="960"/>
      <c r="E421" s="52">
        <f t="shared" si="78"/>
        <v>1</v>
      </c>
      <c r="F421" s="960"/>
      <c r="G421" s="52">
        <f t="shared" si="79"/>
        <v>1</v>
      </c>
      <c r="H421" s="960"/>
      <c r="I421" s="52">
        <f t="shared" si="80"/>
        <v>1</v>
      </c>
      <c r="J421" s="960"/>
      <c r="K421" s="52">
        <f t="shared" si="81"/>
        <v>1</v>
      </c>
      <c r="L421" s="960"/>
      <c r="M421" s="52">
        <f t="shared" si="82"/>
        <v>1</v>
      </c>
      <c r="N421" s="960"/>
      <c r="O421" s="52">
        <f t="shared" si="83"/>
        <v>1</v>
      </c>
      <c r="P421" s="960"/>
      <c r="Q421" s="52">
        <f t="shared" si="84"/>
        <v>1</v>
      </c>
      <c r="R421" s="488">
        <f t="shared" si="85"/>
        <v>0</v>
      </c>
      <c r="S421" s="796">
        <f t="shared" si="76"/>
        <v>0</v>
      </c>
    </row>
    <row r="422" spans="1:19">
      <c r="A422" s="962"/>
      <c r="B422" s="135"/>
      <c r="C422" s="52">
        <f t="shared" si="77"/>
        <v>1</v>
      </c>
      <c r="D422" s="960"/>
      <c r="E422" s="52">
        <f t="shared" si="78"/>
        <v>1</v>
      </c>
      <c r="F422" s="960"/>
      <c r="G422" s="52">
        <f t="shared" si="79"/>
        <v>1</v>
      </c>
      <c r="H422" s="960"/>
      <c r="I422" s="52">
        <f t="shared" si="80"/>
        <v>1</v>
      </c>
      <c r="J422" s="960"/>
      <c r="K422" s="52">
        <f t="shared" si="81"/>
        <v>1</v>
      </c>
      <c r="L422" s="960"/>
      <c r="M422" s="52">
        <f t="shared" si="82"/>
        <v>1</v>
      </c>
      <c r="N422" s="960"/>
      <c r="O422" s="52">
        <f t="shared" si="83"/>
        <v>1</v>
      </c>
      <c r="P422" s="960"/>
      <c r="Q422" s="52">
        <f t="shared" si="84"/>
        <v>1</v>
      </c>
      <c r="R422" s="488">
        <f t="shared" si="85"/>
        <v>0</v>
      </c>
      <c r="S422" s="796">
        <f t="shared" si="76"/>
        <v>0</v>
      </c>
    </row>
    <row r="423" spans="1:19">
      <c r="A423" s="962"/>
      <c r="B423" s="135"/>
      <c r="C423" s="52">
        <f t="shared" si="77"/>
        <v>1</v>
      </c>
      <c r="D423" s="960"/>
      <c r="E423" s="52">
        <f t="shared" si="78"/>
        <v>1</v>
      </c>
      <c r="F423" s="960"/>
      <c r="G423" s="52">
        <f t="shared" si="79"/>
        <v>1</v>
      </c>
      <c r="H423" s="960"/>
      <c r="I423" s="52">
        <f t="shared" si="80"/>
        <v>1</v>
      </c>
      <c r="J423" s="960"/>
      <c r="K423" s="52">
        <f t="shared" si="81"/>
        <v>1</v>
      </c>
      <c r="L423" s="960"/>
      <c r="M423" s="52">
        <f t="shared" si="82"/>
        <v>1</v>
      </c>
      <c r="N423" s="960"/>
      <c r="O423" s="52">
        <f t="shared" si="83"/>
        <v>1</v>
      </c>
      <c r="P423" s="960"/>
      <c r="Q423" s="52">
        <f t="shared" si="84"/>
        <v>1</v>
      </c>
      <c r="R423" s="488">
        <f t="shared" si="85"/>
        <v>0</v>
      </c>
      <c r="S423" s="796">
        <f t="shared" ref="S423:S467" si="86">ROUND(R423*B423/10000,0)</f>
        <v>0</v>
      </c>
    </row>
    <row r="424" spans="1:19">
      <c r="A424" s="962"/>
      <c r="B424" s="135"/>
      <c r="C424" s="52">
        <f t="shared" si="77"/>
        <v>1</v>
      </c>
      <c r="D424" s="960"/>
      <c r="E424" s="52">
        <f t="shared" si="78"/>
        <v>1</v>
      </c>
      <c r="F424" s="960"/>
      <c r="G424" s="52">
        <f t="shared" si="79"/>
        <v>1</v>
      </c>
      <c r="H424" s="960"/>
      <c r="I424" s="52">
        <f t="shared" si="80"/>
        <v>1</v>
      </c>
      <c r="J424" s="960"/>
      <c r="K424" s="52">
        <f t="shared" si="81"/>
        <v>1</v>
      </c>
      <c r="L424" s="960"/>
      <c r="M424" s="52">
        <f t="shared" si="82"/>
        <v>1</v>
      </c>
      <c r="N424" s="960"/>
      <c r="O424" s="52">
        <f t="shared" si="83"/>
        <v>1</v>
      </c>
      <c r="P424" s="960"/>
      <c r="Q424" s="52">
        <f t="shared" si="84"/>
        <v>1</v>
      </c>
      <c r="R424" s="488">
        <f t="shared" si="85"/>
        <v>0</v>
      </c>
      <c r="S424" s="796">
        <f t="shared" si="86"/>
        <v>0</v>
      </c>
    </row>
    <row r="425" spans="1:19">
      <c r="A425" s="962"/>
      <c r="B425" s="135"/>
      <c r="C425" s="52">
        <f t="shared" si="77"/>
        <v>1</v>
      </c>
      <c r="D425" s="960"/>
      <c r="E425" s="52">
        <f t="shared" si="78"/>
        <v>1</v>
      </c>
      <c r="F425" s="960"/>
      <c r="G425" s="52">
        <f t="shared" si="79"/>
        <v>1</v>
      </c>
      <c r="H425" s="960"/>
      <c r="I425" s="52">
        <f t="shared" si="80"/>
        <v>1</v>
      </c>
      <c r="J425" s="960"/>
      <c r="K425" s="52">
        <f t="shared" si="81"/>
        <v>1</v>
      </c>
      <c r="L425" s="960"/>
      <c r="M425" s="52">
        <f t="shared" si="82"/>
        <v>1</v>
      </c>
      <c r="N425" s="960"/>
      <c r="O425" s="52">
        <f t="shared" si="83"/>
        <v>1</v>
      </c>
      <c r="P425" s="960"/>
      <c r="Q425" s="52">
        <f t="shared" si="84"/>
        <v>1</v>
      </c>
      <c r="R425" s="488">
        <f t="shared" si="85"/>
        <v>0</v>
      </c>
      <c r="S425" s="796">
        <f t="shared" si="86"/>
        <v>0</v>
      </c>
    </row>
    <row r="426" spans="1:19">
      <c r="A426" s="962"/>
      <c r="B426" s="135"/>
      <c r="C426" s="52">
        <f t="shared" si="77"/>
        <v>1</v>
      </c>
      <c r="D426" s="960"/>
      <c r="E426" s="52">
        <f t="shared" si="78"/>
        <v>1</v>
      </c>
      <c r="F426" s="960"/>
      <c r="G426" s="52">
        <f t="shared" si="79"/>
        <v>1</v>
      </c>
      <c r="H426" s="960"/>
      <c r="I426" s="52">
        <f t="shared" si="80"/>
        <v>1</v>
      </c>
      <c r="J426" s="960"/>
      <c r="K426" s="52">
        <f t="shared" si="81"/>
        <v>1</v>
      </c>
      <c r="L426" s="960"/>
      <c r="M426" s="52">
        <f t="shared" si="82"/>
        <v>1</v>
      </c>
      <c r="N426" s="960"/>
      <c r="O426" s="52">
        <f t="shared" si="83"/>
        <v>1</v>
      </c>
      <c r="P426" s="960"/>
      <c r="Q426" s="52">
        <f t="shared" si="84"/>
        <v>1</v>
      </c>
      <c r="R426" s="488">
        <f t="shared" si="85"/>
        <v>0</v>
      </c>
      <c r="S426" s="796">
        <f t="shared" si="86"/>
        <v>0</v>
      </c>
    </row>
    <row r="427" spans="1:19">
      <c r="A427" s="962"/>
      <c r="B427" s="135"/>
      <c r="C427" s="52">
        <f t="shared" si="77"/>
        <v>1</v>
      </c>
      <c r="D427" s="960"/>
      <c r="E427" s="52">
        <f t="shared" si="78"/>
        <v>1</v>
      </c>
      <c r="F427" s="960"/>
      <c r="G427" s="52">
        <f t="shared" si="79"/>
        <v>1</v>
      </c>
      <c r="H427" s="960"/>
      <c r="I427" s="52">
        <f t="shared" si="80"/>
        <v>1</v>
      </c>
      <c r="J427" s="960"/>
      <c r="K427" s="52">
        <f t="shared" si="81"/>
        <v>1</v>
      </c>
      <c r="L427" s="960"/>
      <c r="M427" s="52">
        <f t="shared" si="82"/>
        <v>1</v>
      </c>
      <c r="N427" s="960"/>
      <c r="O427" s="52">
        <f t="shared" si="83"/>
        <v>1</v>
      </c>
      <c r="P427" s="960"/>
      <c r="Q427" s="52">
        <f t="shared" si="84"/>
        <v>1</v>
      </c>
      <c r="R427" s="488">
        <f t="shared" si="85"/>
        <v>0</v>
      </c>
      <c r="S427" s="796">
        <f t="shared" si="86"/>
        <v>0</v>
      </c>
    </row>
    <row r="428" spans="1:19">
      <c r="A428" s="962"/>
      <c r="B428" s="135"/>
      <c r="C428" s="52">
        <f t="shared" si="77"/>
        <v>1</v>
      </c>
      <c r="D428" s="960"/>
      <c r="E428" s="52">
        <f t="shared" si="78"/>
        <v>1</v>
      </c>
      <c r="F428" s="960"/>
      <c r="G428" s="52">
        <f t="shared" si="79"/>
        <v>1</v>
      </c>
      <c r="H428" s="960"/>
      <c r="I428" s="52">
        <f t="shared" si="80"/>
        <v>1</v>
      </c>
      <c r="J428" s="960"/>
      <c r="K428" s="52">
        <f t="shared" si="81"/>
        <v>1</v>
      </c>
      <c r="L428" s="960"/>
      <c r="M428" s="52">
        <f t="shared" si="82"/>
        <v>1</v>
      </c>
      <c r="N428" s="960"/>
      <c r="O428" s="52">
        <f t="shared" si="83"/>
        <v>1</v>
      </c>
      <c r="P428" s="960"/>
      <c r="Q428" s="52">
        <f t="shared" si="84"/>
        <v>1</v>
      </c>
      <c r="R428" s="488">
        <f t="shared" si="85"/>
        <v>0</v>
      </c>
      <c r="S428" s="796">
        <f t="shared" si="86"/>
        <v>0</v>
      </c>
    </row>
    <row r="429" spans="1:19">
      <c r="A429" s="962"/>
      <c r="B429" s="135"/>
      <c r="C429" s="52">
        <f t="shared" si="77"/>
        <v>1</v>
      </c>
      <c r="D429" s="960"/>
      <c r="E429" s="52">
        <f t="shared" si="78"/>
        <v>1</v>
      </c>
      <c r="F429" s="960"/>
      <c r="G429" s="52">
        <f t="shared" si="79"/>
        <v>1</v>
      </c>
      <c r="H429" s="960"/>
      <c r="I429" s="52">
        <f t="shared" si="80"/>
        <v>1</v>
      </c>
      <c r="J429" s="960"/>
      <c r="K429" s="52">
        <f t="shared" si="81"/>
        <v>1</v>
      </c>
      <c r="L429" s="960"/>
      <c r="M429" s="52">
        <f t="shared" si="82"/>
        <v>1</v>
      </c>
      <c r="N429" s="960"/>
      <c r="O429" s="52">
        <f t="shared" si="83"/>
        <v>1</v>
      </c>
      <c r="P429" s="960"/>
      <c r="Q429" s="52">
        <f t="shared" si="84"/>
        <v>1</v>
      </c>
      <c r="R429" s="488">
        <f t="shared" si="85"/>
        <v>0</v>
      </c>
      <c r="S429" s="796">
        <f t="shared" si="86"/>
        <v>0</v>
      </c>
    </row>
    <row r="430" spans="1:19">
      <c r="A430" s="962"/>
      <c r="B430" s="135"/>
      <c r="C430" s="52">
        <f t="shared" si="77"/>
        <v>1</v>
      </c>
      <c r="D430" s="960"/>
      <c r="E430" s="52">
        <f t="shared" si="78"/>
        <v>1</v>
      </c>
      <c r="F430" s="960"/>
      <c r="G430" s="52">
        <f t="shared" si="79"/>
        <v>1</v>
      </c>
      <c r="H430" s="960"/>
      <c r="I430" s="52">
        <f t="shared" si="80"/>
        <v>1</v>
      </c>
      <c r="J430" s="960"/>
      <c r="K430" s="52">
        <f t="shared" si="81"/>
        <v>1</v>
      </c>
      <c r="L430" s="960"/>
      <c r="M430" s="52">
        <f t="shared" si="82"/>
        <v>1</v>
      </c>
      <c r="N430" s="960"/>
      <c r="O430" s="52">
        <f t="shared" si="83"/>
        <v>1</v>
      </c>
      <c r="P430" s="960"/>
      <c r="Q430" s="52">
        <f t="shared" si="84"/>
        <v>1</v>
      </c>
      <c r="R430" s="488">
        <f t="shared" si="85"/>
        <v>0</v>
      </c>
      <c r="S430" s="796">
        <f t="shared" si="86"/>
        <v>0</v>
      </c>
    </row>
    <row r="431" spans="1:19">
      <c r="A431" s="962"/>
      <c r="B431" s="135"/>
      <c r="C431" s="52">
        <f t="shared" si="77"/>
        <v>1</v>
      </c>
      <c r="D431" s="960"/>
      <c r="E431" s="52">
        <f t="shared" si="78"/>
        <v>1</v>
      </c>
      <c r="F431" s="960"/>
      <c r="G431" s="52">
        <f t="shared" si="79"/>
        <v>1</v>
      </c>
      <c r="H431" s="960"/>
      <c r="I431" s="52">
        <f t="shared" si="80"/>
        <v>1</v>
      </c>
      <c r="J431" s="960"/>
      <c r="K431" s="52">
        <f t="shared" si="81"/>
        <v>1</v>
      </c>
      <c r="L431" s="960"/>
      <c r="M431" s="52">
        <f t="shared" si="82"/>
        <v>1</v>
      </c>
      <c r="N431" s="960"/>
      <c r="O431" s="52">
        <f t="shared" si="83"/>
        <v>1</v>
      </c>
      <c r="P431" s="960"/>
      <c r="Q431" s="52">
        <f t="shared" si="84"/>
        <v>1</v>
      </c>
      <c r="R431" s="488">
        <f t="shared" si="85"/>
        <v>0</v>
      </c>
      <c r="S431" s="796">
        <f t="shared" si="86"/>
        <v>0</v>
      </c>
    </row>
    <row r="432" spans="1:19">
      <c r="A432" s="962"/>
      <c r="B432" s="135"/>
      <c r="C432" s="52">
        <f t="shared" si="77"/>
        <v>1</v>
      </c>
      <c r="D432" s="960"/>
      <c r="E432" s="52">
        <f t="shared" si="78"/>
        <v>1</v>
      </c>
      <c r="F432" s="960"/>
      <c r="G432" s="52">
        <f t="shared" si="79"/>
        <v>1</v>
      </c>
      <c r="H432" s="960"/>
      <c r="I432" s="52">
        <f t="shared" si="80"/>
        <v>1</v>
      </c>
      <c r="J432" s="960"/>
      <c r="K432" s="52">
        <f t="shared" si="81"/>
        <v>1</v>
      </c>
      <c r="L432" s="960"/>
      <c r="M432" s="52">
        <f t="shared" si="82"/>
        <v>1</v>
      </c>
      <c r="N432" s="960"/>
      <c r="O432" s="52">
        <f t="shared" si="83"/>
        <v>1</v>
      </c>
      <c r="P432" s="960"/>
      <c r="Q432" s="52">
        <f t="shared" si="84"/>
        <v>1</v>
      </c>
      <c r="R432" s="488">
        <f t="shared" si="85"/>
        <v>0</v>
      </c>
      <c r="S432" s="796">
        <f t="shared" si="86"/>
        <v>0</v>
      </c>
    </row>
    <row r="433" spans="1:19">
      <c r="A433" s="962"/>
      <c r="B433" s="135"/>
      <c r="C433" s="52">
        <f t="shared" si="77"/>
        <v>1</v>
      </c>
      <c r="D433" s="960"/>
      <c r="E433" s="52">
        <f t="shared" si="78"/>
        <v>1</v>
      </c>
      <c r="F433" s="960"/>
      <c r="G433" s="52">
        <f t="shared" si="79"/>
        <v>1</v>
      </c>
      <c r="H433" s="960"/>
      <c r="I433" s="52">
        <f t="shared" si="80"/>
        <v>1</v>
      </c>
      <c r="J433" s="960"/>
      <c r="K433" s="52">
        <f t="shared" si="81"/>
        <v>1</v>
      </c>
      <c r="L433" s="960"/>
      <c r="M433" s="52">
        <f t="shared" si="82"/>
        <v>1</v>
      </c>
      <c r="N433" s="960"/>
      <c r="O433" s="52">
        <f t="shared" si="83"/>
        <v>1</v>
      </c>
      <c r="P433" s="960"/>
      <c r="Q433" s="52">
        <f t="shared" si="84"/>
        <v>1</v>
      </c>
      <c r="R433" s="488">
        <f t="shared" si="85"/>
        <v>0</v>
      </c>
      <c r="S433" s="796">
        <f t="shared" si="86"/>
        <v>0</v>
      </c>
    </row>
    <row r="434" spans="1:19">
      <c r="A434" s="962"/>
      <c r="B434" s="135"/>
      <c r="C434" s="52">
        <f t="shared" si="77"/>
        <v>1</v>
      </c>
      <c r="D434" s="960"/>
      <c r="E434" s="52">
        <f t="shared" si="78"/>
        <v>1</v>
      </c>
      <c r="F434" s="960"/>
      <c r="G434" s="52">
        <f t="shared" si="79"/>
        <v>1</v>
      </c>
      <c r="H434" s="960"/>
      <c r="I434" s="52">
        <f t="shared" si="80"/>
        <v>1</v>
      </c>
      <c r="J434" s="960"/>
      <c r="K434" s="52">
        <f t="shared" si="81"/>
        <v>1</v>
      </c>
      <c r="L434" s="960"/>
      <c r="M434" s="52">
        <f t="shared" si="82"/>
        <v>1</v>
      </c>
      <c r="N434" s="960"/>
      <c r="O434" s="52">
        <f t="shared" si="83"/>
        <v>1</v>
      </c>
      <c r="P434" s="960"/>
      <c r="Q434" s="52">
        <f t="shared" si="84"/>
        <v>1</v>
      </c>
      <c r="R434" s="488">
        <f t="shared" si="85"/>
        <v>0</v>
      </c>
      <c r="S434" s="796">
        <f t="shared" si="86"/>
        <v>0</v>
      </c>
    </row>
    <row r="435" spans="1:19">
      <c r="A435" s="962"/>
      <c r="B435" s="135"/>
      <c r="C435" s="52">
        <f t="shared" si="77"/>
        <v>1</v>
      </c>
      <c r="D435" s="960"/>
      <c r="E435" s="52">
        <f t="shared" si="78"/>
        <v>1</v>
      </c>
      <c r="F435" s="960"/>
      <c r="G435" s="52">
        <f t="shared" si="79"/>
        <v>1</v>
      </c>
      <c r="H435" s="960"/>
      <c r="I435" s="52">
        <f t="shared" si="80"/>
        <v>1</v>
      </c>
      <c r="J435" s="960"/>
      <c r="K435" s="52">
        <f t="shared" si="81"/>
        <v>1</v>
      </c>
      <c r="L435" s="960"/>
      <c r="M435" s="52">
        <f t="shared" si="82"/>
        <v>1</v>
      </c>
      <c r="N435" s="960"/>
      <c r="O435" s="52">
        <f t="shared" si="83"/>
        <v>1</v>
      </c>
      <c r="P435" s="960"/>
      <c r="Q435" s="52">
        <f t="shared" si="84"/>
        <v>1</v>
      </c>
      <c r="R435" s="488">
        <f t="shared" si="85"/>
        <v>0</v>
      </c>
      <c r="S435" s="796">
        <f t="shared" si="86"/>
        <v>0</v>
      </c>
    </row>
    <row r="436" spans="1:19">
      <c r="A436" s="962"/>
      <c r="B436" s="135"/>
      <c r="C436" s="52">
        <f t="shared" si="77"/>
        <v>1</v>
      </c>
      <c r="D436" s="960"/>
      <c r="E436" s="52">
        <f t="shared" si="78"/>
        <v>1</v>
      </c>
      <c r="F436" s="960"/>
      <c r="G436" s="52">
        <f t="shared" si="79"/>
        <v>1</v>
      </c>
      <c r="H436" s="960"/>
      <c r="I436" s="52">
        <f t="shared" si="80"/>
        <v>1</v>
      </c>
      <c r="J436" s="960"/>
      <c r="K436" s="52">
        <f t="shared" si="81"/>
        <v>1</v>
      </c>
      <c r="L436" s="960"/>
      <c r="M436" s="52">
        <f t="shared" si="82"/>
        <v>1</v>
      </c>
      <c r="N436" s="960"/>
      <c r="O436" s="52">
        <f t="shared" si="83"/>
        <v>1</v>
      </c>
      <c r="P436" s="960"/>
      <c r="Q436" s="52">
        <f t="shared" si="84"/>
        <v>1</v>
      </c>
      <c r="R436" s="488">
        <f t="shared" si="85"/>
        <v>0</v>
      </c>
      <c r="S436" s="796">
        <f t="shared" si="86"/>
        <v>0</v>
      </c>
    </row>
    <row r="437" spans="1:19">
      <c r="A437" s="962"/>
      <c r="B437" s="135"/>
      <c r="C437" s="52">
        <f t="shared" si="77"/>
        <v>1</v>
      </c>
      <c r="D437" s="960"/>
      <c r="E437" s="52">
        <f t="shared" si="78"/>
        <v>1</v>
      </c>
      <c r="F437" s="960"/>
      <c r="G437" s="52">
        <f t="shared" si="79"/>
        <v>1</v>
      </c>
      <c r="H437" s="960"/>
      <c r="I437" s="52">
        <f t="shared" si="80"/>
        <v>1</v>
      </c>
      <c r="J437" s="960"/>
      <c r="K437" s="52">
        <f t="shared" si="81"/>
        <v>1</v>
      </c>
      <c r="L437" s="960"/>
      <c r="M437" s="52">
        <f t="shared" si="82"/>
        <v>1</v>
      </c>
      <c r="N437" s="960"/>
      <c r="O437" s="52">
        <f t="shared" si="83"/>
        <v>1</v>
      </c>
      <c r="P437" s="960"/>
      <c r="Q437" s="52">
        <f t="shared" si="84"/>
        <v>1</v>
      </c>
      <c r="R437" s="488">
        <f t="shared" si="85"/>
        <v>0</v>
      </c>
      <c r="S437" s="796">
        <f t="shared" si="86"/>
        <v>0</v>
      </c>
    </row>
    <row r="438" spans="1:19">
      <c r="A438" s="962"/>
      <c r="B438" s="135"/>
      <c r="C438" s="52">
        <f t="shared" si="77"/>
        <v>1</v>
      </c>
      <c r="D438" s="960"/>
      <c r="E438" s="52">
        <f t="shared" si="78"/>
        <v>1</v>
      </c>
      <c r="F438" s="960"/>
      <c r="G438" s="52">
        <f t="shared" si="79"/>
        <v>1</v>
      </c>
      <c r="H438" s="960"/>
      <c r="I438" s="52">
        <f t="shared" si="80"/>
        <v>1</v>
      </c>
      <c r="J438" s="960"/>
      <c r="K438" s="52">
        <f t="shared" si="81"/>
        <v>1</v>
      </c>
      <c r="L438" s="960"/>
      <c r="M438" s="52">
        <f t="shared" si="82"/>
        <v>1</v>
      </c>
      <c r="N438" s="960"/>
      <c r="O438" s="52">
        <f t="shared" si="83"/>
        <v>1</v>
      </c>
      <c r="P438" s="960"/>
      <c r="Q438" s="52">
        <f t="shared" si="84"/>
        <v>1</v>
      </c>
      <c r="R438" s="488">
        <f t="shared" si="85"/>
        <v>0</v>
      </c>
      <c r="S438" s="796">
        <f t="shared" si="86"/>
        <v>0</v>
      </c>
    </row>
    <row r="439" spans="1:19">
      <c r="A439" s="962"/>
      <c r="B439" s="135"/>
      <c r="C439" s="52">
        <f t="shared" si="77"/>
        <v>1</v>
      </c>
      <c r="D439" s="960"/>
      <c r="E439" s="52">
        <f t="shared" si="78"/>
        <v>1</v>
      </c>
      <c r="F439" s="960"/>
      <c r="G439" s="52">
        <f t="shared" si="79"/>
        <v>1</v>
      </c>
      <c r="H439" s="960"/>
      <c r="I439" s="52">
        <f t="shared" si="80"/>
        <v>1</v>
      </c>
      <c r="J439" s="960"/>
      <c r="K439" s="52">
        <f t="shared" si="81"/>
        <v>1</v>
      </c>
      <c r="L439" s="960"/>
      <c r="M439" s="52">
        <f t="shared" si="82"/>
        <v>1</v>
      </c>
      <c r="N439" s="960"/>
      <c r="O439" s="52">
        <f t="shared" si="83"/>
        <v>1</v>
      </c>
      <c r="P439" s="960"/>
      <c r="Q439" s="52">
        <f t="shared" si="84"/>
        <v>1</v>
      </c>
      <c r="R439" s="488">
        <f t="shared" si="85"/>
        <v>0</v>
      </c>
      <c r="S439" s="796">
        <f t="shared" si="86"/>
        <v>0</v>
      </c>
    </row>
    <row r="440" spans="1:19">
      <c r="A440" s="962"/>
      <c r="B440" s="135"/>
      <c r="C440" s="52">
        <f t="shared" si="77"/>
        <v>1</v>
      </c>
      <c r="D440" s="960"/>
      <c r="E440" s="52">
        <f t="shared" si="78"/>
        <v>1</v>
      </c>
      <c r="F440" s="960"/>
      <c r="G440" s="52">
        <f t="shared" si="79"/>
        <v>1</v>
      </c>
      <c r="H440" s="960"/>
      <c r="I440" s="52">
        <f t="shared" si="80"/>
        <v>1</v>
      </c>
      <c r="J440" s="960"/>
      <c r="K440" s="52">
        <f t="shared" si="81"/>
        <v>1</v>
      </c>
      <c r="L440" s="960"/>
      <c r="M440" s="52">
        <f t="shared" si="82"/>
        <v>1</v>
      </c>
      <c r="N440" s="960"/>
      <c r="O440" s="52">
        <f t="shared" si="83"/>
        <v>1</v>
      </c>
      <c r="P440" s="960"/>
      <c r="Q440" s="52">
        <f t="shared" si="84"/>
        <v>1</v>
      </c>
      <c r="R440" s="488">
        <f t="shared" si="85"/>
        <v>0</v>
      </c>
      <c r="S440" s="796">
        <f t="shared" si="86"/>
        <v>0</v>
      </c>
    </row>
    <row r="441" spans="1:19">
      <c r="A441" s="962"/>
      <c r="B441" s="135"/>
      <c r="C441" s="52">
        <f t="shared" si="77"/>
        <v>1</v>
      </c>
      <c r="D441" s="960"/>
      <c r="E441" s="52">
        <f t="shared" si="78"/>
        <v>1</v>
      </c>
      <c r="F441" s="960"/>
      <c r="G441" s="52">
        <f t="shared" si="79"/>
        <v>1</v>
      </c>
      <c r="H441" s="960"/>
      <c r="I441" s="52">
        <f t="shared" si="80"/>
        <v>1</v>
      </c>
      <c r="J441" s="960"/>
      <c r="K441" s="52">
        <f t="shared" si="81"/>
        <v>1</v>
      </c>
      <c r="L441" s="960"/>
      <c r="M441" s="52">
        <f t="shared" si="82"/>
        <v>1</v>
      </c>
      <c r="N441" s="960"/>
      <c r="O441" s="52">
        <f t="shared" si="83"/>
        <v>1</v>
      </c>
      <c r="P441" s="960"/>
      <c r="Q441" s="52">
        <f t="shared" si="84"/>
        <v>1</v>
      </c>
      <c r="R441" s="488">
        <f t="shared" si="85"/>
        <v>0</v>
      </c>
      <c r="S441" s="796">
        <f t="shared" si="86"/>
        <v>0</v>
      </c>
    </row>
    <row r="442" spans="1:19">
      <c r="A442" s="962"/>
      <c r="B442" s="135"/>
      <c r="C442" s="52">
        <f t="shared" si="77"/>
        <v>1</v>
      </c>
      <c r="D442" s="960"/>
      <c r="E442" s="52">
        <f t="shared" si="78"/>
        <v>1</v>
      </c>
      <c r="F442" s="960"/>
      <c r="G442" s="52">
        <f t="shared" si="79"/>
        <v>1</v>
      </c>
      <c r="H442" s="960"/>
      <c r="I442" s="52">
        <f t="shared" si="80"/>
        <v>1</v>
      </c>
      <c r="J442" s="960"/>
      <c r="K442" s="52">
        <f t="shared" si="81"/>
        <v>1</v>
      </c>
      <c r="L442" s="960"/>
      <c r="M442" s="52">
        <f t="shared" si="82"/>
        <v>1</v>
      </c>
      <c r="N442" s="960"/>
      <c r="O442" s="52">
        <f t="shared" si="83"/>
        <v>1</v>
      </c>
      <c r="P442" s="960"/>
      <c r="Q442" s="52">
        <f t="shared" si="84"/>
        <v>1</v>
      </c>
      <c r="R442" s="488">
        <f t="shared" si="85"/>
        <v>0</v>
      </c>
      <c r="S442" s="796">
        <f t="shared" si="86"/>
        <v>0</v>
      </c>
    </row>
    <row r="443" spans="1:19">
      <c r="A443" s="962"/>
      <c r="B443" s="135"/>
      <c r="C443" s="52">
        <f t="shared" si="77"/>
        <v>1</v>
      </c>
      <c r="D443" s="960"/>
      <c r="E443" s="52">
        <f t="shared" si="78"/>
        <v>1</v>
      </c>
      <c r="F443" s="960"/>
      <c r="G443" s="52">
        <f t="shared" si="79"/>
        <v>1</v>
      </c>
      <c r="H443" s="960"/>
      <c r="I443" s="52">
        <f t="shared" si="80"/>
        <v>1</v>
      </c>
      <c r="J443" s="960"/>
      <c r="K443" s="52">
        <f t="shared" si="81"/>
        <v>1</v>
      </c>
      <c r="L443" s="960"/>
      <c r="M443" s="52">
        <f t="shared" si="82"/>
        <v>1</v>
      </c>
      <c r="N443" s="960"/>
      <c r="O443" s="52">
        <f t="shared" si="83"/>
        <v>1</v>
      </c>
      <c r="P443" s="960"/>
      <c r="Q443" s="52">
        <f t="shared" si="84"/>
        <v>1</v>
      </c>
      <c r="R443" s="488">
        <f t="shared" si="85"/>
        <v>0</v>
      </c>
      <c r="S443" s="796">
        <f t="shared" si="86"/>
        <v>0</v>
      </c>
    </row>
    <row r="444" spans="1:19">
      <c r="A444" s="962"/>
      <c r="B444" s="135"/>
      <c r="C444" s="52">
        <f t="shared" si="77"/>
        <v>1</v>
      </c>
      <c r="D444" s="960"/>
      <c r="E444" s="52">
        <f t="shared" si="78"/>
        <v>1</v>
      </c>
      <c r="F444" s="960"/>
      <c r="G444" s="52">
        <f t="shared" si="79"/>
        <v>1</v>
      </c>
      <c r="H444" s="960"/>
      <c r="I444" s="52">
        <f t="shared" si="80"/>
        <v>1</v>
      </c>
      <c r="J444" s="960"/>
      <c r="K444" s="52">
        <f t="shared" si="81"/>
        <v>1</v>
      </c>
      <c r="L444" s="960"/>
      <c r="M444" s="52">
        <f t="shared" si="82"/>
        <v>1</v>
      </c>
      <c r="N444" s="960"/>
      <c r="O444" s="52">
        <f t="shared" si="83"/>
        <v>1</v>
      </c>
      <c r="P444" s="960"/>
      <c r="Q444" s="52">
        <f t="shared" si="84"/>
        <v>1</v>
      </c>
      <c r="R444" s="488">
        <f t="shared" si="85"/>
        <v>0</v>
      </c>
      <c r="S444" s="796">
        <f t="shared" si="86"/>
        <v>0</v>
      </c>
    </row>
    <row r="445" spans="1:19">
      <c r="A445" s="962"/>
      <c r="B445" s="135"/>
      <c r="C445" s="52">
        <f t="shared" si="77"/>
        <v>1</v>
      </c>
      <c r="D445" s="960"/>
      <c r="E445" s="52">
        <f t="shared" si="78"/>
        <v>1</v>
      </c>
      <c r="F445" s="960"/>
      <c r="G445" s="52">
        <f t="shared" si="79"/>
        <v>1</v>
      </c>
      <c r="H445" s="960"/>
      <c r="I445" s="52">
        <f t="shared" si="80"/>
        <v>1</v>
      </c>
      <c r="J445" s="960"/>
      <c r="K445" s="52">
        <f t="shared" si="81"/>
        <v>1</v>
      </c>
      <c r="L445" s="960"/>
      <c r="M445" s="52">
        <f t="shared" si="82"/>
        <v>1</v>
      </c>
      <c r="N445" s="960"/>
      <c r="O445" s="52">
        <f t="shared" si="83"/>
        <v>1</v>
      </c>
      <c r="P445" s="960"/>
      <c r="Q445" s="52">
        <f t="shared" si="84"/>
        <v>1</v>
      </c>
      <c r="R445" s="488">
        <f t="shared" si="85"/>
        <v>0</v>
      </c>
      <c r="S445" s="796">
        <f t="shared" si="86"/>
        <v>0</v>
      </c>
    </row>
    <row r="446" spans="1:19">
      <c r="A446" s="962"/>
      <c r="B446" s="135"/>
      <c r="C446" s="52">
        <f t="shared" si="77"/>
        <v>1</v>
      </c>
      <c r="D446" s="960"/>
      <c r="E446" s="52">
        <f t="shared" si="78"/>
        <v>1</v>
      </c>
      <c r="F446" s="960"/>
      <c r="G446" s="52">
        <f t="shared" si="79"/>
        <v>1</v>
      </c>
      <c r="H446" s="960"/>
      <c r="I446" s="52">
        <f t="shared" si="80"/>
        <v>1</v>
      </c>
      <c r="J446" s="960"/>
      <c r="K446" s="52">
        <f t="shared" si="81"/>
        <v>1</v>
      </c>
      <c r="L446" s="960"/>
      <c r="M446" s="52">
        <f t="shared" si="82"/>
        <v>1</v>
      </c>
      <c r="N446" s="960"/>
      <c r="O446" s="52">
        <f t="shared" si="83"/>
        <v>1</v>
      </c>
      <c r="P446" s="960"/>
      <c r="Q446" s="52">
        <f t="shared" si="84"/>
        <v>1</v>
      </c>
      <c r="R446" s="488">
        <f t="shared" si="85"/>
        <v>0</v>
      </c>
      <c r="S446" s="796">
        <f t="shared" si="86"/>
        <v>0</v>
      </c>
    </row>
    <row r="447" spans="1:19">
      <c r="A447" s="962"/>
      <c r="B447" s="135"/>
      <c r="C447" s="52">
        <f t="shared" si="77"/>
        <v>1</v>
      </c>
      <c r="D447" s="960"/>
      <c r="E447" s="52">
        <f t="shared" si="78"/>
        <v>1</v>
      </c>
      <c r="F447" s="960"/>
      <c r="G447" s="52">
        <f t="shared" si="79"/>
        <v>1</v>
      </c>
      <c r="H447" s="960"/>
      <c r="I447" s="52">
        <f t="shared" si="80"/>
        <v>1</v>
      </c>
      <c r="J447" s="960"/>
      <c r="K447" s="52">
        <f t="shared" si="81"/>
        <v>1</v>
      </c>
      <c r="L447" s="960"/>
      <c r="M447" s="52">
        <f t="shared" si="82"/>
        <v>1</v>
      </c>
      <c r="N447" s="960"/>
      <c r="O447" s="52">
        <f t="shared" si="83"/>
        <v>1</v>
      </c>
      <c r="P447" s="960"/>
      <c r="Q447" s="52">
        <f t="shared" si="84"/>
        <v>1</v>
      </c>
      <c r="R447" s="488">
        <f t="shared" si="85"/>
        <v>0</v>
      </c>
      <c r="S447" s="796">
        <f t="shared" si="86"/>
        <v>0</v>
      </c>
    </row>
    <row r="448" spans="1:19">
      <c r="A448" s="962"/>
      <c r="B448" s="135"/>
      <c r="C448" s="52">
        <f t="shared" si="77"/>
        <v>1</v>
      </c>
      <c r="D448" s="960"/>
      <c r="E448" s="52">
        <f t="shared" si="78"/>
        <v>1</v>
      </c>
      <c r="F448" s="960"/>
      <c r="G448" s="52">
        <f t="shared" si="79"/>
        <v>1</v>
      </c>
      <c r="H448" s="960"/>
      <c r="I448" s="52">
        <f t="shared" si="80"/>
        <v>1</v>
      </c>
      <c r="J448" s="960"/>
      <c r="K448" s="52">
        <f t="shared" si="81"/>
        <v>1</v>
      </c>
      <c r="L448" s="960"/>
      <c r="M448" s="52">
        <f t="shared" si="82"/>
        <v>1</v>
      </c>
      <c r="N448" s="960"/>
      <c r="O448" s="52">
        <f t="shared" si="83"/>
        <v>1</v>
      </c>
      <c r="P448" s="960"/>
      <c r="Q448" s="52">
        <f t="shared" si="84"/>
        <v>1</v>
      </c>
      <c r="R448" s="488">
        <f t="shared" si="85"/>
        <v>0</v>
      </c>
      <c r="S448" s="796">
        <f t="shared" si="86"/>
        <v>0</v>
      </c>
    </row>
    <row r="449" spans="1:19">
      <c r="A449" s="962"/>
      <c r="B449" s="135"/>
      <c r="C449" s="52">
        <f t="shared" si="77"/>
        <v>1</v>
      </c>
      <c r="D449" s="960"/>
      <c r="E449" s="52">
        <f t="shared" si="78"/>
        <v>1</v>
      </c>
      <c r="F449" s="960"/>
      <c r="G449" s="52">
        <f t="shared" si="79"/>
        <v>1</v>
      </c>
      <c r="H449" s="960"/>
      <c r="I449" s="52">
        <f t="shared" si="80"/>
        <v>1</v>
      </c>
      <c r="J449" s="960"/>
      <c r="K449" s="52">
        <f t="shared" si="81"/>
        <v>1</v>
      </c>
      <c r="L449" s="960"/>
      <c r="M449" s="52">
        <f t="shared" si="82"/>
        <v>1</v>
      </c>
      <c r="N449" s="960"/>
      <c r="O449" s="52">
        <f t="shared" si="83"/>
        <v>1</v>
      </c>
      <c r="P449" s="960"/>
      <c r="Q449" s="52">
        <f t="shared" si="84"/>
        <v>1</v>
      </c>
      <c r="R449" s="488">
        <f t="shared" si="85"/>
        <v>0</v>
      </c>
      <c r="S449" s="796">
        <f t="shared" si="86"/>
        <v>0</v>
      </c>
    </row>
    <row r="450" spans="1:19">
      <c r="A450" s="962"/>
      <c r="B450" s="135"/>
      <c r="C450" s="52">
        <f t="shared" si="77"/>
        <v>1</v>
      </c>
      <c r="D450" s="960"/>
      <c r="E450" s="52">
        <f t="shared" si="78"/>
        <v>1</v>
      </c>
      <c r="F450" s="960"/>
      <c r="G450" s="52">
        <f t="shared" si="79"/>
        <v>1</v>
      </c>
      <c r="H450" s="960"/>
      <c r="I450" s="52">
        <f t="shared" si="80"/>
        <v>1</v>
      </c>
      <c r="J450" s="960"/>
      <c r="K450" s="52">
        <f t="shared" si="81"/>
        <v>1</v>
      </c>
      <c r="L450" s="960"/>
      <c r="M450" s="52">
        <f t="shared" si="82"/>
        <v>1</v>
      </c>
      <c r="N450" s="960"/>
      <c r="O450" s="52">
        <f t="shared" si="83"/>
        <v>1</v>
      </c>
      <c r="P450" s="960"/>
      <c r="Q450" s="52">
        <f t="shared" si="84"/>
        <v>1</v>
      </c>
      <c r="R450" s="488">
        <f t="shared" si="85"/>
        <v>0</v>
      </c>
      <c r="S450" s="796">
        <f t="shared" si="86"/>
        <v>0</v>
      </c>
    </row>
    <row r="451" spans="1:19">
      <c r="A451" s="962"/>
      <c r="B451" s="135"/>
      <c r="C451" s="52">
        <f t="shared" si="77"/>
        <v>1</v>
      </c>
      <c r="D451" s="960"/>
      <c r="E451" s="52">
        <f t="shared" si="78"/>
        <v>1</v>
      </c>
      <c r="F451" s="960"/>
      <c r="G451" s="52">
        <f t="shared" si="79"/>
        <v>1</v>
      </c>
      <c r="H451" s="960"/>
      <c r="I451" s="52">
        <f t="shared" si="80"/>
        <v>1</v>
      </c>
      <c r="J451" s="960"/>
      <c r="K451" s="52">
        <f t="shared" si="81"/>
        <v>1</v>
      </c>
      <c r="L451" s="960"/>
      <c r="M451" s="52">
        <f t="shared" si="82"/>
        <v>1</v>
      </c>
      <c r="N451" s="960"/>
      <c r="O451" s="52">
        <f t="shared" si="83"/>
        <v>1</v>
      </c>
      <c r="P451" s="960"/>
      <c r="Q451" s="52">
        <f t="shared" si="84"/>
        <v>1</v>
      </c>
      <c r="R451" s="488">
        <f t="shared" si="85"/>
        <v>0</v>
      </c>
      <c r="S451" s="796">
        <f t="shared" si="86"/>
        <v>0</v>
      </c>
    </row>
    <row r="452" spans="1:19">
      <c r="A452" s="962"/>
      <c r="B452" s="135"/>
      <c r="C452" s="52">
        <f t="shared" si="77"/>
        <v>1</v>
      </c>
      <c r="D452" s="960"/>
      <c r="E452" s="52">
        <f t="shared" si="78"/>
        <v>1</v>
      </c>
      <c r="F452" s="960"/>
      <c r="G452" s="52">
        <f t="shared" si="79"/>
        <v>1</v>
      </c>
      <c r="H452" s="960"/>
      <c r="I452" s="52">
        <f t="shared" si="80"/>
        <v>1</v>
      </c>
      <c r="J452" s="960"/>
      <c r="K452" s="52">
        <f t="shared" si="81"/>
        <v>1</v>
      </c>
      <c r="L452" s="960"/>
      <c r="M452" s="52">
        <f t="shared" si="82"/>
        <v>1</v>
      </c>
      <c r="N452" s="960"/>
      <c r="O452" s="52">
        <f t="shared" si="83"/>
        <v>1</v>
      </c>
      <c r="P452" s="960"/>
      <c r="Q452" s="52">
        <f t="shared" si="84"/>
        <v>1</v>
      </c>
      <c r="R452" s="488">
        <f t="shared" si="85"/>
        <v>0</v>
      </c>
      <c r="S452" s="796">
        <f t="shared" si="86"/>
        <v>0</v>
      </c>
    </row>
    <row r="453" spans="1:19">
      <c r="A453" s="962"/>
      <c r="B453" s="135"/>
      <c r="C453" s="52">
        <f t="shared" si="77"/>
        <v>1</v>
      </c>
      <c r="D453" s="960"/>
      <c r="E453" s="52">
        <f t="shared" si="78"/>
        <v>1</v>
      </c>
      <c r="F453" s="960"/>
      <c r="G453" s="52">
        <f t="shared" si="79"/>
        <v>1</v>
      </c>
      <c r="H453" s="960"/>
      <c r="I453" s="52">
        <f t="shared" si="80"/>
        <v>1</v>
      </c>
      <c r="J453" s="960"/>
      <c r="K453" s="52">
        <f t="shared" si="81"/>
        <v>1</v>
      </c>
      <c r="L453" s="960"/>
      <c r="M453" s="52">
        <f t="shared" si="82"/>
        <v>1</v>
      </c>
      <c r="N453" s="960"/>
      <c r="O453" s="52">
        <f t="shared" si="83"/>
        <v>1</v>
      </c>
      <c r="P453" s="960"/>
      <c r="Q453" s="52">
        <f t="shared" si="84"/>
        <v>1</v>
      </c>
      <c r="R453" s="488">
        <f t="shared" si="85"/>
        <v>0</v>
      </c>
      <c r="S453" s="796">
        <f t="shared" si="86"/>
        <v>0</v>
      </c>
    </row>
    <row r="454" spans="1:19">
      <c r="A454" s="962"/>
      <c r="B454" s="135"/>
      <c r="C454" s="52">
        <f t="shared" si="77"/>
        <v>1</v>
      </c>
      <c r="D454" s="960"/>
      <c r="E454" s="52">
        <f t="shared" si="78"/>
        <v>1</v>
      </c>
      <c r="F454" s="960"/>
      <c r="G454" s="52">
        <f t="shared" si="79"/>
        <v>1</v>
      </c>
      <c r="H454" s="960"/>
      <c r="I454" s="52">
        <f t="shared" si="80"/>
        <v>1</v>
      </c>
      <c r="J454" s="960"/>
      <c r="K454" s="52">
        <f t="shared" si="81"/>
        <v>1</v>
      </c>
      <c r="L454" s="960"/>
      <c r="M454" s="52">
        <f t="shared" si="82"/>
        <v>1</v>
      </c>
      <c r="N454" s="960"/>
      <c r="O454" s="52">
        <f t="shared" si="83"/>
        <v>1</v>
      </c>
      <c r="P454" s="960"/>
      <c r="Q454" s="52">
        <f t="shared" si="84"/>
        <v>1</v>
      </c>
      <c r="R454" s="488">
        <f t="shared" si="85"/>
        <v>0</v>
      </c>
      <c r="S454" s="796">
        <f t="shared" si="86"/>
        <v>0</v>
      </c>
    </row>
    <row r="455" spans="1:19">
      <c r="A455" s="962"/>
      <c r="B455" s="135"/>
      <c r="C455" s="52">
        <f t="shared" si="77"/>
        <v>1</v>
      </c>
      <c r="D455" s="960"/>
      <c r="E455" s="52">
        <f t="shared" si="78"/>
        <v>1</v>
      </c>
      <c r="F455" s="960"/>
      <c r="G455" s="52">
        <f t="shared" si="79"/>
        <v>1</v>
      </c>
      <c r="H455" s="960"/>
      <c r="I455" s="52">
        <f t="shared" si="80"/>
        <v>1</v>
      </c>
      <c r="J455" s="960"/>
      <c r="K455" s="52">
        <f t="shared" si="81"/>
        <v>1</v>
      </c>
      <c r="L455" s="960"/>
      <c r="M455" s="52">
        <f t="shared" si="82"/>
        <v>1</v>
      </c>
      <c r="N455" s="960"/>
      <c r="O455" s="52">
        <f t="shared" si="83"/>
        <v>1</v>
      </c>
      <c r="P455" s="960"/>
      <c r="Q455" s="52">
        <f t="shared" si="84"/>
        <v>1</v>
      </c>
      <c r="R455" s="488">
        <f t="shared" si="85"/>
        <v>0</v>
      </c>
      <c r="S455" s="796">
        <f t="shared" si="86"/>
        <v>0</v>
      </c>
    </row>
    <row r="456" spans="1:19">
      <c r="A456" s="962"/>
      <c r="B456" s="135"/>
      <c r="C456" s="52">
        <f t="shared" si="77"/>
        <v>1</v>
      </c>
      <c r="D456" s="960"/>
      <c r="E456" s="52">
        <f t="shared" si="78"/>
        <v>1</v>
      </c>
      <c r="F456" s="960"/>
      <c r="G456" s="52">
        <f t="shared" si="79"/>
        <v>1</v>
      </c>
      <c r="H456" s="960"/>
      <c r="I456" s="52">
        <f t="shared" si="80"/>
        <v>1</v>
      </c>
      <c r="J456" s="960"/>
      <c r="K456" s="52">
        <f t="shared" si="81"/>
        <v>1</v>
      </c>
      <c r="L456" s="960"/>
      <c r="M456" s="52">
        <f t="shared" si="82"/>
        <v>1</v>
      </c>
      <c r="N456" s="960"/>
      <c r="O456" s="52">
        <f t="shared" si="83"/>
        <v>1</v>
      </c>
      <c r="P456" s="960"/>
      <c r="Q456" s="52">
        <f t="shared" si="84"/>
        <v>1</v>
      </c>
      <c r="R456" s="488">
        <f t="shared" si="85"/>
        <v>0</v>
      </c>
      <c r="S456" s="796">
        <f t="shared" si="86"/>
        <v>0</v>
      </c>
    </row>
    <row r="457" spans="1:19">
      <c r="A457" s="962"/>
      <c r="B457" s="135"/>
      <c r="C457" s="52">
        <f t="shared" si="77"/>
        <v>1</v>
      </c>
      <c r="D457" s="960"/>
      <c r="E457" s="52">
        <f t="shared" si="78"/>
        <v>1</v>
      </c>
      <c r="F457" s="960"/>
      <c r="G457" s="52">
        <f t="shared" si="79"/>
        <v>1</v>
      </c>
      <c r="H457" s="960"/>
      <c r="I457" s="52">
        <f t="shared" si="80"/>
        <v>1</v>
      </c>
      <c r="J457" s="960"/>
      <c r="K457" s="52">
        <f t="shared" si="81"/>
        <v>1</v>
      </c>
      <c r="L457" s="960"/>
      <c r="M457" s="52">
        <f t="shared" si="82"/>
        <v>1</v>
      </c>
      <c r="N457" s="960"/>
      <c r="O457" s="52">
        <f t="shared" si="83"/>
        <v>1</v>
      </c>
      <c r="P457" s="960"/>
      <c r="Q457" s="52">
        <f t="shared" si="84"/>
        <v>1</v>
      </c>
      <c r="R457" s="488">
        <f t="shared" si="85"/>
        <v>0</v>
      </c>
      <c r="S457" s="796">
        <f t="shared" si="86"/>
        <v>0</v>
      </c>
    </row>
    <row r="458" spans="1:19">
      <c r="A458" s="962"/>
      <c r="B458" s="135"/>
      <c r="C458" s="52">
        <f t="shared" si="77"/>
        <v>1</v>
      </c>
      <c r="D458" s="960"/>
      <c r="E458" s="52">
        <f t="shared" si="78"/>
        <v>1</v>
      </c>
      <c r="F458" s="960"/>
      <c r="G458" s="52">
        <f t="shared" si="79"/>
        <v>1</v>
      </c>
      <c r="H458" s="960"/>
      <c r="I458" s="52">
        <f t="shared" si="80"/>
        <v>1</v>
      </c>
      <c r="J458" s="960"/>
      <c r="K458" s="52">
        <f t="shared" si="81"/>
        <v>1</v>
      </c>
      <c r="L458" s="960"/>
      <c r="M458" s="52">
        <f t="shared" si="82"/>
        <v>1</v>
      </c>
      <c r="N458" s="960"/>
      <c r="O458" s="52">
        <f t="shared" si="83"/>
        <v>1</v>
      </c>
      <c r="P458" s="960"/>
      <c r="Q458" s="52">
        <f t="shared" si="84"/>
        <v>1</v>
      </c>
      <c r="R458" s="488">
        <f t="shared" si="85"/>
        <v>0</v>
      </c>
      <c r="S458" s="796">
        <f t="shared" si="86"/>
        <v>0</v>
      </c>
    </row>
    <row r="459" spans="1:19">
      <c r="A459" s="962"/>
      <c r="B459" s="135"/>
      <c r="C459" s="52">
        <f t="shared" si="77"/>
        <v>1</v>
      </c>
      <c r="D459" s="960"/>
      <c r="E459" s="52">
        <f t="shared" si="78"/>
        <v>1</v>
      </c>
      <c r="F459" s="960"/>
      <c r="G459" s="52">
        <f t="shared" si="79"/>
        <v>1</v>
      </c>
      <c r="H459" s="960"/>
      <c r="I459" s="52">
        <f t="shared" si="80"/>
        <v>1</v>
      </c>
      <c r="J459" s="960"/>
      <c r="K459" s="52">
        <f t="shared" si="81"/>
        <v>1</v>
      </c>
      <c r="L459" s="960"/>
      <c r="M459" s="52">
        <f t="shared" si="82"/>
        <v>1</v>
      </c>
      <c r="N459" s="960"/>
      <c r="O459" s="52">
        <f t="shared" si="83"/>
        <v>1</v>
      </c>
      <c r="P459" s="960"/>
      <c r="Q459" s="52">
        <f t="shared" si="84"/>
        <v>1</v>
      </c>
      <c r="R459" s="488">
        <f t="shared" si="85"/>
        <v>0</v>
      </c>
      <c r="S459" s="796">
        <f t="shared" si="86"/>
        <v>0</v>
      </c>
    </row>
    <row r="460" spans="1:19">
      <c r="A460" s="962"/>
      <c r="B460" s="135"/>
      <c r="C460" s="52">
        <f t="shared" si="77"/>
        <v>1</v>
      </c>
      <c r="D460" s="960"/>
      <c r="E460" s="52">
        <f t="shared" si="78"/>
        <v>1</v>
      </c>
      <c r="F460" s="960"/>
      <c r="G460" s="52">
        <f t="shared" si="79"/>
        <v>1</v>
      </c>
      <c r="H460" s="960"/>
      <c r="I460" s="52">
        <f t="shared" si="80"/>
        <v>1</v>
      </c>
      <c r="J460" s="960"/>
      <c r="K460" s="52">
        <f t="shared" si="81"/>
        <v>1</v>
      </c>
      <c r="L460" s="960"/>
      <c r="M460" s="52">
        <f t="shared" si="82"/>
        <v>1</v>
      </c>
      <c r="N460" s="960"/>
      <c r="O460" s="52">
        <f t="shared" si="83"/>
        <v>1</v>
      </c>
      <c r="P460" s="960"/>
      <c r="Q460" s="52">
        <f t="shared" si="84"/>
        <v>1</v>
      </c>
      <c r="R460" s="488">
        <f t="shared" si="85"/>
        <v>0</v>
      </c>
      <c r="S460" s="796">
        <f t="shared" si="86"/>
        <v>0</v>
      </c>
    </row>
    <row r="461" spans="1:19">
      <c r="A461" s="962"/>
      <c r="B461" s="135"/>
      <c r="C461" s="52">
        <f t="shared" si="77"/>
        <v>1</v>
      </c>
      <c r="D461" s="960"/>
      <c r="E461" s="52">
        <f t="shared" si="78"/>
        <v>1</v>
      </c>
      <c r="F461" s="960"/>
      <c r="G461" s="52">
        <f t="shared" si="79"/>
        <v>1</v>
      </c>
      <c r="H461" s="960"/>
      <c r="I461" s="52">
        <f t="shared" si="80"/>
        <v>1</v>
      </c>
      <c r="J461" s="960"/>
      <c r="K461" s="52">
        <f t="shared" si="81"/>
        <v>1</v>
      </c>
      <c r="L461" s="960"/>
      <c r="M461" s="52">
        <f t="shared" si="82"/>
        <v>1</v>
      </c>
      <c r="N461" s="960"/>
      <c r="O461" s="52">
        <f t="shared" si="83"/>
        <v>1</v>
      </c>
      <c r="P461" s="960"/>
      <c r="Q461" s="52">
        <f t="shared" si="84"/>
        <v>1</v>
      </c>
      <c r="R461" s="488">
        <f t="shared" si="85"/>
        <v>0</v>
      </c>
      <c r="S461" s="796">
        <f t="shared" si="86"/>
        <v>0</v>
      </c>
    </row>
    <row r="462" spans="1:19">
      <c r="A462" s="962"/>
      <c r="B462" s="135"/>
      <c r="C462" s="52">
        <f t="shared" si="77"/>
        <v>1</v>
      </c>
      <c r="D462" s="960"/>
      <c r="E462" s="52">
        <f t="shared" si="78"/>
        <v>1</v>
      </c>
      <c r="F462" s="960"/>
      <c r="G462" s="52">
        <f t="shared" si="79"/>
        <v>1</v>
      </c>
      <c r="H462" s="960"/>
      <c r="I462" s="52">
        <f t="shared" si="80"/>
        <v>1</v>
      </c>
      <c r="J462" s="960"/>
      <c r="K462" s="52">
        <f t="shared" si="81"/>
        <v>1</v>
      </c>
      <c r="L462" s="960"/>
      <c r="M462" s="52">
        <f t="shared" si="82"/>
        <v>1</v>
      </c>
      <c r="N462" s="960"/>
      <c r="O462" s="52">
        <f t="shared" si="83"/>
        <v>1</v>
      </c>
      <c r="P462" s="960"/>
      <c r="Q462" s="52">
        <f t="shared" si="84"/>
        <v>1</v>
      </c>
      <c r="R462" s="488">
        <f t="shared" si="85"/>
        <v>0</v>
      </c>
      <c r="S462" s="796">
        <f t="shared" si="86"/>
        <v>0</v>
      </c>
    </row>
    <row r="463" spans="1:19">
      <c r="A463" s="962"/>
      <c r="B463" s="135"/>
      <c r="C463" s="52">
        <f t="shared" si="77"/>
        <v>1</v>
      </c>
      <c r="D463" s="960"/>
      <c r="E463" s="52">
        <f t="shared" si="78"/>
        <v>1</v>
      </c>
      <c r="F463" s="960"/>
      <c r="G463" s="52">
        <f t="shared" si="79"/>
        <v>1</v>
      </c>
      <c r="H463" s="960"/>
      <c r="I463" s="52">
        <f t="shared" si="80"/>
        <v>1</v>
      </c>
      <c r="J463" s="960"/>
      <c r="K463" s="52">
        <f t="shared" si="81"/>
        <v>1</v>
      </c>
      <c r="L463" s="960"/>
      <c r="M463" s="52">
        <f t="shared" si="82"/>
        <v>1</v>
      </c>
      <c r="N463" s="960"/>
      <c r="O463" s="52">
        <f t="shared" si="83"/>
        <v>1</v>
      </c>
      <c r="P463" s="960"/>
      <c r="Q463" s="52">
        <f t="shared" si="84"/>
        <v>1</v>
      </c>
      <c r="R463" s="488">
        <f t="shared" si="85"/>
        <v>0</v>
      </c>
      <c r="S463" s="796">
        <f t="shared" si="86"/>
        <v>0</v>
      </c>
    </row>
    <row r="464" spans="1:19">
      <c r="A464" s="962"/>
      <c r="B464" s="135"/>
      <c r="C464" s="52">
        <f t="shared" si="77"/>
        <v>1</v>
      </c>
      <c r="D464" s="960"/>
      <c r="E464" s="52">
        <f t="shared" si="78"/>
        <v>1</v>
      </c>
      <c r="F464" s="960"/>
      <c r="G464" s="52">
        <f t="shared" si="79"/>
        <v>1</v>
      </c>
      <c r="H464" s="960"/>
      <c r="I464" s="52">
        <f t="shared" si="80"/>
        <v>1</v>
      </c>
      <c r="J464" s="960"/>
      <c r="K464" s="52">
        <f t="shared" si="81"/>
        <v>1</v>
      </c>
      <c r="L464" s="960"/>
      <c r="M464" s="52">
        <f t="shared" si="82"/>
        <v>1</v>
      </c>
      <c r="N464" s="960"/>
      <c r="O464" s="52">
        <f t="shared" si="83"/>
        <v>1</v>
      </c>
      <c r="P464" s="960"/>
      <c r="Q464" s="52">
        <f t="shared" si="84"/>
        <v>1</v>
      </c>
      <c r="R464" s="488">
        <f t="shared" si="85"/>
        <v>0</v>
      </c>
      <c r="S464" s="796">
        <f t="shared" si="86"/>
        <v>0</v>
      </c>
    </row>
    <row r="465" spans="1:19">
      <c r="A465" s="962"/>
      <c r="B465" s="135"/>
      <c r="C465" s="52">
        <f t="shared" si="77"/>
        <v>1</v>
      </c>
      <c r="D465" s="960"/>
      <c r="E465" s="52">
        <f t="shared" si="78"/>
        <v>1</v>
      </c>
      <c r="F465" s="960"/>
      <c r="G465" s="52">
        <f t="shared" si="79"/>
        <v>1</v>
      </c>
      <c r="H465" s="960"/>
      <c r="I465" s="52">
        <f t="shared" si="80"/>
        <v>1</v>
      </c>
      <c r="J465" s="960"/>
      <c r="K465" s="52">
        <f t="shared" si="81"/>
        <v>1</v>
      </c>
      <c r="L465" s="960"/>
      <c r="M465" s="52">
        <f t="shared" si="82"/>
        <v>1</v>
      </c>
      <c r="N465" s="960"/>
      <c r="O465" s="52">
        <f t="shared" si="83"/>
        <v>1</v>
      </c>
      <c r="P465" s="960"/>
      <c r="Q465" s="52">
        <f t="shared" si="84"/>
        <v>1</v>
      </c>
      <c r="R465" s="488">
        <f t="shared" si="85"/>
        <v>0</v>
      </c>
      <c r="S465" s="796">
        <f t="shared" si="86"/>
        <v>0</v>
      </c>
    </row>
    <row r="466" spans="1:19">
      <c r="A466" s="962"/>
      <c r="B466" s="135"/>
      <c r="C466" s="52">
        <f t="shared" si="77"/>
        <v>1</v>
      </c>
      <c r="D466" s="960"/>
      <c r="E466" s="52">
        <f t="shared" si="78"/>
        <v>1</v>
      </c>
      <c r="F466" s="960"/>
      <c r="G466" s="52">
        <f t="shared" si="79"/>
        <v>1</v>
      </c>
      <c r="H466" s="960"/>
      <c r="I466" s="52">
        <f t="shared" si="80"/>
        <v>1</v>
      </c>
      <c r="J466" s="960"/>
      <c r="K466" s="52">
        <f t="shared" si="81"/>
        <v>1</v>
      </c>
      <c r="L466" s="960"/>
      <c r="M466" s="52">
        <f t="shared" si="82"/>
        <v>1</v>
      </c>
      <c r="N466" s="960"/>
      <c r="O466" s="52">
        <f t="shared" si="83"/>
        <v>1</v>
      </c>
      <c r="P466" s="960"/>
      <c r="Q466" s="52">
        <f t="shared" si="84"/>
        <v>1</v>
      </c>
      <c r="R466" s="488">
        <f t="shared" si="85"/>
        <v>0</v>
      </c>
      <c r="S466" s="796">
        <f t="shared" si="86"/>
        <v>0</v>
      </c>
    </row>
    <row r="467" spans="1:19">
      <c r="A467" s="962"/>
      <c r="B467" s="135"/>
      <c r="C467" s="52">
        <f t="shared" si="77"/>
        <v>1</v>
      </c>
      <c r="D467" s="960"/>
      <c r="E467" s="52">
        <f t="shared" si="78"/>
        <v>1</v>
      </c>
      <c r="F467" s="960"/>
      <c r="G467" s="52">
        <f t="shared" si="79"/>
        <v>1</v>
      </c>
      <c r="H467" s="960"/>
      <c r="I467" s="52">
        <f t="shared" si="80"/>
        <v>1</v>
      </c>
      <c r="J467" s="960"/>
      <c r="K467" s="52">
        <f t="shared" si="81"/>
        <v>1</v>
      </c>
      <c r="L467" s="960"/>
      <c r="M467" s="52">
        <f t="shared" si="82"/>
        <v>1</v>
      </c>
      <c r="N467" s="960"/>
      <c r="O467" s="52">
        <f t="shared" si="83"/>
        <v>1</v>
      </c>
      <c r="P467" s="960"/>
      <c r="Q467" s="52">
        <f t="shared" si="84"/>
        <v>1</v>
      </c>
      <c r="R467" s="488">
        <f t="shared" si="85"/>
        <v>0</v>
      </c>
      <c r="S467" s="796">
        <f t="shared" si="86"/>
        <v>0</v>
      </c>
    </row>
    <row r="468" spans="1:19">
      <c r="A468" s="962"/>
      <c r="B468" s="135"/>
      <c r="C468" s="52">
        <f t="shared" si="77"/>
        <v>1</v>
      </c>
      <c r="D468" s="960"/>
      <c r="E468" s="52">
        <f t="shared" si="78"/>
        <v>1</v>
      </c>
      <c r="F468" s="960"/>
      <c r="G468" s="52">
        <f t="shared" si="79"/>
        <v>1</v>
      </c>
      <c r="H468" s="960"/>
      <c r="I468" s="52">
        <f t="shared" si="80"/>
        <v>1</v>
      </c>
      <c r="J468" s="960"/>
      <c r="K468" s="52">
        <f t="shared" si="81"/>
        <v>1</v>
      </c>
      <c r="L468" s="960"/>
      <c r="M468" s="52">
        <f t="shared" si="82"/>
        <v>1</v>
      </c>
      <c r="N468" s="960"/>
      <c r="O468" s="52">
        <f t="shared" si="83"/>
        <v>1</v>
      </c>
      <c r="P468" s="960"/>
      <c r="Q468" s="52">
        <f t="shared" si="84"/>
        <v>1</v>
      </c>
      <c r="R468" s="488">
        <f t="shared" si="85"/>
        <v>0</v>
      </c>
      <c r="S468" s="796">
        <f t="shared" ref="S468:S497" si="87">ROUND(R468*B468/10000,0)</f>
        <v>0</v>
      </c>
    </row>
    <row r="469" spans="1:19">
      <c r="A469" s="962"/>
      <c r="B469" s="135"/>
      <c r="C469" s="52">
        <f t="shared" si="77"/>
        <v>1</v>
      </c>
      <c r="D469" s="960"/>
      <c r="E469" s="52">
        <f t="shared" si="78"/>
        <v>1</v>
      </c>
      <c r="F469" s="960"/>
      <c r="G469" s="52">
        <f t="shared" si="79"/>
        <v>1</v>
      </c>
      <c r="H469" s="960"/>
      <c r="I469" s="52">
        <f t="shared" si="80"/>
        <v>1</v>
      </c>
      <c r="J469" s="960"/>
      <c r="K469" s="52">
        <f t="shared" si="81"/>
        <v>1</v>
      </c>
      <c r="L469" s="960"/>
      <c r="M469" s="52">
        <f t="shared" si="82"/>
        <v>1</v>
      </c>
      <c r="N469" s="960"/>
      <c r="O469" s="52">
        <f t="shared" si="83"/>
        <v>1</v>
      </c>
      <c r="P469" s="960"/>
      <c r="Q469" s="52">
        <f t="shared" si="84"/>
        <v>1</v>
      </c>
      <c r="R469" s="488">
        <f t="shared" si="85"/>
        <v>0</v>
      </c>
      <c r="S469" s="796">
        <f t="shared" si="87"/>
        <v>0</v>
      </c>
    </row>
    <row r="470" spans="1:19">
      <c r="A470" s="962"/>
      <c r="B470" s="135"/>
      <c r="C470" s="52">
        <f t="shared" si="77"/>
        <v>1</v>
      </c>
      <c r="D470" s="960"/>
      <c r="E470" s="52">
        <f t="shared" si="78"/>
        <v>1</v>
      </c>
      <c r="F470" s="960"/>
      <c r="G470" s="52">
        <f t="shared" si="79"/>
        <v>1</v>
      </c>
      <c r="H470" s="960"/>
      <c r="I470" s="52">
        <f t="shared" si="80"/>
        <v>1</v>
      </c>
      <c r="J470" s="960"/>
      <c r="K470" s="52">
        <f t="shared" si="81"/>
        <v>1</v>
      </c>
      <c r="L470" s="960"/>
      <c r="M470" s="52">
        <f t="shared" si="82"/>
        <v>1</v>
      </c>
      <c r="N470" s="960"/>
      <c r="O470" s="52">
        <f t="shared" si="83"/>
        <v>1</v>
      </c>
      <c r="P470" s="960"/>
      <c r="Q470" s="52">
        <f t="shared" si="84"/>
        <v>1</v>
      </c>
      <c r="R470" s="488">
        <f t="shared" si="85"/>
        <v>0</v>
      </c>
      <c r="S470" s="796">
        <f t="shared" si="87"/>
        <v>0</v>
      </c>
    </row>
    <row r="471" spans="1:19">
      <c r="A471" s="962"/>
      <c r="B471" s="135"/>
      <c r="C471" s="52">
        <f t="shared" si="77"/>
        <v>1</v>
      </c>
      <c r="D471" s="960"/>
      <c r="E471" s="52">
        <f t="shared" si="78"/>
        <v>1</v>
      </c>
      <c r="F471" s="960"/>
      <c r="G471" s="52">
        <f t="shared" si="79"/>
        <v>1</v>
      </c>
      <c r="H471" s="960"/>
      <c r="I471" s="52">
        <f t="shared" si="80"/>
        <v>1</v>
      </c>
      <c r="J471" s="960"/>
      <c r="K471" s="52">
        <f t="shared" si="81"/>
        <v>1</v>
      </c>
      <c r="L471" s="960"/>
      <c r="M471" s="52">
        <f t="shared" si="82"/>
        <v>1</v>
      </c>
      <c r="N471" s="960"/>
      <c r="O471" s="52">
        <f t="shared" si="83"/>
        <v>1</v>
      </c>
      <c r="P471" s="960"/>
      <c r="Q471" s="52">
        <f t="shared" si="84"/>
        <v>1</v>
      </c>
      <c r="R471" s="488">
        <f t="shared" si="85"/>
        <v>0</v>
      </c>
      <c r="S471" s="796">
        <f t="shared" si="87"/>
        <v>0</v>
      </c>
    </row>
    <row r="472" spans="1:19">
      <c r="A472" s="962"/>
      <c r="B472" s="135"/>
      <c r="C472" s="52">
        <f t="shared" si="77"/>
        <v>1</v>
      </c>
      <c r="D472" s="960"/>
      <c r="E472" s="52">
        <f t="shared" si="78"/>
        <v>1</v>
      </c>
      <c r="F472" s="960"/>
      <c r="G472" s="52">
        <f t="shared" si="79"/>
        <v>1</v>
      </c>
      <c r="H472" s="960"/>
      <c r="I472" s="52">
        <f t="shared" si="80"/>
        <v>1</v>
      </c>
      <c r="J472" s="960"/>
      <c r="K472" s="52">
        <f t="shared" si="81"/>
        <v>1</v>
      </c>
      <c r="L472" s="960"/>
      <c r="M472" s="52">
        <f t="shared" si="82"/>
        <v>1</v>
      </c>
      <c r="N472" s="960"/>
      <c r="O472" s="52">
        <f t="shared" si="83"/>
        <v>1</v>
      </c>
      <c r="P472" s="960"/>
      <c r="Q472" s="52">
        <f t="shared" si="84"/>
        <v>1</v>
      </c>
      <c r="R472" s="488">
        <f t="shared" si="85"/>
        <v>0</v>
      </c>
      <c r="S472" s="796">
        <f t="shared" si="87"/>
        <v>0</v>
      </c>
    </row>
    <row r="473" spans="1:19">
      <c r="A473" s="962"/>
      <c r="B473" s="135"/>
      <c r="C473" s="52">
        <f t="shared" si="77"/>
        <v>1</v>
      </c>
      <c r="D473" s="960"/>
      <c r="E473" s="52">
        <f t="shared" si="78"/>
        <v>1</v>
      </c>
      <c r="F473" s="960"/>
      <c r="G473" s="52">
        <f t="shared" si="79"/>
        <v>1</v>
      </c>
      <c r="H473" s="960"/>
      <c r="I473" s="52">
        <f t="shared" si="80"/>
        <v>1</v>
      </c>
      <c r="J473" s="960"/>
      <c r="K473" s="52">
        <f t="shared" si="81"/>
        <v>1</v>
      </c>
      <c r="L473" s="960"/>
      <c r="M473" s="52">
        <f t="shared" si="82"/>
        <v>1</v>
      </c>
      <c r="N473" s="960"/>
      <c r="O473" s="52">
        <f t="shared" si="83"/>
        <v>1</v>
      </c>
      <c r="P473" s="960"/>
      <c r="Q473" s="52">
        <f t="shared" si="84"/>
        <v>1</v>
      </c>
      <c r="R473" s="488">
        <f t="shared" si="85"/>
        <v>0</v>
      </c>
      <c r="S473" s="796">
        <f t="shared" si="87"/>
        <v>0</v>
      </c>
    </row>
    <row r="474" spans="1:19">
      <c r="A474" s="962"/>
      <c r="B474" s="135"/>
      <c r="C474" s="52">
        <f t="shared" ref="C474:C524" si="88">IF(B474="",1,(LOOKUP(B474,$3:$3,$4:$4)-LOOKUP($B$24,$3:$3,$4:$4)+100)/100)</f>
        <v>1</v>
      </c>
      <c r="D474" s="960"/>
      <c r="E474" s="52">
        <f t="shared" ref="E474:E524" si="89">(SUMIF($5:$5,D474,$6:$6)-SUMIF($5:$5,$D$24,$6:$6)+100)/100</f>
        <v>1</v>
      </c>
      <c r="F474" s="960"/>
      <c r="G474" s="52">
        <f t="shared" ref="G474:G524" si="90">(SUMIF($7:$7,F474,$8:$8)-SUMIF($7:$7,$F$24,$8:$8)+100)/100</f>
        <v>1</v>
      </c>
      <c r="H474" s="960"/>
      <c r="I474" s="52">
        <f t="shared" ref="I474:I524" si="91">(SUMIF($9:$9,H474,$10:$10)-SUMIF($9:$9,$H$24,$10:$10)+100)/100</f>
        <v>1</v>
      </c>
      <c r="J474" s="960"/>
      <c r="K474" s="52">
        <f t="shared" ref="K474:K524" si="92">(SUMIF($11:$11,J474,$12:$12)-SUMIF($11:$11,$J$24,$12:$12)+100)/100</f>
        <v>1</v>
      </c>
      <c r="L474" s="960"/>
      <c r="M474" s="52">
        <f t="shared" ref="M474:M524" si="93">(SUMIF($13:$13,L474,$14:$14)-SUMIF($13:$13,$L$24,$14:$14)+100)/100</f>
        <v>1</v>
      </c>
      <c r="N474" s="960"/>
      <c r="O474" s="52">
        <f t="shared" ref="O474:O524" si="94">(SUMIF($15:$15,N474,$16:$16)-SUMIF($15:$15,$N$24,$16:$16)+100)/100</f>
        <v>1</v>
      </c>
      <c r="P474" s="960"/>
      <c r="Q474" s="52">
        <f t="shared" ref="Q474:Q524" si="95">(SUMIF($17:$17,P474,$18:$18)-SUMIF($17:$17,$P$24,$18:$18)+100)/100</f>
        <v>1</v>
      </c>
      <c r="R474" s="488">
        <f t="shared" ref="R474:R524" si="96">IF(B474="",0,ROUND($R$24*C474*E474*G474*I474*K474*M474*O474*Q474,0))</f>
        <v>0</v>
      </c>
      <c r="S474" s="796">
        <f t="shared" si="87"/>
        <v>0</v>
      </c>
    </row>
    <row r="475" spans="1:19">
      <c r="A475" s="962"/>
      <c r="B475" s="135"/>
      <c r="C475" s="52">
        <f t="shared" si="88"/>
        <v>1</v>
      </c>
      <c r="D475" s="960"/>
      <c r="E475" s="52">
        <f t="shared" si="89"/>
        <v>1</v>
      </c>
      <c r="F475" s="960"/>
      <c r="G475" s="52">
        <f t="shared" si="90"/>
        <v>1</v>
      </c>
      <c r="H475" s="960"/>
      <c r="I475" s="52">
        <f t="shared" si="91"/>
        <v>1</v>
      </c>
      <c r="J475" s="960"/>
      <c r="K475" s="52">
        <f t="shared" si="92"/>
        <v>1</v>
      </c>
      <c r="L475" s="960"/>
      <c r="M475" s="52">
        <f t="shared" si="93"/>
        <v>1</v>
      </c>
      <c r="N475" s="960"/>
      <c r="O475" s="52">
        <f t="shared" si="94"/>
        <v>1</v>
      </c>
      <c r="P475" s="960"/>
      <c r="Q475" s="52">
        <f t="shared" si="95"/>
        <v>1</v>
      </c>
      <c r="R475" s="488">
        <f t="shared" si="96"/>
        <v>0</v>
      </c>
      <c r="S475" s="796">
        <f t="shared" si="87"/>
        <v>0</v>
      </c>
    </row>
    <row r="476" spans="1:19">
      <c r="A476" s="962"/>
      <c r="B476" s="135"/>
      <c r="C476" s="52">
        <f t="shared" si="88"/>
        <v>1</v>
      </c>
      <c r="D476" s="960"/>
      <c r="E476" s="52">
        <f t="shared" si="89"/>
        <v>1</v>
      </c>
      <c r="F476" s="960"/>
      <c r="G476" s="52">
        <f t="shared" si="90"/>
        <v>1</v>
      </c>
      <c r="H476" s="960"/>
      <c r="I476" s="52">
        <f t="shared" si="91"/>
        <v>1</v>
      </c>
      <c r="J476" s="960"/>
      <c r="K476" s="52">
        <f t="shared" si="92"/>
        <v>1</v>
      </c>
      <c r="L476" s="960"/>
      <c r="M476" s="52">
        <f t="shared" si="93"/>
        <v>1</v>
      </c>
      <c r="N476" s="960"/>
      <c r="O476" s="52">
        <f t="shared" si="94"/>
        <v>1</v>
      </c>
      <c r="P476" s="960"/>
      <c r="Q476" s="52">
        <f t="shared" si="95"/>
        <v>1</v>
      </c>
      <c r="R476" s="488">
        <f t="shared" si="96"/>
        <v>0</v>
      </c>
      <c r="S476" s="796">
        <f t="shared" si="87"/>
        <v>0</v>
      </c>
    </row>
    <row r="477" spans="1:19">
      <c r="A477" s="962"/>
      <c r="B477" s="135"/>
      <c r="C477" s="52">
        <f t="shared" si="88"/>
        <v>1</v>
      </c>
      <c r="D477" s="960"/>
      <c r="E477" s="52">
        <f t="shared" si="89"/>
        <v>1</v>
      </c>
      <c r="F477" s="960"/>
      <c r="G477" s="52">
        <f t="shared" si="90"/>
        <v>1</v>
      </c>
      <c r="H477" s="960"/>
      <c r="I477" s="52">
        <f t="shared" si="91"/>
        <v>1</v>
      </c>
      <c r="J477" s="960"/>
      <c r="K477" s="52">
        <f t="shared" si="92"/>
        <v>1</v>
      </c>
      <c r="L477" s="960"/>
      <c r="M477" s="52">
        <f t="shared" si="93"/>
        <v>1</v>
      </c>
      <c r="N477" s="960"/>
      <c r="O477" s="52">
        <f t="shared" si="94"/>
        <v>1</v>
      </c>
      <c r="P477" s="960"/>
      <c r="Q477" s="52">
        <f t="shared" si="95"/>
        <v>1</v>
      </c>
      <c r="R477" s="488">
        <f t="shared" si="96"/>
        <v>0</v>
      </c>
      <c r="S477" s="796">
        <f t="shared" si="87"/>
        <v>0</v>
      </c>
    </row>
    <row r="478" spans="1:19">
      <c r="A478" s="962"/>
      <c r="B478" s="135"/>
      <c r="C478" s="52">
        <f t="shared" si="88"/>
        <v>1</v>
      </c>
      <c r="D478" s="960"/>
      <c r="E478" s="52">
        <f t="shared" si="89"/>
        <v>1</v>
      </c>
      <c r="F478" s="960"/>
      <c r="G478" s="52">
        <f t="shared" si="90"/>
        <v>1</v>
      </c>
      <c r="H478" s="960"/>
      <c r="I478" s="52">
        <f t="shared" si="91"/>
        <v>1</v>
      </c>
      <c r="J478" s="960"/>
      <c r="K478" s="52">
        <f t="shared" si="92"/>
        <v>1</v>
      </c>
      <c r="L478" s="960"/>
      <c r="M478" s="52">
        <f t="shared" si="93"/>
        <v>1</v>
      </c>
      <c r="N478" s="960"/>
      <c r="O478" s="52">
        <f t="shared" si="94"/>
        <v>1</v>
      </c>
      <c r="P478" s="960"/>
      <c r="Q478" s="52">
        <f t="shared" si="95"/>
        <v>1</v>
      </c>
      <c r="R478" s="488">
        <f t="shared" si="96"/>
        <v>0</v>
      </c>
      <c r="S478" s="796">
        <f t="shared" si="87"/>
        <v>0</v>
      </c>
    </row>
    <row r="479" spans="1:19">
      <c r="A479" s="962"/>
      <c r="B479" s="135"/>
      <c r="C479" s="52">
        <f t="shared" si="88"/>
        <v>1</v>
      </c>
      <c r="D479" s="960"/>
      <c r="E479" s="52">
        <f t="shared" si="89"/>
        <v>1</v>
      </c>
      <c r="F479" s="960"/>
      <c r="G479" s="52">
        <f t="shared" si="90"/>
        <v>1</v>
      </c>
      <c r="H479" s="960"/>
      <c r="I479" s="52">
        <f t="shared" si="91"/>
        <v>1</v>
      </c>
      <c r="J479" s="960"/>
      <c r="K479" s="52">
        <f t="shared" si="92"/>
        <v>1</v>
      </c>
      <c r="L479" s="960"/>
      <c r="M479" s="52">
        <f t="shared" si="93"/>
        <v>1</v>
      </c>
      <c r="N479" s="960"/>
      <c r="O479" s="52">
        <f t="shared" si="94"/>
        <v>1</v>
      </c>
      <c r="P479" s="960"/>
      <c r="Q479" s="52">
        <f t="shared" si="95"/>
        <v>1</v>
      </c>
      <c r="R479" s="488">
        <f t="shared" si="96"/>
        <v>0</v>
      </c>
      <c r="S479" s="796">
        <f t="shared" si="87"/>
        <v>0</v>
      </c>
    </row>
    <row r="480" spans="1:19">
      <c r="A480" s="962"/>
      <c r="B480" s="135"/>
      <c r="C480" s="52">
        <f t="shared" si="88"/>
        <v>1</v>
      </c>
      <c r="D480" s="960"/>
      <c r="E480" s="52">
        <f t="shared" si="89"/>
        <v>1</v>
      </c>
      <c r="F480" s="960"/>
      <c r="G480" s="52">
        <f t="shared" si="90"/>
        <v>1</v>
      </c>
      <c r="H480" s="960"/>
      <c r="I480" s="52">
        <f t="shared" si="91"/>
        <v>1</v>
      </c>
      <c r="J480" s="960"/>
      <c r="K480" s="52">
        <f t="shared" si="92"/>
        <v>1</v>
      </c>
      <c r="L480" s="960"/>
      <c r="M480" s="52">
        <f t="shared" si="93"/>
        <v>1</v>
      </c>
      <c r="N480" s="960"/>
      <c r="O480" s="52">
        <f t="shared" si="94"/>
        <v>1</v>
      </c>
      <c r="P480" s="960"/>
      <c r="Q480" s="52">
        <f t="shared" si="95"/>
        <v>1</v>
      </c>
      <c r="R480" s="488">
        <f t="shared" si="96"/>
        <v>0</v>
      </c>
      <c r="S480" s="796">
        <f t="shared" si="87"/>
        <v>0</v>
      </c>
    </row>
    <row r="481" spans="1:19">
      <c r="A481" s="962"/>
      <c r="B481" s="135"/>
      <c r="C481" s="52">
        <f t="shared" si="88"/>
        <v>1</v>
      </c>
      <c r="D481" s="960"/>
      <c r="E481" s="52">
        <f t="shared" si="89"/>
        <v>1</v>
      </c>
      <c r="F481" s="960"/>
      <c r="G481" s="52">
        <f t="shared" si="90"/>
        <v>1</v>
      </c>
      <c r="H481" s="960"/>
      <c r="I481" s="52">
        <f t="shared" si="91"/>
        <v>1</v>
      </c>
      <c r="J481" s="960"/>
      <c r="K481" s="52">
        <f t="shared" si="92"/>
        <v>1</v>
      </c>
      <c r="L481" s="960"/>
      <c r="M481" s="52">
        <f t="shared" si="93"/>
        <v>1</v>
      </c>
      <c r="N481" s="960"/>
      <c r="O481" s="52">
        <f t="shared" si="94"/>
        <v>1</v>
      </c>
      <c r="P481" s="960"/>
      <c r="Q481" s="52">
        <f t="shared" si="95"/>
        <v>1</v>
      </c>
      <c r="R481" s="488">
        <f t="shared" si="96"/>
        <v>0</v>
      </c>
      <c r="S481" s="796">
        <f t="shared" si="87"/>
        <v>0</v>
      </c>
    </row>
    <row r="482" spans="1:19">
      <c r="A482" s="962"/>
      <c r="B482" s="135"/>
      <c r="C482" s="52">
        <f t="shared" si="88"/>
        <v>1</v>
      </c>
      <c r="D482" s="960"/>
      <c r="E482" s="52">
        <f t="shared" si="89"/>
        <v>1</v>
      </c>
      <c r="F482" s="960"/>
      <c r="G482" s="52">
        <f t="shared" si="90"/>
        <v>1</v>
      </c>
      <c r="H482" s="960"/>
      <c r="I482" s="52">
        <f t="shared" si="91"/>
        <v>1</v>
      </c>
      <c r="J482" s="960"/>
      <c r="K482" s="52">
        <f t="shared" si="92"/>
        <v>1</v>
      </c>
      <c r="L482" s="960"/>
      <c r="M482" s="52">
        <f t="shared" si="93"/>
        <v>1</v>
      </c>
      <c r="N482" s="960"/>
      <c r="O482" s="52">
        <f t="shared" si="94"/>
        <v>1</v>
      </c>
      <c r="P482" s="960"/>
      <c r="Q482" s="52">
        <f t="shared" si="95"/>
        <v>1</v>
      </c>
      <c r="R482" s="488">
        <f t="shared" si="96"/>
        <v>0</v>
      </c>
      <c r="S482" s="796">
        <f t="shared" si="87"/>
        <v>0</v>
      </c>
    </row>
    <row r="483" spans="1:19">
      <c r="A483" s="962"/>
      <c r="B483" s="135"/>
      <c r="C483" s="52">
        <f t="shared" si="88"/>
        <v>1</v>
      </c>
      <c r="D483" s="960"/>
      <c r="E483" s="52">
        <f t="shared" si="89"/>
        <v>1</v>
      </c>
      <c r="F483" s="960"/>
      <c r="G483" s="52">
        <f t="shared" si="90"/>
        <v>1</v>
      </c>
      <c r="H483" s="960"/>
      <c r="I483" s="52">
        <f t="shared" si="91"/>
        <v>1</v>
      </c>
      <c r="J483" s="960"/>
      <c r="K483" s="52">
        <f t="shared" si="92"/>
        <v>1</v>
      </c>
      <c r="L483" s="960"/>
      <c r="M483" s="52">
        <f t="shared" si="93"/>
        <v>1</v>
      </c>
      <c r="N483" s="960"/>
      <c r="O483" s="52">
        <f t="shared" si="94"/>
        <v>1</v>
      </c>
      <c r="P483" s="960"/>
      <c r="Q483" s="52">
        <f t="shared" si="95"/>
        <v>1</v>
      </c>
      <c r="R483" s="488">
        <f t="shared" si="96"/>
        <v>0</v>
      </c>
      <c r="S483" s="796">
        <f t="shared" si="87"/>
        <v>0</v>
      </c>
    </row>
    <row r="484" spans="1:19">
      <c r="A484" s="962"/>
      <c r="B484" s="135"/>
      <c r="C484" s="52">
        <f t="shared" si="88"/>
        <v>1</v>
      </c>
      <c r="D484" s="960"/>
      <c r="E484" s="52">
        <f t="shared" si="89"/>
        <v>1</v>
      </c>
      <c r="F484" s="960"/>
      <c r="G484" s="52">
        <f t="shared" si="90"/>
        <v>1</v>
      </c>
      <c r="H484" s="960"/>
      <c r="I484" s="52">
        <f t="shared" si="91"/>
        <v>1</v>
      </c>
      <c r="J484" s="960"/>
      <c r="K484" s="52">
        <f t="shared" si="92"/>
        <v>1</v>
      </c>
      <c r="L484" s="960"/>
      <c r="M484" s="52">
        <f t="shared" si="93"/>
        <v>1</v>
      </c>
      <c r="N484" s="960"/>
      <c r="O484" s="52">
        <f t="shared" si="94"/>
        <v>1</v>
      </c>
      <c r="P484" s="960"/>
      <c r="Q484" s="52">
        <f t="shared" si="95"/>
        <v>1</v>
      </c>
      <c r="R484" s="488">
        <f t="shared" si="96"/>
        <v>0</v>
      </c>
      <c r="S484" s="796">
        <f t="shared" si="87"/>
        <v>0</v>
      </c>
    </row>
    <row r="485" spans="1:19">
      <c r="A485" s="962"/>
      <c r="B485" s="135"/>
      <c r="C485" s="52">
        <f t="shared" si="88"/>
        <v>1</v>
      </c>
      <c r="D485" s="960"/>
      <c r="E485" s="52">
        <f t="shared" si="89"/>
        <v>1</v>
      </c>
      <c r="F485" s="960"/>
      <c r="G485" s="52">
        <f t="shared" si="90"/>
        <v>1</v>
      </c>
      <c r="H485" s="960"/>
      <c r="I485" s="52">
        <f t="shared" si="91"/>
        <v>1</v>
      </c>
      <c r="J485" s="960"/>
      <c r="K485" s="52">
        <f t="shared" si="92"/>
        <v>1</v>
      </c>
      <c r="L485" s="960"/>
      <c r="M485" s="52">
        <f t="shared" si="93"/>
        <v>1</v>
      </c>
      <c r="N485" s="960"/>
      <c r="O485" s="52">
        <f t="shared" si="94"/>
        <v>1</v>
      </c>
      <c r="P485" s="960"/>
      <c r="Q485" s="52">
        <f t="shared" si="95"/>
        <v>1</v>
      </c>
      <c r="R485" s="488">
        <f t="shared" si="96"/>
        <v>0</v>
      </c>
      <c r="S485" s="796">
        <f t="shared" si="87"/>
        <v>0</v>
      </c>
    </row>
    <row r="486" spans="1:19">
      <c r="A486" s="962"/>
      <c r="B486" s="135"/>
      <c r="C486" s="52">
        <f t="shared" si="88"/>
        <v>1</v>
      </c>
      <c r="D486" s="960"/>
      <c r="E486" s="52">
        <f t="shared" si="89"/>
        <v>1</v>
      </c>
      <c r="F486" s="960"/>
      <c r="G486" s="52">
        <f t="shared" si="90"/>
        <v>1</v>
      </c>
      <c r="H486" s="960"/>
      <c r="I486" s="52">
        <f t="shared" si="91"/>
        <v>1</v>
      </c>
      <c r="J486" s="960"/>
      <c r="K486" s="52">
        <f t="shared" si="92"/>
        <v>1</v>
      </c>
      <c r="L486" s="960"/>
      <c r="M486" s="52">
        <f t="shared" si="93"/>
        <v>1</v>
      </c>
      <c r="N486" s="960"/>
      <c r="O486" s="52">
        <f t="shared" si="94"/>
        <v>1</v>
      </c>
      <c r="P486" s="960"/>
      <c r="Q486" s="52">
        <f t="shared" si="95"/>
        <v>1</v>
      </c>
      <c r="R486" s="488">
        <f t="shared" si="96"/>
        <v>0</v>
      </c>
      <c r="S486" s="796">
        <f t="shared" si="87"/>
        <v>0</v>
      </c>
    </row>
    <row r="487" spans="1:19">
      <c r="A487" s="962"/>
      <c r="B487" s="135"/>
      <c r="C487" s="52">
        <f t="shared" si="88"/>
        <v>1</v>
      </c>
      <c r="D487" s="960"/>
      <c r="E487" s="52">
        <f t="shared" si="89"/>
        <v>1</v>
      </c>
      <c r="F487" s="960"/>
      <c r="G487" s="52">
        <f t="shared" si="90"/>
        <v>1</v>
      </c>
      <c r="H487" s="960"/>
      <c r="I487" s="52">
        <f t="shared" si="91"/>
        <v>1</v>
      </c>
      <c r="J487" s="960"/>
      <c r="K487" s="52">
        <f t="shared" si="92"/>
        <v>1</v>
      </c>
      <c r="L487" s="960"/>
      <c r="M487" s="52">
        <f t="shared" si="93"/>
        <v>1</v>
      </c>
      <c r="N487" s="960"/>
      <c r="O487" s="52">
        <f t="shared" si="94"/>
        <v>1</v>
      </c>
      <c r="P487" s="960"/>
      <c r="Q487" s="52">
        <f t="shared" si="95"/>
        <v>1</v>
      </c>
      <c r="R487" s="488">
        <f t="shared" si="96"/>
        <v>0</v>
      </c>
      <c r="S487" s="796">
        <f t="shared" si="87"/>
        <v>0</v>
      </c>
    </row>
    <row r="488" spans="1:19">
      <c r="A488" s="962"/>
      <c r="B488" s="135"/>
      <c r="C488" s="52">
        <f t="shared" si="88"/>
        <v>1</v>
      </c>
      <c r="D488" s="960"/>
      <c r="E488" s="52">
        <f t="shared" si="89"/>
        <v>1</v>
      </c>
      <c r="F488" s="960"/>
      <c r="G488" s="52">
        <f t="shared" si="90"/>
        <v>1</v>
      </c>
      <c r="H488" s="960"/>
      <c r="I488" s="52">
        <f t="shared" si="91"/>
        <v>1</v>
      </c>
      <c r="J488" s="960"/>
      <c r="K488" s="52">
        <f t="shared" si="92"/>
        <v>1</v>
      </c>
      <c r="L488" s="960"/>
      <c r="M488" s="52">
        <f t="shared" si="93"/>
        <v>1</v>
      </c>
      <c r="N488" s="960"/>
      <c r="O488" s="52">
        <f t="shared" si="94"/>
        <v>1</v>
      </c>
      <c r="P488" s="960"/>
      <c r="Q488" s="52">
        <f t="shared" si="95"/>
        <v>1</v>
      </c>
      <c r="R488" s="488">
        <f t="shared" si="96"/>
        <v>0</v>
      </c>
      <c r="S488" s="796">
        <f t="shared" si="87"/>
        <v>0</v>
      </c>
    </row>
    <row r="489" spans="1:19">
      <c r="A489" s="962"/>
      <c r="B489" s="135"/>
      <c r="C489" s="52">
        <f t="shared" si="88"/>
        <v>1</v>
      </c>
      <c r="D489" s="960"/>
      <c r="E489" s="52">
        <f t="shared" si="89"/>
        <v>1</v>
      </c>
      <c r="F489" s="960"/>
      <c r="G489" s="52">
        <f t="shared" si="90"/>
        <v>1</v>
      </c>
      <c r="H489" s="960"/>
      <c r="I489" s="52">
        <f t="shared" si="91"/>
        <v>1</v>
      </c>
      <c r="J489" s="960"/>
      <c r="K489" s="52">
        <f t="shared" si="92"/>
        <v>1</v>
      </c>
      <c r="L489" s="960"/>
      <c r="M489" s="52">
        <f t="shared" si="93"/>
        <v>1</v>
      </c>
      <c r="N489" s="960"/>
      <c r="O489" s="52">
        <f t="shared" si="94"/>
        <v>1</v>
      </c>
      <c r="P489" s="960"/>
      <c r="Q489" s="52">
        <f t="shared" si="95"/>
        <v>1</v>
      </c>
      <c r="R489" s="488">
        <f t="shared" si="96"/>
        <v>0</v>
      </c>
      <c r="S489" s="796">
        <f t="shared" si="87"/>
        <v>0</v>
      </c>
    </row>
    <row r="490" spans="1:19">
      <c r="A490" s="962"/>
      <c r="B490" s="135"/>
      <c r="C490" s="52">
        <f t="shared" si="88"/>
        <v>1</v>
      </c>
      <c r="D490" s="960"/>
      <c r="E490" s="52">
        <f t="shared" si="89"/>
        <v>1</v>
      </c>
      <c r="F490" s="960"/>
      <c r="G490" s="52">
        <f t="shared" si="90"/>
        <v>1</v>
      </c>
      <c r="H490" s="960"/>
      <c r="I490" s="52">
        <f t="shared" si="91"/>
        <v>1</v>
      </c>
      <c r="J490" s="960"/>
      <c r="K490" s="52">
        <f t="shared" si="92"/>
        <v>1</v>
      </c>
      <c r="L490" s="960"/>
      <c r="M490" s="52">
        <f t="shared" si="93"/>
        <v>1</v>
      </c>
      <c r="N490" s="960"/>
      <c r="O490" s="52">
        <f t="shared" si="94"/>
        <v>1</v>
      </c>
      <c r="P490" s="960"/>
      <c r="Q490" s="52">
        <f t="shared" si="95"/>
        <v>1</v>
      </c>
      <c r="R490" s="488">
        <f t="shared" si="96"/>
        <v>0</v>
      </c>
      <c r="S490" s="796">
        <f t="shared" si="87"/>
        <v>0</v>
      </c>
    </row>
    <row r="491" spans="1:19">
      <c r="A491" s="962"/>
      <c r="B491" s="135"/>
      <c r="C491" s="52">
        <f t="shared" si="88"/>
        <v>1</v>
      </c>
      <c r="D491" s="960"/>
      <c r="E491" s="52">
        <f t="shared" si="89"/>
        <v>1</v>
      </c>
      <c r="F491" s="960"/>
      <c r="G491" s="52">
        <f t="shared" si="90"/>
        <v>1</v>
      </c>
      <c r="H491" s="960"/>
      <c r="I491" s="52">
        <f t="shared" si="91"/>
        <v>1</v>
      </c>
      <c r="J491" s="960"/>
      <c r="K491" s="52">
        <f t="shared" si="92"/>
        <v>1</v>
      </c>
      <c r="L491" s="960"/>
      <c r="M491" s="52">
        <f t="shared" si="93"/>
        <v>1</v>
      </c>
      <c r="N491" s="960"/>
      <c r="O491" s="52">
        <f t="shared" si="94"/>
        <v>1</v>
      </c>
      <c r="P491" s="960"/>
      <c r="Q491" s="52">
        <f t="shared" si="95"/>
        <v>1</v>
      </c>
      <c r="R491" s="488">
        <f t="shared" si="96"/>
        <v>0</v>
      </c>
      <c r="S491" s="796">
        <f t="shared" si="87"/>
        <v>0</v>
      </c>
    </row>
    <row r="492" spans="1:19">
      <c r="A492" s="962"/>
      <c r="B492" s="135"/>
      <c r="C492" s="52">
        <f t="shared" si="88"/>
        <v>1</v>
      </c>
      <c r="D492" s="960"/>
      <c r="E492" s="52">
        <f t="shared" si="89"/>
        <v>1</v>
      </c>
      <c r="F492" s="960"/>
      <c r="G492" s="52">
        <f t="shared" si="90"/>
        <v>1</v>
      </c>
      <c r="H492" s="960"/>
      <c r="I492" s="52">
        <f t="shared" si="91"/>
        <v>1</v>
      </c>
      <c r="J492" s="960"/>
      <c r="K492" s="52">
        <f t="shared" si="92"/>
        <v>1</v>
      </c>
      <c r="L492" s="960"/>
      <c r="M492" s="52">
        <f t="shared" si="93"/>
        <v>1</v>
      </c>
      <c r="N492" s="960"/>
      <c r="O492" s="52">
        <f t="shared" si="94"/>
        <v>1</v>
      </c>
      <c r="P492" s="960"/>
      <c r="Q492" s="52">
        <f t="shared" si="95"/>
        <v>1</v>
      </c>
      <c r="R492" s="488">
        <f t="shared" si="96"/>
        <v>0</v>
      </c>
      <c r="S492" s="796">
        <f t="shared" si="87"/>
        <v>0</v>
      </c>
    </row>
    <row r="493" spans="1:19">
      <c r="A493" s="962"/>
      <c r="B493" s="135"/>
      <c r="C493" s="52">
        <f t="shared" si="88"/>
        <v>1</v>
      </c>
      <c r="D493" s="960"/>
      <c r="E493" s="52">
        <f t="shared" si="89"/>
        <v>1</v>
      </c>
      <c r="F493" s="960"/>
      <c r="G493" s="52">
        <f t="shared" si="90"/>
        <v>1</v>
      </c>
      <c r="H493" s="960"/>
      <c r="I493" s="52">
        <f t="shared" si="91"/>
        <v>1</v>
      </c>
      <c r="J493" s="960"/>
      <c r="K493" s="52">
        <f t="shared" si="92"/>
        <v>1</v>
      </c>
      <c r="L493" s="960"/>
      <c r="M493" s="52">
        <f t="shared" si="93"/>
        <v>1</v>
      </c>
      <c r="N493" s="960"/>
      <c r="O493" s="52">
        <f t="shared" si="94"/>
        <v>1</v>
      </c>
      <c r="P493" s="960"/>
      <c r="Q493" s="52">
        <f t="shared" si="95"/>
        <v>1</v>
      </c>
      <c r="R493" s="488">
        <f t="shared" si="96"/>
        <v>0</v>
      </c>
      <c r="S493" s="796">
        <f t="shared" si="87"/>
        <v>0</v>
      </c>
    </row>
    <row r="494" spans="1:19">
      <c r="A494" s="962"/>
      <c r="B494" s="135"/>
      <c r="C494" s="52">
        <f t="shared" si="88"/>
        <v>1</v>
      </c>
      <c r="D494" s="960"/>
      <c r="E494" s="52">
        <f t="shared" si="89"/>
        <v>1</v>
      </c>
      <c r="F494" s="960"/>
      <c r="G494" s="52">
        <f t="shared" si="90"/>
        <v>1</v>
      </c>
      <c r="H494" s="960"/>
      <c r="I494" s="52">
        <f t="shared" si="91"/>
        <v>1</v>
      </c>
      <c r="J494" s="960"/>
      <c r="K494" s="52">
        <f t="shared" si="92"/>
        <v>1</v>
      </c>
      <c r="L494" s="960"/>
      <c r="M494" s="52">
        <f t="shared" si="93"/>
        <v>1</v>
      </c>
      <c r="N494" s="960"/>
      <c r="O494" s="52">
        <f t="shared" si="94"/>
        <v>1</v>
      </c>
      <c r="P494" s="960"/>
      <c r="Q494" s="52">
        <f t="shared" si="95"/>
        <v>1</v>
      </c>
      <c r="R494" s="488">
        <f t="shared" si="96"/>
        <v>0</v>
      </c>
      <c r="S494" s="796">
        <f t="shared" si="87"/>
        <v>0</v>
      </c>
    </row>
    <row r="495" spans="1:19">
      <c r="A495" s="962"/>
      <c r="B495" s="135"/>
      <c r="C495" s="52">
        <f t="shared" si="88"/>
        <v>1</v>
      </c>
      <c r="D495" s="960"/>
      <c r="E495" s="52">
        <f t="shared" si="89"/>
        <v>1</v>
      </c>
      <c r="F495" s="960"/>
      <c r="G495" s="52">
        <f t="shared" si="90"/>
        <v>1</v>
      </c>
      <c r="H495" s="960"/>
      <c r="I495" s="52">
        <f t="shared" si="91"/>
        <v>1</v>
      </c>
      <c r="J495" s="960"/>
      <c r="K495" s="52">
        <f t="shared" si="92"/>
        <v>1</v>
      </c>
      <c r="L495" s="960"/>
      <c r="M495" s="52">
        <f t="shared" si="93"/>
        <v>1</v>
      </c>
      <c r="N495" s="960"/>
      <c r="O495" s="52">
        <f t="shared" si="94"/>
        <v>1</v>
      </c>
      <c r="P495" s="960"/>
      <c r="Q495" s="52">
        <f t="shared" si="95"/>
        <v>1</v>
      </c>
      <c r="R495" s="488">
        <f t="shared" si="96"/>
        <v>0</v>
      </c>
      <c r="S495" s="796">
        <f t="shared" si="87"/>
        <v>0</v>
      </c>
    </row>
    <row r="496" spans="1:19">
      <c r="A496" s="962"/>
      <c r="B496" s="135"/>
      <c r="C496" s="52">
        <f t="shared" si="88"/>
        <v>1</v>
      </c>
      <c r="D496" s="960"/>
      <c r="E496" s="52">
        <f t="shared" si="89"/>
        <v>1</v>
      </c>
      <c r="F496" s="960"/>
      <c r="G496" s="52">
        <f t="shared" si="90"/>
        <v>1</v>
      </c>
      <c r="H496" s="960"/>
      <c r="I496" s="52">
        <f t="shared" si="91"/>
        <v>1</v>
      </c>
      <c r="J496" s="960"/>
      <c r="K496" s="52">
        <f t="shared" si="92"/>
        <v>1</v>
      </c>
      <c r="L496" s="960"/>
      <c r="M496" s="52">
        <f t="shared" si="93"/>
        <v>1</v>
      </c>
      <c r="N496" s="960"/>
      <c r="O496" s="52">
        <f t="shared" si="94"/>
        <v>1</v>
      </c>
      <c r="P496" s="960"/>
      <c r="Q496" s="52">
        <f t="shared" si="95"/>
        <v>1</v>
      </c>
      <c r="R496" s="488">
        <f t="shared" si="96"/>
        <v>0</v>
      </c>
      <c r="S496" s="796">
        <f t="shared" si="87"/>
        <v>0</v>
      </c>
    </row>
    <row r="497" spans="1:19">
      <c r="A497" s="962"/>
      <c r="B497" s="135"/>
      <c r="C497" s="52">
        <f t="shared" si="88"/>
        <v>1</v>
      </c>
      <c r="D497" s="960"/>
      <c r="E497" s="52">
        <f t="shared" si="89"/>
        <v>1</v>
      </c>
      <c r="F497" s="960"/>
      <c r="G497" s="52">
        <f t="shared" si="90"/>
        <v>1</v>
      </c>
      <c r="H497" s="960"/>
      <c r="I497" s="52">
        <f t="shared" si="91"/>
        <v>1</v>
      </c>
      <c r="J497" s="960"/>
      <c r="K497" s="52">
        <f t="shared" si="92"/>
        <v>1</v>
      </c>
      <c r="L497" s="960"/>
      <c r="M497" s="52">
        <f t="shared" si="93"/>
        <v>1</v>
      </c>
      <c r="N497" s="960"/>
      <c r="O497" s="52">
        <f t="shared" si="94"/>
        <v>1</v>
      </c>
      <c r="P497" s="960"/>
      <c r="Q497" s="52">
        <f t="shared" si="95"/>
        <v>1</v>
      </c>
      <c r="R497" s="488">
        <f t="shared" si="96"/>
        <v>0</v>
      </c>
      <c r="S497" s="796">
        <f t="shared" si="87"/>
        <v>0</v>
      </c>
    </row>
    <row r="498" spans="1:19">
      <c r="A498" s="962"/>
      <c r="B498" s="135"/>
      <c r="C498" s="52">
        <f t="shared" si="88"/>
        <v>1</v>
      </c>
      <c r="D498" s="960"/>
      <c r="E498" s="52">
        <f t="shared" si="89"/>
        <v>1</v>
      </c>
      <c r="F498" s="960"/>
      <c r="G498" s="52">
        <f t="shared" si="90"/>
        <v>1</v>
      </c>
      <c r="H498" s="960"/>
      <c r="I498" s="52">
        <f t="shared" si="91"/>
        <v>1</v>
      </c>
      <c r="J498" s="960"/>
      <c r="K498" s="52">
        <f t="shared" si="92"/>
        <v>1</v>
      </c>
      <c r="L498" s="960"/>
      <c r="M498" s="52">
        <f t="shared" si="93"/>
        <v>1</v>
      </c>
      <c r="N498" s="960"/>
      <c r="O498" s="52">
        <f t="shared" si="94"/>
        <v>1</v>
      </c>
      <c r="P498" s="960"/>
      <c r="Q498" s="52">
        <f t="shared" si="95"/>
        <v>1</v>
      </c>
      <c r="R498" s="488">
        <f t="shared" si="96"/>
        <v>0</v>
      </c>
      <c r="S498" s="796">
        <f t="shared" ref="S498:S524" si="97">ROUND(R498*B498/10000,0)</f>
        <v>0</v>
      </c>
    </row>
    <row r="499" spans="1:19">
      <c r="A499" s="962"/>
      <c r="B499" s="135"/>
      <c r="C499" s="52">
        <f t="shared" si="88"/>
        <v>1</v>
      </c>
      <c r="D499" s="960"/>
      <c r="E499" s="52">
        <f t="shared" si="89"/>
        <v>1</v>
      </c>
      <c r="F499" s="960"/>
      <c r="G499" s="52">
        <f t="shared" si="90"/>
        <v>1</v>
      </c>
      <c r="H499" s="960"/>
      <c r="I499" s="52">
        <f t="shared" si="91"/>
        <v>1</v>
      </c>
      <c r="J499" s="960"/>
      <c r="K499" s="52">
        <f t="shared" si="92"/>
        <v>1</v>
      </c>
      <c r="L499" s="960"/>
      <c r="M499" s="52">
        <f t="shared" si="93"/>
        <v>1</v>
      </c>
      <c r="N499" s="960"/>
      <c r="O499" s="52">
        <f t="shared" si="94"/>
        <v>1</v>
      </c>
      <c r="P499" s="960"/>
      <c r="Q499" s="52">
        <f t="shared" si="95"/>
        <v>1</v>
      </c>
      <c r="R499" s="488">
        <f t="shared" si="96"/>
        <v>0</v>
      </c>
      <c r="S499" s="796">
        <f t="shared" si="97"/>
        <v>0</v>
      </c>
    </row>
    <row r="500" spans="1:19">
      <c r="A500" s="962"/>
      <c r="B500" s="135"/>
      <c r="C500" s="52">
        <f t="shared" si="88"/>
        <v>1</v>
      </c>
      <c r="D500" s="960"/>
      <c r="E500" s="52">
        <f t="shared" si="89"/>
        <v>1</v>
      </c>
      <c r="F500" s="960"/>
      <c r="G500" s="52">
        <f t="shared" si="90"/>
        <v>1</v>
      </c>
      <c r="H500" s="960"/>
      <c r="I500" s="52">
        <f t="shared" si="91"/>
        <v>1</v>
      </c>
      <c r="J500" s="960"/>
      <c r="K500" s="52">
        <f t="shared" si="92"/>
        <v>1</v>
      </c>
      <c r="L500" s="960"/>
      <c r="M500" s="52">
        <f t="shared" si="93"/>
        <v>1</v>
      </c>
      <c r="N500" s="960"/>
      <c r="O500" s="52">
        <f t="shared" si="94"/>
        <v>1</v>
      </c>
      <c r="P500" s="960"/>
      <c r="Q500" s="52">
        <f t="shared" si="95"/>
        <v>1</v>
      </c>
      <c r="R500" s="488">
        <f t="shared" si="96"/>
        <v>0</v>
      </c>
      <c r="S500" s="796">
        <f t="shared" si="97"/>
        <v>0</v>
      </c>
    </row>
    <row r="501" spans="1:19">
      <c r="A501" s="962"/>
      <c r="B501" s="135"/>
      <c r="C501" s="52">
        <f t="shared" si="88"/>
        <v>1</v>
      </c>
      <c r="D501" s="960"/>
      <c r="E501" s="52">
        <f t="shared" si="89"/>
        <v>1</v>
      </c>
      <c r="F501" s="960"/>
      <c r="G501" s="52">
        <f t="shared" si="90"/>
        <v>1</v>
      </c>
      <c r="H501" s="960"/>
      <c r="I501" s="52">
        <f t="shared" si="91"/>
        <v>1</v>
      </c>
      <c r="J501" s="960"/>
      <c r="K501" s="52">
        <f t="shared" si="92"/>
        <v>1</v>
      </c>
      <c r="L501" s="960"/>
      <c r="M501" s="52">
        <f t="shared" si="93"/>
        <v>1</v>
      </c>
      <c r="N501" s="960"/>
      <c r="O501" s="52">
        <f t="shared" si="94"/>
        <v>1</v>
      </c>
      <c r="P501" s="960"/>
      <c r="Q501" s="52">
        <f t="shared" si="95"/>
        <v>1</v>
      </c>
      <c r="R501" s="488">
        <f t="shared" si="96"/>
        <v>0</v>
      </c>
      <c r="S501" s="796">
        <f t="shared" si="97"/>
        <v>0</v>
      </c>
    </row>
    <row r="502" spans="1:19">
      <c r="A502" s="962"/>
      <c r="B502" s="135"/>
      <c r="C502" s="52">
        <f t="shared" si="88"/>
        <v>1</v>
      </c>
      <c r="D502" s="960"/>
      <c r="E502" s="52">
        <f t="shared" si="89"/>
        <v>1</v>
      </c>
      <c r="F502" s="960"/>
      <c r="G502" s="52">
        <f t="shared" si="90"/>
        <v>1</v>
      </c>
      <c r="H502" s="960"/>
      <c r="I502" s="52">
        <f t="shared" si="91"/>
        <v>1</v>
      </c>
      <c r="J502" s="960"/>
      <c r="K502" s="52">
        <f t="shared" si="92"/>
        <v>1</v>
      </c>
      <c r="L502" s="960"/>
      <c r="M502" s="52">
        <f t="shared" si="93"/>
        <v>1</v>
      </c>
      <c r="N502" s="960"/>
      <c r="O502" s="52">
        <f t="shared" si="94"/>
        <v>1</v>
      </c>
      <c r="P502" s="960"/>
      <c r="Q502" s="52">
        <f t="shared" si="95"/>
        <v>1</v>
      </c>
      <c r="R502" s="488">
        <f t="shared" si="96"/>
        <v>0</v>
      </c>
      <c r="S502" s="796">
        <f t="shared" si="97"/>
        <v>0</v>
      </c>
    </row>
    <row r="503" spans="1:19">
      <c r="A503" s="962"/>
      <c r="B503" s="135"/>
      <c r="C503" s="52">
        <f t="shared" si="88"/>
        <v>1</v>
      </c>
      <c r="D503" s="960"/>
      <c r="E503" s="52">
        <f t="shared" si="89"/>
        <v>1</v>
      </c>
      <c r="F503" s="960"/>
      <c r="G503" s="52">
        <f t="shared" si="90"/>
        <v>1</v>
      </c>
      <c r="H503" s="960"/>
      <c r="I503" s="52">
        <f t="shared" si="91"/>
        <v>1</v>
      </c>
      <c r="J503" s="960"/>
      <c r="K503" s="52">
        <f t="shared" si="92"/>
        <v>1</v>
      </c>
      <c r="L503" s="960"/>
      <c r="M503" s="52">
        <f t="shared" si="93"/>
        <v>1</v>
      </c>
      <c r="N503" s="960"/>
      <c r="O503" s="52">
        <f t="shared" si="94"/>
        <v>1</v>
      </c>
      <c r="P503" s="960"/>
      <c r="Q503" s="52">
        <f t="shared" si="95"/>
        <v>1</v>
      </c>
      <c r="R503" s="488">
        <f t="shared" si="96"/>
        <v>0</v>
      </c>
      <c r="S503" s="796">
        <f t="shared" si="97"/>
        <v>0</v>
      </c>
    </row>
    <row r="504" spans="1:19">
      <c r="A504" s="962"/>
      <c r="B504" s="135"/>
      <c r="C504" s="52">
        <f t="shared" si="88"/>
        <v>1</v>
      </c>
      <c r="D504" s="960"/>
      <c r="E504" s="52">
        <f t="shared" si="89"/>
        <v>1</v>
      </c>
      <c r="F504" s="960"/>
      <c r="G504" s="52">
        <f t="shared" si="90"/>
        <v>1</v>
      </c>
      <c r="H504" s="960"/>
      <c r="I504" s="52">
        <f t="shared" si="91"/>
        <v>1</v>
      </c>
      <c r="J504" s="960"/>
      <c r="K504" s="52">
        <f t="shared" si="92"/>
        <v>1</v>
      </c>
      <c r="L504" s="960"/>
      <c r="M504" s="52">
        <f t="shared" si="93"/>
        <v>1</v>
      </c>
      <c r="N504" s="960"/>
      <c r="O504" s="52">
        <f t="shared" si="94"/>
        <v>1</v>
      </c>
      <c r="P504" s="960"/>
      <c r="Q504" s="52">
        <f t="shared" si="95"/>
        <v>1</v>
      </c>
      <c r="R504" s="488">
        <f t="shared" si="96"/>
        <v>0</v>
      </c>
      <c r="S504" s="796">
        <f t="shared" si="97"/>
        <v>0</v>
      </c>
    </row>
    <row r="505" spans="1:19">
      <c r="A505" s="962"/>
      <c r="B505" s="135"/>
      <c r="C505" s="52">
        <f t="shared" si="88"/>
        <v>1</v>
      </c>
      <c r="D505" s="960"/>
      <c r="E505" s="52">
        <f t="shared" si="89"/>
        <v>1</v>
      </c>
      <c r="F505" s="960"/>
      <c r="G505" s="52">
        <f t="shared" si="90"/>
        <v>1</v>
      </c>
      <c r="H505" s="960"/>
      <c r="I505" s="52">
        <f t="shared" si="91"/>
        <v>1</v>
      </c>
      <c r="J505" s="960"/>
      <c r="K505" s="52">
        <f t="shared" si="92"/>
        <v>1</v>
      </c>
      <c r="L505" s="960"/>
      <c r="M505" s="52">
        <f t="shared" si="93"/>
        <v>1</v>
      </c>
      <c r="N505" s="960"/>
      <c r="O505" s="52">
        <f t="shared" si="94"/>
        <v>1</v>
      </c>
      <c r="P505" s="960"/>
      <c r="Q505" s="52">
        <f t="shared" si="95"/>
        <v>1</v>
      </c>
      <c r="R505" s="488">
        <f t="shared" si="96"/>
        <v>0</v>
      </c>
      <c r="S505" s="796">
        <f t="shared" si="97"/>
        <v>0</v>
      </c>
    </row>
    <row r="506" spans="1:19">
      <c r="A506" s="962"/>
      <c r="B506" s="135"/>
      <c r="C506" s="52">
        <f t="shared" si="88"/>
        <v>1</v>
      </c>
      <c r="D506" s="960"/>
      <c r="E506" s="52">
        <f t="shared" si="89"/>
        <v>1</v>
      </c>
      <c r="F506" s="960"/>
      <c r="G506" s="52">
        <f t="shared" si="90"/>
        <v>1</v>
      </c>
      <c r="H506" s="960"/>
      <c r="I506" s="52">
        <f t="shared" si="91"/>
        <v>1</v>
      </c>
      <c r="J506" s="960"/>
      <c r="K506" s="52">
        <f t="shared" si="92"/>
        <v>1</v>
      </c>
      <c r="L506" s="960"/>
      <c r="M506" s="52">
        <f t="shared" si="93"/>
        <v>1</v>
      </c>
      <c r="N506" s="960"/>
      <c r="O506" s="52">
        <f t="shared" si="94"/>
        <v>1</v>
      </c>
      <c r="P506" s="960"/>
      <c r="Q506" s="52">
        <f t="shared" si="95"/>
        <v>1</v>
      </c>
      <c r="R506" s="488">
        <f t="shared" si="96"/>
        <v>0</v>
      </c>
      <c r="S506" s="796">
        <f t="shared" si="97"/>
        <v>0</v>
      </c>
    </row>
    <row r="507" spans="1:19">
      <c r="A507" s="962"/>
      <c r="B507" s="135"/>
      <c r="C507" s="52">
        <f t="shared" si="88"/>
        <v>1</v>
      </c>
      <c r="D507" s="960"/>
      <c r="E507" s="52">
        <f t="shared" si="89"/>
        <v>1</v>
      </c>
      <c r="F507" s="960"/>
      <c r="G507" s="52">
        <f t="shared" si="90"/>
        <v>1</v>
      </c>
      <c r="H507" s="960"/>
      <c r="I507" s="52">
        <f t="shared" si="91"/>
        <v>1</v>
      </c>
      <c r="J507" s="960"/>
      <c r="K507" s="52">
        <f t="shared" si="92"/>
        <v>1</v>
      </c>
      <c r="L507" s="960"/>
      <c r="M507" s="52">
        <f t="shared" si="93"/>
        <v>1</v>
      </c>
      <c r="N507" s="960"/>
      <c r="O507" s="52">
        <f t="shared" si="94"/>
        <v>1</v>
      </c>
      <c r="P507" s="960"/>
      <c r="Q507" s="52">
        <f t="shared" si="95"/>
        <v>1</v>
      </c>
      <c r="R507" s="488">
        <f t="shared" si="96"/>
        <v>0</v>
      </c>
      <c r="S507" s="796">
        <f t="shared" si="97"/>
        <v>0</v>
      </c>
    </row>
    <row r="508" spans="1:19">
      <c r="A508" s="962"/>
      <c r="B508" s="135"/>
      <c r="C508" s="52">
        <f t="shared" si="88"/>
        <v>1</v>
      </c>
      <c r="D508" s="960"/>
      <c r="E508" s="52">
        <f t="shared" si="89"/>
        <v>1</v>
      </c>
      <c r="F508" s="960"/>
      <c r="G508" s="52">
        <f t="shared" si="90"/>
        <v>1</v>
      </c>
      <c r="H508" s="960"/>
      <c r="I508" s="52">
        <f t="shared" si="91"/>
        <v>1</v>
      </c>
      <c r="J508" s="960"/>
      <c r="K508" s="52">
        <f t="shared" si="92"/>
        <v>1</v>
      </c>
      <c r="L508" s="960"/>
      <c r="M508" s="52">
        <f t="shared" si="93"/>
        <v>1</v>
      </c>
      <c r="N508" s="960"/>
      <c r="O508" s="52">
        <f t="shared" si="94"/>
        <v>1</v>
      </c>
      <c r="P508" s="960"/>
      <c r="Q508" s="52">
        <f t="shared" si="95"/>
        <v>1</v>
      </c>
      <c r="R508" s="488">
        <f t="shared" si="96"/>
        <v>0</v>
      </c>
      <c r="S508" s="796">
        <f t="shared" si="97"/>
        <v>0</v>
      </c>
    </row>
    <row r="509" spans="1:19">
      <c r="A509" s="962"/>
      <c r="B509" s="135"/>
      <c r="C509" s="52">
        <f t="shared" si="88"/>
        <v>1</v>
      </c>
      <c r="D509" s="960"/>
      <c r="E509" s="52">
        <f t="shared" si="89"/>
        <v>1</v>
      </c>
      <c r="F509" s="960"/>
      <c r="G509" s="52">
        <f t="shared" si="90"/>
        <v>1</v>
      </c>
      <c r="H509" s="960"/>
      <c r="I509" s="52">
        <f t="shared" si="91"/>
        <v>1</v>
      </c>
      <c r="J509" s="960"/>
      <c r="K509" s="52">
        <f t="shared" si="92"/>
        <v>1</v>
      </c>
      <c r="L509" s="960"/>
      <c r="M509" s="52">
        <f t="shared" si="93"/>
        <v>1</v>
      </c>
      <c r="N509" s="960"/>
      <c r="O509" s="52">
        <f t="shared" si="94"/>
        <v>1</v>
      </c>
      <c r="P509" s="960"/>
      <c r="Q509" s="52">
        <f t="shared" si="95"/>
        <v>1</v>
      </c>
      <c r="R509" s="488">
        <f t="shared" si="96"/>
        <v>0</v>
      </c>
      <c r="S509" s="796">
        <f t="shared" si="97"/>
        <v>0</v>
      </c>
    </row>
    <row r="510" spans="1:19">
      <c r="A510" s="962"/>
      <c r="B510" s="135"/>
      <c r="C510" s="52">
        <f t="shared" si="88"/>
        <v>1</v>
      </c>
      <c r="D510" s="960"/>
      <c r="E510" s="52">
        <f t="shared" si="89"/>
        <v>1</v>
      </c>
      <c r="F510" s="960"/>
      <c r="G510" s="52">
        <f t="shared" si="90"/>
        <v>1</v>
      </c>
      <c r="H510" s="960"/>
      <c r="I510" s="52">
        <f t="shared" si="91"/>
        <v>1</v>
      </c>
      <c r="J510" s="960"/>
      <c r="K510" s="52">
        <f t="shared" si="92"/>
        <v>1</v>
      </c>
      <c r="L510" s="960"/>
      <c r="M510" s="52">
        <f t="shared" si="93"/>
        <v>1</v>
      </c>
      <c r="N510" s="960"/>
      <c r="O510" s="52">
        <f t="shared" si="94"/>
        <v>1</v>
      </c>
      <c r="P510" s="960"/>
      <c r="Q510" s="52">
        <f t="shared" si="95"/>
        <v>1</v>
      </c>
      <c r="R510" s="488">
        <f t="shared" si="96"/>
        <v>0</v>
      </c>
      <c r="S510" s="796">
        <f t="shared" si="97"/>
        <v>0</v>
      </c>
    </row>
    <row r="511" spans="1:19">
      <c r="A511" s="962"/>
      <c r="B511" s="135"/>
      <c r="C511" s="52">
        <f t="shared" si="88"/>
        <v>1</v>
      </c>
      <c r="D511" s="960"/>
      <c r="E511" s="52">
        <f t="shared" si="89"/>
        <v>1</v>
      </c>
      <c r="F511" s="960"/>
      <c r="G511" s="52">
        <f t="shared" si="90"/>
        <v>1</v>
      </c>
      <c r="H511" s="960"/>
      <c r="I511" s="52">
        <f t="shared" si="91"/>
        <v>1</v>
      </c>
      <c r="J511" s="960"/>
      <c r="K511" s="52">
        <f t="shared" si="92"/>
        <v>1</v>
      </c>
      <c r="L511" s="960"/>
      <c r="M511" s="52">
        <f t="shared" si="93"/>
        <v>1</v>
      </c>
      <c r="N511" s="960"/>
      <c r="O511" s="52">
        <f t="shared" si="94"/>
        <v>1</v>
      </c>
      <c r="P511" s="960"/>
      <c r="Q511" s="52">
        <f t="shared" si="95"/>
        <v>1</v>
      </c>
      <c r="R511" s="488">
        <f t="shared" si="96"/>
        <v>0</v>
      </c>
      <c r="S511" s="796">
        <f t="shared" si="97"/>
        <v>0</v>
      </c>
    </row>
    <row r="512" spans="1:19">
      <c r="A512" s="962"/>
      <c r="B512" s="135"/>
      <c r="C512" s="52">
        <f t="shared" si="88"/>
        <v>1</v>
      </c>
      <c r="D512" s="960"/>
      <c r="E512" s="52">
        <f t="shared" si="89"/>
        <v>1</v>
      </c>
      <c r="F512" s="960"/>
      <c r="G512" s="52">
        <f t="shared" si="90"/>
        <v>1</v>
      </c>
      <c r="H512" s="960"/>
      <c r="I512" s="52">
        <f t="shared" si="91"/>
        <v>1</v>
      </c>
      <c r="J512" s="960"/>
      <c r="K512" s="52">
        <f t="shared" si="92"/>
        <v>1</v>
      </c>
      <c r="L512" s="960"/>
      <c r="M512" s="52">
        <f t="shared" si="93"/>
        <v>1</v>
      </c>
      <c r="N512" s="960"/>
      <c r="O512" s="52">
        <f t="shared" si="94"/>
        <v>1</v>
      </c>
      <c r="P512" s="960"/>
      <c r="Q512" s="52">
        <f t="shared" si="95"/>
        <v>1</v>
      </c>
      <c r="R512" s="488">
        <f t="shared" si="96"/>
        <v>0</v>
      </c>
      <c r="S512" s="796">
        <f t="shared" si="97"/>
        <v>0</v>
      </c>
    </row>
    <row r="513" spans="1:19">
      <c r="A513" s="962"/>
      <c r="B513" s="135"/>
      <c r="C513" s="52">
        <f t="shared" si="88"/>
        <v>1</v>
      </c>
      <c r="D513" s="960"/>
      <c r="E513" s="52">
        <f t="shared" si="89"/>
        <v>1</v>
      </c>
      <c r="F513" s="960"/>
      <c r="G513" s="52">
        <f t="shared" si="90"/>
        <v>1</v>
      </c>
      <c r="H513" s="960"/>
      <c r="I513" s="52">
        <f t="shared" si="91"/>
        <v>1</v>
      </c>
      <c r="J513" s="960"/>
      <c r="K513" s="52">
        <f t="shared" si="92"/>
        <v>1</v>
      </c>
      <c r="L513" s="960"/>
      <c r="M513" s="52">
        <f t="shared" si="93"/>
        <v>1</v>
      </c>
      <c r="N513" s="960"/>
      <c r="O513" s="52">
        <f t="shared" si="94"/>
        <v>1</v>
      </c>
      <c r="P513" s="960"/>
      <c r="Q513" s="52">
        <f t="shared" si="95"/>
        <v>1</v>
      </c>
      <c r="R513" s="488">
        <f t="shared" si="96"/>
        <v>0</v>
      </c>
      <c r="S513" s="796">
        <f t="shared" si="97"/>
        <v>0</v>
      </c>
    </row>
    <row r="514" spans="1:19">
      <c r="A514" s="962"/>
      <c r="B514" s="135"/>
      <c r="C514" s="52">
        <f t="shared" si="88"/>
        <v>1</v>
      </c>
      <c r="D514" s="960"/>
      <c r="E514" s="52">
        <f t="shared" si="89"/>
        <v>1</v>
      </c>
      <c r="F514" s="960"/>
      <c r="G514" s="52">
        <f t="shared" si="90"/>
        <v>1</v>
      </c>
      <c r="H514" s="960"/>
      <c r="I514" s="52">
        <f t="shared" si="91"/>
        <v>1</v>
      </c>
      <c r="J514" s="960"/>
      <c r="K514" s="52">
        <f t="shared" si="92"/>
        <v>1</v>
      </c>
      <c r="L514" s="960"/>
      <c r="M514" s="52">
        <f t="shared" si="93"/>
        <v>1</v>
      </c>
      <c r="N514" s="960"/>
      <c r="O514" s="52">
        <f t="shared" si="94"/>
        <v>1</v>
      </c>
      <c r="P514" s="960"/>
      <c r="Q514" s="52">
        <f t="shared" si="95"/>
        <v>1</v>
      </c>
      <c r="R514" s="488">
        <f t="shared" si="96"/>
        <v>0</v>
      </c>
      <c r="S514" s="796">
        <f t="shared" si="97"/>
        <v>0</v>
      </c>
    </row>
    <row r="515" spans="1:19">
      <c r="A515" s="962"/>
      <c r="B515" s="135"/>
      <c r="C515" s="52">
        <f t="shared" si="88"/>
        <v>1</v>
      </c>
      <c r="D515" s="960"/>
      <c r="E515" s="52">
        <f t="shared" si="89"/>
        <v>1</v>
      </c>
      <c r="F515" s="960"/>
      <c r="G515" s="52">
        <f t="shared" si="90"/>
        <v>1</v>
      </c>
      <c r="H515" s="960"/>
      <c r="I515" s="52">
        <f t="shared" si="91"/>
        <v>1</v>
      </c>
      <c r="J515" s="960"/>
      <c r="K515" s="52">
        <f t="shared" si="92"/>
        <v>1</v>
      </c>
      <c r="L515" s="960"/>
      <c r="M515" s="52">
        <f t="shared" si="93"/>
        <v>1</v>
      </c>
      <c r="N515" s="960"/>
      <c r="O515" s="52">
        <f t="shared" si="94"/>
        <v>1</v>
      </c>
      <c r="P515" s="960"/>
      <c r="Q515" s="52">
        <f t="shared" si="95"/>
        <v>1</v>
      </c>
      <c r="R515" s="488">
        <f t="shared" si="96"/>
        <v>0</v>
      </c>
      <c r="S515" s="796">
        <f t="shared" si="97"/>
        <v>0</v>
      </c>
    </row>
    <row r="516" spans="1:19">
      <c r="A516" s="962"/>
      <c r="B516" s="135"/>
      <c r="C516" s="52">
        <f t="shared" si="88"/>
        <v>1</v>
      </c>
      <c r="D516" s="960"/>
      <c r="E516" s="52">
        <f t="shared" si="89"/>
        <v>1</v>
      </c>
      <c r="F516" s="960"/>
      <c r="G516" s="52">
        <f t="shared" si="90"/>
        <v>1</v>
      </c>
      <c r="H516" s="960"/>
      <c r="I516" s="52">
        <f t="shared" si="91"/>
        <v>1</v>
      </c>
      <c r="J516" s="960"/>
      <c r="K516" s="52">
        <f t="shared" si="92"/>
        <v>1</v>
      </c>
      <c r="L516" s="960"/>
      <c r="M516" s="52">
        <f t="shared" si="93"/>
        <v>1</v>
      </c>
      <c r="N516" s="960"/>
      <c r="O516" s="52">
        <f t="shared" si="94"/>
        <v>1</v>
      </c>
      <c r="P516" s="960"/>
      <c r="Q516" s="52">
        <f t="shared" si="95"/>
        <v>1</v>
      </c>
      <c r="R516" s="488">
        <f t="shared" si="96"/>
        <v>0</v>
      </c>
      <c r="S516" s="796">
        <f t="shared" si="97"/>
        <v>0</v>
      </c>
    </row>
    <row r="517" spans="1:19">
      <c r="A517" s="962"/>
      <c r="B517" s="135"/>
      <c r="C517" s="52">
        <f t="shared" si="88"/>
        <v>1</v>
      </c>
      <c r="D517" s="960"/>
      <c r="E517" s="52">
        <f t="shared" si="89"/>
        <v>1</v>
      </c>
      <c r="F517" s="960"/>
      <c r="G517" s="52">
        <f t="shared" si="90"/>
        <v>1</v>
      </c>
      <c r="H517" s="960"/>
      <c r="I517" s="52">
        <f t="shared" si="91"/>
        <v>1</v>
      </c>
      <c r="J517" s="960"/>
      <c r="K517" s="52">
        <f t="shared" si="92"/>
        <v>1</v>
      </c>
      <c r="L517" s="960"/>
      <c r="M517" s="52">
        <f t="shared" si="93"/>
        <v>1</v>
      </c>
      <c r="N517" s="960"/>
      <c r="O517" s="52">
        <f t="shared" si="94"/>
        <v>1</v>
      </c>
      <c r="P517" s="960"/>
      <c r="Q517" s="52">
        <f t="shared" si="95"/>
        <v>1</v>
      </c>
      <c r="R517" s="488">
        <f t="shared" si="96"/>
        <v>0</v>
      </c>
      <c r="S517" s="796">
        <f t="shared" si="97"/>
        <v>0</v>
      </c>
    </row>
    <row r="518" spans="1:19">
      <c r="A518" s="962"/>
      <c r="B518" s="135"/>
      <c r="C518" s="52">
        <f t="shared" si="88"/>
        <v>1</v>
      </c>
      <c r="D518" s="960"/>
      <c r="E518" s="52">
        <f t="shared" si="89"/>
        <v>1</v>
      </c>
      <c r="F518" s="960"/>
      <c r="G518" s="52">
        <f t="shared" si="90"/>
        <v>1</v>
      </c>
      <c r="H518" s="960"/>
      <c r="I518" s="52">
        <f t="shared" si="91"/>
        <v>1</v>
      </c>
      <c r="J518" s="960"/>
      <c r="K518" s="52">
        <f t="shared" si="92"/>
        <v>1</v>
      </c>
      <c r="L518" s="960"/>
      <c r="M518" s="52">
        <f t="shared" si="93"/>
        <v>1</v>
      </c>
      <c r="N518" s="960"/>
      <c r="O518" s="52">
        <f t="shared" si="94"/>
        <v>1</v>
      </c>
      <c r="P518" s="960"/>
      <c r="Q518" s="52">
        <f t="shared" si="95"/>
        <v>1</v>
      </c>
      <c r="R518" s="488">
        <f t="shared" si="96"/>
        <v>0</v>
      </c>
      <c r="S518" s="796">
        <f t="shared" si="97"/>
        <v>0</v>
      </c>
    </row>
    <row r="519" spans="1:19">
      <c r="A519" s="962"/>
      <c r="B519" s="135"/>
      <c r="C519" s="52">
        <f t="shared" si="88"/>
        <v>1</v>
      </c>
      <c r="D519" s="960"/>
      <c r="E519" s="52">
        <f t="shared" si="89"/>
        <v>1</v>
      </c>
      <c r="F519" s="960"/>
      <c r="G519" s="52">
        <f t="shared" si="90"/>
        <v>1</v>
      </c>
      <c r="H519" s="960"/>
      <c r="I519" s="52">
        <f t="shared" si="91"/>
        <v>1</v>
      </c>
      <c r="J519" s="960"/>
      <c r="K519" s="52">
        <f t="shared" si="92"/>
        <v>1</v>
      </c>
      <c r="L519" s="960"/>
      <c r="M519" s="52">
        <f t="shared" si="93"/>
        <v>1</v>
      </c>
      <c r="N519" s="960"/>
      <c r="O519" s="52">
        <f t="shared" si="94"/>
        <v>1</v>
      </c>
      <c r="P519" s="960"/>
      <c r="Q519" s="52">
        <f t="shared" si="95"/>
        <v>1</v>
      </c>
      <c r="R519" s="488">
        <f t="shared" si="96"/>
        <v>0</v>
      </c>
      <c r="S519" s="796">
        <f t="shared" si="97"/>
        <v>0</v>
      </c>
    </row>
    <row r="520" spans="1:19">
      <c r="A520" s="962"/>
      <c r="B520" s="135"/>
      <c r="C520" s="52">
        <f t="shared" si="88"/>
        <v>1</v>
      </c>
      <c r="D520" s="960"/>
      <c r="E520" s="52">
        <f t="shared" si="89"/>
        <v>1</v>
      </c>
      <c r="F520" s="960"/>
      <c r="G520" s="52">
        <f t="shared" si="90"/>
        <v>1</v>
      </c>
      <c r="H520" s="960"/>
      <c r="I520" s="52">
        <f t="shared" si="91"/>
        <v>1</v>
      </c>
      <c r="J520" s="960"/>
      <c r="K520" s="52">
        <f t="shared" si="92"/>
        <v>1</v>
      </c>
      <c r="L520" s="960"/>
      <c r="M520" s="52">
        <f t="shared" si="93"/>
        <v>1</v>
      </c>
      <c r="N520" s="960"/>
      <c r="O520" s="52">
        <f t="shared" si="94"/>
        <v>1</v>
      </c>
      <c r="P520" s="960"/>
      <c r="Q520" s="52">
        <f t="shared" si="95"/>
        <v>1</v>
      </c>
      <c r="R520" s="488">
        <f t="shared" si="96"/>
        <v>0</v>
      </c>
      <c r="S520" s="796">
        <f t="shared" si="97"/>
        <v>0</v>
      </c>
    </row>
    <row r="521" spans="1:19">
      <c r="A521" s="962"/>
      <c r="B521" s="135"/>
      <c r="C521" s="52">
        <f t="shared" si="88"/>
        <v>1</v>
      </c>
      <c r="D521" s="960"/>
      <c r="E521" s="52">
        <f t="shared" si="89"/>
        <v>1</v>
      </c>
      <c r="F521" s="960"/>
      <c r="G521" s="52">
        <f t="shared" si="90"/>
        <v>1</v>
      </c>
      <c r="H521" s="960"/>
      <c r="I521" s="52">
        <f t="shared" si="91"/>
        <v>1</v>
      </c>
      <c r="J521" s="960"/>
      <c r="K521" s="52">
        <f t="shared" si="92"/>
        <v>1</v>
      </c>
      <c r="L521" s="960"/>
      <c r="M521" s="52">
        <f t="shared" si="93"/>
        <v>1</v>
      </c>
      <c r="N521" s="960"/>
      <c r="O521" s="52">
        <f t="shared" si="94"/>
        <v>1</v>
      </c>
      <c r="P521" s="960"/>
      <c r="Q521" s="52">
        <f t="shared" si="95"/>
        <v>1</v>
      </c>
      <c r="R521" s="488">
        <f t="shared" si="96"/>
        <v>0</v>
      </c>
      <c r="S521" s="796">
        <f t="shared" si="97"/>
        <v>0</v>
      </c>
    </row>
    <row r="522" spans="1:19">
      <c r="A522" s="962"/>
      <c r="B522" s="135"/>
      <c r="C522" s="52">
        <f t="shared" si="88"/>
        <v>1</v>
      </c>
      <c r="D522" s="960"/>
      <c r="E522" s="52">
        <f t="shared" si="89"/>
        <v>1</v>
      </c>
      <c r="F522" s="960"/>
      <c r="G522" s="52">
        <f t="shared" si="90"/>
        <v>1</v>
      </c>
      <c r="H522" s="960"/>
      <c r="I522" s="52">
        <f t="shared" si="91"/>
        <v>1</v>
      </c>
      <c r="J522" s="960"/>
      <c r="K522" s="52">
        <f t="shared" si="92"/>
        <v>1</v>
      </c>
      <c r="L522" s="960"/>
      <c r="M522" s="52">
        <f t="shared" si="93"/>
        <v>1</v>
      </c>
      <c r="N522" s="960"/>
      <c r="O522" s="52">
        <f t="shared" si="94"/>
        <v>1</v>
      </c>
      <c r="P522" s="960"/>
      <c r="Q522" s="52">
        <f t="shared" si="95"/>
        <v>1</v>
      </c>
      <c r="R522" s="488">
        <f t="shared" si="96"/>
        <v>0</v>
      </c>
      <c r="S522" s="796">
        <f t="shared" si="97"/>
        <v>0</v>
      </c>
    </row>
    <row r="523" spans="1:19">
      <c r="A523" s="962"/>
      <c r="B523" s="135"/>
      <c r="C523" s="52">
        <f t="shared" si="88"/>
        <v>1</v>
      </c>
      <c r="D523" s="960"/>
      <c r="E523" s="52">
        <f t="shared" si="89"/>
        <v>1</v>
      </c>
      <c r="F523" s="960"/>
      <c r="G523" s="52">
        <f t="shared" si="90"/>
        <v>1</v>
      </c>
      <c r="H523" s="960"/>
      <c r="I523" s="52">
        <f t="shared" si="91"/>
        <v>1</v>
      </c>
      <c r="J523" s="960"/>
      <c r="K523" s="52">
        <f t="shared" si="92"/>
        <v>1</v>
      </c>
      <c r="L523" s="960"/>
      <c r="M523" s="52">
        <f t="shared" si="93"/>
        <v>1</v>
      </c>
      <c r="N523" s="960"/>
      <c r="O523" s="52">
        <f t="shared" si="94"/>
        <v>1</v>
      </c>
      <c r="P523" s="960"/>
      <c r="Q523" s="52">
        <f t="shared" si="95"/>
        <v>1</v>
      </c>
      <c r="R523" s="488">
        <f t="shared" si="96"/>
        <v>0</v>
      </c>
      <c r="S523" s="796">
        <f t="shared" si="97"/>
        <v>0</v>
      </c>
    </row>
    <row r="524" spans="1:19">
      <c r="A524" s="962"/>
      <c r="B524" s="135"/>
      <c r="C524" s="52">
        <f t="shared" si="88"/>
        <v>1</v>
      </c>
      <c r="D524" s="960"/>
      <c r="E524" s="52">
        <f t="shared" si="89"/>
        <v>1</v>
      </c>
      <c r="F524" s="960"/>
      <c r="G524" s="52">
        <f t="shared" si="90"/>
        <v>1</v>
      </c>
      <c r="H524" s="960"/>
      <c r="I524" s="52">
        <f t="shared" si="91"/>
        <v>1</v>
      </c>
      <c r="J524" s="960"/>
      <c r="K524" s="52">
        <f t="shared" si="92"/>
        <v>1</v>
      </c>
      <c r="L524" s="960"/>
      <c r="M524" s="52">
        <f t="shared" si="93"/>
        <v>1</v>
      </c>
      <c r="N524" s="960"/>
      <c r="O524" s="52">
        <f t="shared" si="94"/>
        <v>1</v>
      </c>
      <c r="P524" s="960"/>
      <c r="Q524" s="52">
        <f t="shared" si="95"/>
        <v>1</v>
      </c>
      <c r="R524" s="488">
        <f t="shared" si="96"/>
        <v>0</v>
      </c>
      <c r="S524" s="796">
        <f t="shared" si="97"/>
        <v>0</v>
      </c>
    </row>
    <row r="525" spans="1:19">
      <c r="A525" s="255"/>
      <c r="B525" s="56"/>
      <c r="C525" s="56"/>
      <c r="D525" s="56"/>
      <c r="E525" s="56"/>
      <c r="F525" s="56"/>
      <c r="G525" s="56"/>
      <c r="H525" s="56"/>
      <c r="I525" s="56"/>
      <c r="J525" s="56"/>
      <c r="K525" s="56"/>
      <c r="L525" s="56"/>
      <c r="M525" s="56"/>
      <c r="N525" s="56"/>
      <c r="O525" s="56"/>
      <c r="P525" s="56"/>
      <c r="Q525" s="56"/>
      <c r="R525" s="2223"/>
      <c r="S525" s="255"/>
    </row>
    <row r="526" spans="1:19">
      <c r="A526" s="255"/>
      <c r="B526" s="56"/>
      <c r="C526" s="56"/>
      <c r="D526" s="56"/>
      <c r="E526" s="56"/>
      <c r="F526" s="56"/>
      <c r="G526" s="56"/>
      <c r="H526" s="56"/>
      <c r="I526" s="56"/>
      <c r="J526" s="56"/>
      <c r="K526" s="56"/>
      <c r="L526" s="56"/>
      <c r="M526" s="56"/>
      <c r="N526" s="56"/>
      <c r="O526" s="56"/>
      <c r="P526" s="56"/>
      <c r="Q526" s="56"/>
      <c r="R526" s="2223"/>
      <c r="S526" s="255"/>
    </row>
    <row r="527" spans="1:19">
      <c r="A527" s="255"/>
      <c r="B527" s="56"/>
      <c r="C527" s="56"/>
      <c r="D527" s="56"/>
      <c r="E527" s="56"/>
      <c r="F527" s="56"/>
      <c r="G527" s="56"/>
      <c r="H527" s="56"/>
      <c r="I527" s="56"/>
      <c r="J527" s="56"/>
      <c r="K527" s="56"/>
      <c r="L527" s="56"/>
      <c r="M527" s="56"/>
      <c r="N527" s="56"/>
      <c r="O527" s="56"/>
      <c r="P527" s="56"/>
      <c r="Q527" s="56"/>
      <c r="R527" s="2223"/>
      <c r="S527" s="255"/>
    </row>
    <row r="528" spans="1:19">
      <c r="A528" s="255"/>
      <c r="B528" s="56"/>
      <c r="C528" s="56"/>
      <c r="D528" s="56"/>
      <c r="E528" s="56"/>
      <c r="F528" s="56"/>
      <c r="G528" s="56"/>
      <c r="H528" s="56"/>
      <c r="I528" s="56"/>
      <c r="J528" s="56"/>
      <c r="K528" s="56"/>
      <c r="L528" s="56"/>
      <c r="M528" s="56"/>
      <c r="N528" s="56"/>
      <c r="O528" s="56"/>
      <c r="P528" s="56"/>
      <c r="Q528" s="56"/>
      <c r="R528" s="2223"/>
      <c r="S528" s="255"/>
    </row>
    <row r="529" spans="1:19">
      <c r="A529" s="255"/>
      <c r="B529" s="56"/>
      <c r="C529" s="56"/>
      <c r="D529" s="56"/>
      <c r="E529" s="56"/>
      <c r="F529" s="56"/>
      <c r="G529" s="56"/>
      <c r="H529" s="56"/>
      <c r="I529" s="56"/>
      <c r="J529" s="56"/>
      <c r="K529" s="56"/>
      <c r="L529" s="56"/>
      <c r="M529" s="56"/>
      <c r="N529" s="56"/>
      <c r="O529" s="56"/>
      <c r="P529" s="56"/>
      <c r="Q529" s="56"/>
      <c r="R529" s="2223"/>
      <c r="S529" s="255"/>
    </row>
    <row r="530" spans="1:19">
      <c r="A530" s="255"/>
      <c r="B530" s="56"/>
      <c r="C530" s="56"/>
      <c r="D530" s="56"/>
      <c r="E530" s="56"/>
      <c r="F530" s="56"/>
      <c r="G530" s="56"/>
      <c r="H530" s="56"/>
      <c r="I530" s="56"/>
      <c r="J530" s="56"/>
      <c r="K530" s="56"/>
      <c r="L530" s="56"/>
      <c r="M530" s="56"/>
      <c r="N530" s="56"/>
      <c r="O530" s="56"/>
      <c r="P530" s="56"/>
      <c r="Q530" s="56"/>
      <c r="R530" s="2223"/>
      <c r="S530" s="255"/>
    </row>
    <row r="531" spans="1:19">
      <c r="A531" s="255"/>
      <c r="B531" s="56"/>
      <c r="C531" s="56"/>
      <c r="D531" s="56"/>
      <c r="E531" s="56"/>
      <c r="F531" s="56"/>
      <c r="G531" s="56"/>
      <c r="H531" s="56"/>
      <c r="I531" s="56"/>
      <c r="J531" s="56"/>
      <c r="K531" s="56"/>
      <c r="L531" s="56"/>
      <c r="M531" s="56"/>
      <c r="N531" s="56"/>
      <c r="O531" s="56"/>
      <c r="P531" s="56"/>
      <c r="Q531" s="56"/>
      <c r="R531" s="2223"/>
      <c r="S531" s="255"/>
    </row>
    <row r="532" spans="1:19">
      <c r="A532" s="255"/>
      <c r="B532" s="56"/>
      <c r="C532" s="56"/>
      <c r="D532" s="56"/>
      <c r="E532" s="56"/>
      <c r="F532" s="56"/>
      <c r="G532" s="56"/>
      <c r="H532" s="56"/>
      <c r="I532" s="56"/>
      <c r="J532" s="56"/>
      <c r="K532" s="56"/>
      <c r="L532" s="56"/>
      <c r="M532" s="56"/>
      <c r="N532" s="56"/>
      <c r="O532" s="56"/>
      <c r="P532" s="56"/>
      <c r="Q532" s="56"/>
      <c r="R532" s="2223"/>
      <c r="S532" s="255"/>
    </row>
    <row r="533" spans="1:19">
      <c r="A533" s="255"/>
      <c r="B533" s="56"/>
      <c r="C533" s="56"/>
      <c r="D533" s="56"/>
      <c r="E533" s="56"/>
      <c r="F533" s="56"/>
      <c r="G533" s="56"/>
      <c r="H533" s="56"/>
      <c r="I533" s="56"/>
      <c r="J533" s="56"/>
      <c r="K533" s="56"/>
      <c r="L533" s="56"/>
      <c r="M533" s="56"/>
      <c r="N533" s="56"/>
      <c r="O533" s="56"/>
      <c r="P533" s="56"/>
      <c r="Q533" s="56"/>
      <c r="R533" s="2223"/>
      <c r="S533" s="255"/>
    </row>
    <row r="534" spans="1:19">
      <c r="A534" s="255"/>
      <c r="B534" s="56"/>
      <c r="C534" s="56"/>
      <c r="D534" s="56"/>
      <c r="E534" s="56"/>
      <c r="F534" s="56"/>
      <c r="G534" s="56"/>
      <c r="H534" s="56"/>
      <c r="I534" s="56"/>
      <c r="J534" s="56"/>
      <c r="K534" s="56"/>
      <c r="L534" s="56"/>
      <c r="M534" s="56"/>
      <c r="N534" s="56"/>
      <c r="O534" s="56"/>
      <c r="P534" s="56"/>
      <c r="Q534" s="56"/>
      <c r="R534" s="2223"/>
      <c r="S534" s="255"/>
    </row>
    <row r="535" spans="1:19">
      <c r="A535" s="255"/>
      <c r="B535" s="56"/>
      <c r="C535" s="56"/>
      <c r="D535" s="56"/>
      <c r="E535" s="56"/>
      <c r="F535" s="56"/>
      <c r="G535" s="56"/>
      <c r="H535" s="56"/>
      <c r="I535" s="56"/>
      <c r="J535" s="56"/>
      <c r="K535" s="56"/>
      <c r="L535" s="56"/>
      <c r="M535" s="56"/>
      <c r="N535" s="56"/>
      <c r="O535" s="56"/>
      <c r="P535" s="56"/>
      <c r="Q535" s="56"/>
      <c r="R535" s="2223"/>
      <c r="S535" s="255"/>
    </row>
    <row r="536" spans="1:19">
      <c r="A536" s="255"/>
      <c r="B536" s="56"/>
      <c r="C536" s="56"/>
      <c r="D536" s="56"/>
      <c r="E536" s="56"/>
      <c r="F536" s="56"/>
      <c r="G536" s="56"/>
      <c r="H536" s="56"/>
      <c r="I536" s="56"/>
      <c r="J536" s="56"/>
      <c r="K536" s="56"/>
      <c r="L536" s="56"/>
      <c r="M536" s="56"/>
      <c r="N536" s="56"/>
      <c r="O536" s="56"/>
      <c r="P536" s="56"/>
      <c r="Q536" s="56"/>
      <c r="R536" s="2223"/>
      <c r="S536" s="255"/>
    </row>
    <row r="537" spans="1:19">
      <c r="A537" s="255"/>
      <c r="B537" s="56"/>
      <c r="C537" s="56"/>
      <c r="D537" s="56"/>
      <c r="E537" s="56"/>
      <c r="F537" s="56"/>
      <c r="G537" s="56"/>
      <c r="H537" s="56"/>
      <c r="I537" s="56"/>
      <c r="J537" s="56"/>
      <c r="K537" s="56"/>
      <c r="L537" s="56"/>
      <c r="M537" s="56"/>
      <c r="N537" s="56"/>
      <c r="O537" s="56"/>
      <c r="P537" s="56"/>
      <c r="Q537" s="56"/>
      <c r="R537" s="2223"/>
      <c r="S537" s="255"/>
    </row>
    <row r="538" spans="1:19">
      <c r="A538" s="255"/>
      <c r="B538" s="56"/>
      <c r="C538" s="56"/>
      <c r="D538" s="56"/>
      <c r="E538" s="56"/>
      <c r="F538" s="56"/>
      <c r="G538" s="56"/>
      <c r="H538" s="56"/>
      <c r="I538" s="56"/>
      <c r="J538" s="56"/>
      <c r="K538" s="56"/>
      <c r="L538" s="56"/>
      <c r="M538" s="56"/>
      <c r="N538" s="56"/>
      <c r="O538" s="56"/>
      <c r="P538" s="56"/>
      <c r="Q538" s="56"/>
      <c r="R538" s="2223"/>
      <c r="S538" s="255"/>
    </row>
    <row r="539" spans="1:19">
      <c r="A539" s="255"/>
      <c r="B539" s="56"/>
      <c r="C539" s="56"/>
      <c r="D539" s="56"/>
      <c r="E539" s="56"/>
      <c r="F539" s="56"/>
      <c r="G539" s="56"/>
      <c r="H539" s="56"/>
      <c r="I539" s="56"/>
      <c r="J539" s="56"/>
      <c r="K539" s="56"/>
      <c r="L539" s="56"/>
      <c r="M539" s="56"/>
      <c r="N539" s="56"/>
      <c r="O539" s="56"/>
      <c r="P539" s="56"/>
      <c r="Q539" s="56"/>
      <c r="R539" s="2223"/>
      <c r="S539" s="255"/>
    </row>
    <row r="540" spans="1:19">
      <c r="A540" s="255"/>
      <c r="B540" s="56"/>
      <c r="C540" s="56"/>
      <c r="D540" s="56"/>
      <c r="E540" s="56"/>
      <c r="F540" s="56"/>
      <c r="G540" s="56"/>
      <c r="H540" s="56"/>
      <c r="I540" s="56"/>
      <c r="J540" s="56"/>
      <c r="K540" s="56"/>
      <c r="L540" s="56"/>
      <c r="M540" s="56"/>
      <c r="N540" s="56"/>
      <c r="O540" s="56"/>
      <c r="P540" s="56"/>
      <c r="Q540" s="56"/>
      <c r="R540" s="2223"/>
      <c r="S540" s="255"/>
    </row>
    <row r="541" spans="1:19">
      <c r="A541" s="255"/>
      <c r="B541" s="56"/>
      <c r="C541" s="56"/>
      <c r="D541" s="56"/>
      <c r="E541" s="56"/>
      <c r="F541" s="56"/>
      <c r="G541" s="56"/>
      <c r="H541" s="56"/>
      <c r="I541" s="56"/>
      <c r="J541" s="56"/>
      <c r="K541" s="56"/>
      <c r="L541" s="56"/>
      <c r="M541" s="56"/>
      <c r="N541" s="56"/>
      <c r="O541" s="56"/>
      <c r="P541" s="56"/>
      <c r="Q541" s="56"/>
      <c r="R541" s="2223"/>
      <c r="S541" s="255"/>
    </row>
    <row r="542" spans="1:19">
      <c r="A542" s="255"/>
      <c r="B542" s="56"/>
      <c r="C542" s="56"/>
      <c r="D542" s="56"/>
      <c r="E542" s="56"/>
      <c r="F542" s="56"/>
      <c r="G542" s="56"/>
      <c r="H542" s="56"/>
      <c r="I542" s="56"/>
      <c r="J542" s="56"/>
      <c r="K542" s="56"/>
      <c r="L542" s="56"/>
      <c r="M542" s="56"/>
      <c r="N542" s="56"/>
      <c r="O542" s="56"/>
      <c r="P542" s="56"/>
      <c r="Q542" s="56"/>
      <c r="R542" s="2223"/>
      <c r="S542" s="255"/>
    </row>
    <row r="543" spans="1:19">
      <c r="A543" s="255"/>
      <c r="B543" s="56"/>
      <c r="C543" s="56"/>
      <c r="D543" s="56"/>
      <c r="E543" s="56"/>
      <c r="F543" s="56"/>
      <c r="G543" s="56"/>
      <c r="H543" s="56"/>
      <c r="I543" s="56"/>
      <c r="J543" s="56"/>
      <c r="K543" s="56"/>
      <c r="L543" s="56"/>
      <c r="M543" s="56"/>
      <c r="N543" s="56"/>
      <c r="O543" s="56"/>
      <c r="P543" s="56"/>
      <c r="Q543" s="56"/>
      <c r="R543" s="2223"/>
      <c r="S543" s="255"/>
    </row>
    <row r="544" spans="1:19">
      <c r="A544" s="255"/>
      <c r="B544" s="56"/>
      <c r="C544" s="56"/>
      <c r="D544" s="56"/>
      <c r="E544" s="56"/>
      <c r="F544" s="56"/>
      <c r="G544" s="56"/>
      <c r="H544" s="56"/>
      <c r="I544" s="56"/>
      <c r="J544" s="56"/>
      <c r="K544" s="56"/>
      <c r="L544" s="56"/>
      <c r="M544" s="56"/>
      <c r="N544" s="56"/>
      <c r="O544" s="56"/>
      <c r="P544" s="56"/>
      <c r="Q544" s="56"/>
      <c r="R544" s="2223"/>
      <c r="S544" s="255"/>
    </row>
    <row r="545" spans="1:19">
      <c r="A545" s="255"/>
      <c r="B545" s="56"/>
      <c r="C545" s="56"/>
      <c r="D545" s="56"/>
      <c r="E545" s="56"/>
      <c r="F545" s="56"/>
      <c r="G545" s="56"/>
      <c r="H545" s="56"/>
      <c r="I545" s="56"/>
      <c r="J545" s="56"/>
      <c r="K545" s="56"/>
      <c r="L545" s="56"/>
      <c r="M545" s="56"/>
      <c r="N545" s="56"/>
      <c r="O545" s="56"/>
      <c r="P545" s="56"/>
      <c r="Q545" s="56"/>
      <c r="R545" s="2223"/>
      <c r="S545" s="255"/>
    </row>
    <row r="546" spans="1:19">
      <c r="A546" s="255"/>
      <c r="B546" s="56"/>
      <c r="C546" s="56"/>
      <c r="D546" s="56"/>
      <c r="E546" s="56"/>
      <c r="F546" s="56"/>
      <c r="G546" s="56"/>
      <c r="H546" s="56"/>
      <c r="I546" s="56"/>
      <c r="J546" s="56"/>
      <c r="K546" s="56"/>
      <c r="L546" s="56"/>
      <c r="M546" s="56"/>
      <c r="N546" s="56"/>
      <c r="O546" s="56"/>
      <c r="P546" s="56"/>
      <c r="Q546" s="56"/>
      <c r="R546" s="2223"/>
      <c r="S546" s="255"/>
    </row>
    <row r="547" spans="1:19">
      <c r="A547" s="255"/>
      <c r="B547" s="56"/>
      <c r="C547" s="56"/>
      <c r="D547" s="56"/>
      <c r="E547" s="56"/>
      <c r="F547" s="56"/>
      <c r="G547" s="56"/>
      <c r="H547" s="56"/>
      <c r="I547" s="56"/>
      <c r="J547" s="56"/>
      <c r="K547" s="56"/>
      <c r="L547" s="56"/>
      <c r="M547" s="56"/>
      <c r="N547" s="56"/>
      <c r="O547" s="56"/>
      <c r="P547" s="56"/>
      <c r="Q547" s="56"/>
      <c r="R547" s="2223"/>
      <c r="S547" s="255"/>
    </row>
    <row r="548" spans="1:19">
      <c r="A548" s="255"/>
      <c r="B548" s="56"/>
      <c r="C548" s="56"/>
      <c r="D548" s="56"/>
      <c r="E548" s="56"/>
      <c r="F548" s="56"/>
      <c r="G548" s="56"/>
      <c r="H548" s="56"/>
      <c r="I548" s="56"/>
      <c r="J548" s="56"/>
      <c r="K548" s="56"/>
      <c r="L548" s="56"/>
      <c r="M548" s="56"/>
      <c r="N548" s="56"/>
      <c r="O548" s="56"/>
      <c r="P548" s="56"/>
      <c r="Q548" s="56"/>
      <c r="R548" s="2223"/>
      <c r="S548" s="255"/>
    </row>
    <row r="549" spans="1:19">
      <c r="A549" s="255"/>
      <c r="B549" s="56"/>
      <c r="C549" s="56"/>
      <c r="D549" s="56"/>
      <c r="E549" s="56"/>
      <c r="F549" s="56"/>
      <c r="G549" s="56"/>
      <c r="H549" s="56"/>
      <c r="I549" s="56"/>
      <c r="J549" s="56"/>
      <c r="K549" s="56"/>
      <c r="L549" s="56"/>
      <c r="M549" s="56"/>
      <c r="N549" s="56"/>
      <c r="O549" s="56"/>
      <c r="P549" s="56"/>
      <c r="Q549" s="56"/>
      <c r="R549" s="2223"/>
      <c r="S549" s="255"/>
    </row>
    <row r="550" spans="1:19">
      <c r="A550" s="255"/>
      <c r="B550" s="56"/>
      <c r="C550" s="56"/>
      <c r="D550" s="56"/>
      <c r="E550" s="56"/>
      <c r="F550" s="56"/>
      <c r="G550" s="56"/>
      <c r="H550" s="56"/>
      <c r="I550" s="56"/>
      <c r="J550" s="56"/>
      <c r="K550" s="56"/>
      <c r="L550" s="56"/>
      <c r="M550" s="56"/>
      <c r="N550" s="56"/>
      <c r="O550" s="56"/>
      <c r="P550" s="56"/>
      <c r="Q550" s="56"/>
      <c r="R550" s="2223"/>
      <c r="S550" s="255"/>
    </row>
    <row r="551" spans="1:19">
      <c r="A551" s="255"/>
      <c r="B551" s="56"/>
      <c r="C551" s="56"/>
      <c r="D551" s="56"/>
      <c r="E551" s="56"/>
      <c r="F551" s="56"/>
      <c r="G551" s="56"/>
      <c r="H551" s="56"/>
      <c r="I551" s="56"/>
      <c r="J551" s="56"/>
      <c r="K551" s="56"/>
      <c r="L551" s="56"/>
      <c r="M551" s="56"/>
      <c r="N551" s="56"/>
      <c r="O551" s="56"/>
      <c r="P551" s="56"/>
      <c r="Q551" s="56"/>
      <c r="R551" s="2223"/>
      <c r="S551" s="255"/>
    </row>
    <row r="552" spans="1:19">
      <c r="A552" s="255"/>
      <c r="B552" s="56"/>
      <c r="C552" s="56"/>
      <c r="D552" s="56"/>
      <c r="E552" s="56"/>
      <c r="F552" s="56"/>
      <c r="G552" s="56"/>
      <c r="H552" s="56"/>
      <c r="I552" s="56"/>
      <c r="J552" s="56"/>
      <c r="K552" s="56"/>
      <c r="L552" s="56"/>
      <c r="M552" s="56"/>
      <c r="N552" s="56"/>
      <c r="O552" s="56"/>
      <c r="P552" s="56"/>
      <c r="Q552" s="56"/>
      <c r="R552" s="2223"/>
      <c r="S552" s="255"/>
    </row>
    <row r="553" spans="1:19">
      <c r="A553" s="255"/>
      <c r="B553" s="56"/>
      <c r="C553" s="56"/>
      <c r="D553" s="56"/>
      <c r="E553" s="56"/>
      <c r="F553" s="56"/>
      <c r="G553" s="56"/>
      <c r="H553" s="56"/>
      <c r="I553" s="56"/>
      <c r="J553" s="56"/>
      <c r="K553" s="56"/>
      <c r="L553" s="56"/>
      <c r="M553" s="56"/>
      <c r="N553" s="56"/>
      <c r="O553" s="56"/>
      <c r="P553" s="56"/>
      <c r="Q553" s="56"/>
      <c r="R553" s="2223"/>
      <c r="S553" s="255"/>
    </row>
    <row r="554" spans="1:19">
      <c r="A554" s="255"/>
      <c r="B554" s="56"/>
      <c r="C554" s="56"/>
      <c r="D554" s="56"/>
      <c r="E554" s="56"/>
      <c r="F554" s="56"/>
      <c r="G554" s="56"/>
      <c r="H554" s="56"/>
      <c r="I554" s="56"/>
      <c r="J554" s="56"/>
      <c r="K554" s="56"/>
      <c r="L554" s="56"/>
      <c r="M554" s="56"/>
      <c r="N554" s="56"/>
      <c r="O554" s="56"/>
      <c r="P554" s="56"/>
      <c r="Q554" s="56"/>
      <c r="R554" s="2223"/>
      <c r="S554" s="255"/>
    </row>
    <row r="555" spans="1:19">
      <c r="A555" s="255"/>
      <c r="B555" s="56"/>
      <c r="C555" s="56"/>
      <c r="D555" s="56"/>
      <c r="E555" s="56"/>
      <c r="F555" s="56"/>
      <c r="G555" s="56"/>
      <c r="H555" s="56"/>
      <c r="I555" s="56"/>
      <c r="J555" s="56"/>
      <c r="K555" s="56"/>
      <c r="L555" s="56"/>
      <c r="M555" s="56"/>
      <c r="N555" s="56"/>
      <c r="O555" s="56"/>
      <c r="P555" s="56"/>
      <c r="Q555" s="56"/>
      <c r="R555" s="2223"/>
      <c r="S555" s="255"/>
    </row>
    <row r="556" spans="1:19">
      <c r="A556" s="255"/>
      <c r="B556" s="56"/>
      <c r="C556" s="56"/>
      <c r="D556" s="56"/>
      <c r="E556" s="56"/>
      <c r="F556" s="56"/>
      <c r="G556" s="56"/>
      <c r="H556" s="56"/>
      <c r="I556" s="56"/>
      <c r="J556" s="56"/>
      <c r="K556" s="56"/>
      <c r="L556" s="56"/>
      <c r="M556" s="56"/>
      <c r="N556" s="56"/>
      <c r="O556" s="56"/>
      <c r="P556" s="56"/>
      <c r="Q556" s="56"/>
      <c r="R556" s="2223"/>
      <c r="S556" s="255"/>
    </row>
    <row r="557" spans="1:19">
      <c r="A557" s="255"/>
      <c r="B557" s="56"/>
      <c r="C557" s="56"/>
      <c r="D557" s="56"/>
      <c r="E557" s="56"/>
      <c r="F557" s="56"/>
      <c r="G557" s="56"/>
      <c r="H557" s="56"/>
      <c r="I557" s="56"/>
      <c r="J557" s="56"/>
      <c r="K557" s="56"/>
      <c r="L557" s="56"/>
      <c r="M557" s="56"/>
      <c r="N557" s="56"/>
      <c r="O557" s="56"/>
      <c r="P557" s="56"/>
      <c r="Q557" s="56"/>
      <c r="R557" s="2223"/>
      <c r="S557" s="255"/>
    </row>
    <row r="558" spans="1:19">
      <c r="A558" s="255"/>
      <c r="B558" s="56"/>
      <c r="C558" s="56"/>
      <c r="D558" s="56"/>
      <c r="E558" s="56"/>
      <c r="F558" s="56"/>
      <c r="G558" s="56"/>
      <c r="H558" s="56"/>
      <c r="I558" s="56"/>
      <c r="J558" s="56"/>
      <c r="K558" s="56"/>
      <c r="L558" s="56"/>
      <c r="M558" s="56"/>
      <c r="N558" s="56"/>
      <c r="O558" s="56"/>
      <c r="P558" s="56"/>
      <c r="Q558" s="56"/>
      <c r="R558" s="2223"/>
      <c r="S558" s="255"/>
    </row>
    <row r="559" spans="1:19">
      <c r="A559" s="255"/>
      <c r="B559" s="56"/>
      <c r="C559" s="56"/>
      <c r="D559" s="56"/>
      <c r="E559" s="56"/>
      <c r="F559" s="56"/>
      <c r="G559" s="56"/>
      <c r="H559" s="56"/>
      <c r="I559" s="56"/>
      <c r="J559" s="56"/>
      <c r="K559" s="56"/>
      <c r="L559" s="56"/>
      <c r="M559" s="56"/>
      <c r="N559" s="56"/>
      <c r="O559" s="56"/>
      <c r="P559" s="56"/>
      <c r="Q559" s="56"/>
      <c r="R559" s="2223"/>
      <c r="S559" s="255"/>
    </row>
    <row r="560" spans="1:19">
      <c r="A560" s="255"/>
      <c r="B560" s="56"/>
      <c r="C560" s="56"/>
      <c r="D560" s="56"/>
      <c r="E560" s="56"/>
      <c r="F560" s="56"/>
      <c r="G560" s="56"/>
      <c r="H560" s="56"/>
      <c r="I560" s="56"/>
      <c r="J560" s="56"/>
      <c r="K560" s="56"/>
      <c r="L560" s="56"/>
      <c r="M560" s="56"/>
      <c r="N560" s="56"/>
      <c r="O560" s="56"/>
      <c r="P560" s="56"/>
      <c r="Q560" s="56"/>
      <c r="R560" s="2223"/>
      <c r="S560" s="255"/>
    </row>
    <row r="561" spans="1:19">
      <c r="A561" s="255"/>
      <c r="B561" s="56"/>
      <c r="C561" s="56"/>
      <c r="D561" s="56"/>
      <c r="E561" s="56"/>
      <c r="F561" s="56"/>
      <c r="G561" s="56"/>
      <c r="H561" s="56"/>
      <c r="I561" s="56"/>
      <c r="J561" s="56"/>
      <c r="K561" s="56"/>
      <c r="L561" s="56"/>
      <c r="M561" s="56"/>
      <c r="N561" s="56"/>
      <c r="O561" s="56"/>
      <c r="P561" s="56"/>
      <c r="Q561" s="56"/>
      <c r="R561" s="2223"/>
      <c r="S561" s="255"/>
    </row>
    <row r="562" spans="1:19">
      <c r="A562" s="255"/>
      <c r="B562" s="56"/>
      <c r="C562" s="56"/>
      <c r="D562" s="56"/>
      <c r="E562" s="56"/>
      <c r="F562" s="56"/>
      <c r="G562" s="56"/>
      <c r="H562" s="56"/>
      <c r="I562" s="56"/>
      <c r="J562" s="56"/>
      <c r="K562" s="56"/>
      <c r="L562" s="56"/>
      <c r="M562" s="56"/>
      <c r="N562" s="56"/>
      <c r="O562" s="56"/>
      <c r="P562" s="56"/>
      <c r="Q562" s="56"/>
      <c r="R562" s="2223"/>
      <c r="S562" s="255"/>
    </row>
    <row r="563" spans="1:19">
      <c r="A563" s="255"/>
      <c r="B563" s="56"/>
      <c r="C563" s="56"/>
      <c r="D563" s="56"/>
      <c r="E563" s="56"/>
      <c r="F563" s="56"/>
      <c r="G563" s="56"/>
      <c r="H563" s="56"/>
      <c r="I563" s="56"/>
      <c r="J563" s="56"/>
      <c r="K563" s="56"/>
      <c r="L563" s="56"/>
      <c r="M563" s="56"/>
      <c r="N563" s="56"/>
      <c r="O563" s="56"/>
      <c r="P563" s="56"/>
      <c r="Q563" s="56"/>
      <c r="R563" s="2223"/>
      <c r="S563" s="255"/>
    </row>
    <row r="564" spans="1:19">
      <c r="A564" s="255"/>
      <c r="B564" s="56"/>
      <c r="C564" s="56"/>
      <c r="D564" s="56"/>
      <c r="E564" s="56"/>
      <c r="F564" s="56"/>
      <c r="G564" s="56"/>
      <c r="H564" s="56"/>
      <c r="I564" s="56"/>
      <c r="J564" s="56"/>
      <c r="K564" s="56"/>
      <c r="L564" s="56"/>
      <c r="M564" s="56"/>
      <c r="N564" s="56"/>
      <c r="O564" s="56"/>
      <c r="P564" s="56"/>
      <c r="Q564" s="56"/>
      <c r="R564" s="2223"/>
      <c r="S564" s="255"/>
    </row>
    <row r="565" spans="1:19">
      <c r="A565" s="255"/>
      <c r="B565" s="56"/>
      <c r="C565" s="56"/>
      <c r="D565" s="56"/>
      <c r="E565" s="56"/>
      <c r="F565" s="56"/>
      <c r="G565" s="56"/>
      <c r="H565" s="56"/>
      <c r="I565" s="56"/>
      <c r="J565" s="56"/>
      <c r="K565" s="56"/>
      <c r="L565" s="56"/>
      <c r="M565" s="56"/>
      <c r="N565" s="56"/>
      <c r="O565" s="56"/>
      <c r="P565" s="56"/>
      <c r="Q565" s="56"/>
      <c r="R565" s="2223"/>
      <c r="S565" s="255"/>
    </row>
    <row r="566" spans="1:19">
      <c r="A566" s="255"/>
      <c r="B566" s="56"/>
      <c r="C566" s="56"/>
      <c r="D566" s="56"/>
      <c r="E566" s="56"/>
      <c r="F566" s="56"/>
      <c r="G566" s="56"/>
      <c r="H566" s="56"/>
      <c r="I566" s="56"/>
      <c r="J566" s="56"/>
      <c r="K566" s="56"/>
      <c r="L566" s="56"/>
      <c r="M566" s="56"/>
      <c r="N566" s="56"/>
      <c r="O566" s="56"/>
      <c r="P566" s="56"/>
      <c r="Q566" s="56"/>
      <c r="R566" s="2223"/>
      <c r="S566" s="255"/>
    </row>
    <row r="567" spans="1:19">
      <c r="A567" s="255"/>
      <c r="B567" s="56"/>
      <c r="C567" s="56"/>
      <c r="D567" s="56"/>
      <c r="E567" s="56"/>
      <c r="F567" s="56"/>
      <c r="G567" s="56"/>
      <c r="H567" s="56"/>
      <c r="I567" s="56"/>
      <c r="J567" s="56"/>
      <c r="K567" s="56"/>
      <c r="L567" s="56"/>
      <c r="M567" s="56"/>
      <c r="N567" s="56"/>
      <c r="O567" s="56"/>
      <c r="P567" s="56"/>
      <c r="Q567" s="56"/>
      <c r="R567" s="2223"/>
      <c r="S567" s="255"/>
    </row>
    <row r="568" spans="1:19">
      <c r="A568" s="255"/>
      <c r="B568" s="56"/>
      <c r="C568" s="56"/>
      <c r="D568" s="56"/>
      <c r="E568" s="56"/>
      <c r="F568" s="56"/>
      <c r="G568" s="56"/>
      <c r="H568" s="56"/>
      <c r="I568" s="56"/>
      <c r="J568" s="56"/>
      <c r="K568" s="56"/>
      <c r="L568" s="56"/>
      <c r="M568" s="56"/>
      <c r="N568" s="56"/>
      <c r="O568" s="56"/>
      <c r="P568" s="56"/>
      <c r="Q568" s="56"/>
      <c r="R568" s="2223"/>
      <c r="S568" s="255"/>
    </row>
    <row r="569" spans="1:19">
      <c r="A569" s="255"/>
      <c r="B569" s="56"/>
      <c r="C569" s="56"/>
      <c r="D569" s="56"/>
      <c r="E569" s="56"/>
      <c r="F569" s="56"/>
      <c r="G569" s="56"/>
      <c r="H569" s="56"/>
      <c r="I569" s="56"/>
      <c r="J569" s="56"/>
      <c r="K569" s="56"/>
      <c r="L569" s="56"/>
      <c r="M569" s="56"/>
      <c r="N569" s="56"/>
      <c r="O569" s="56"/>
      <c r="P569" s="56"/>
      <c r="Q569" s="56"/>
      <c r="R569" s="2223"/>
      <c r="S569" s="255"/>
    </row>
    <row r="570" spans="1:19">
      <c r="A570" s="255"/>
      <c r="B570" s="56"/>
      <c r="C570" s="56"/>
      <c r="D570" s="56"/>
      <c r="E570" s="56"/>
      <c r="F570" s="56"/>
      <c r="G570" s="56"/>
      <c r="H570" s="56"/>
      <c r="I570" s="56"/>
      <c r="J570" s="56"/>
      <c r="K570" s="56"/>
      <c r="L570" s="56"/>
      <c r="M570" s="56"/>
      <c r="N570" s="56"/>
      <c r="O570" s="56"/>
      <c r="P570" s="56"/>
      <c r="Q570" s="56"/>
      <c r="R570" s="2223"/>
      <c r="S570" s="255"/>
    </row>
    <row r="571" spans="1:19">
      <c r="A571" s="255"/>
      <c r="B571" s="56"/>
      <c r="C571" s="56"/>
      <c r="D571" s="56"/>
      <c r="E571" s="56"/>
      <c r="F571" s="56"/>
      <c r="G571" s="56"/>
      <c r="H571" s="56"/>
      <c r="I571" s="56"/>
      <c r="J571" s="56"/>
      <c r="K571" s="56"/>
      <c r="L571" s="56"/>
      <c r="M571" s="56"/>
      <c r="N571" s="56"/>
      <c r="O571" s="56"/>
      <c r="P571" s="56"/>
      <c r="Q571" s="56"/>
      <c r="R571" s="2223"/>
      <c r="S571" s="255"/>
    </row>
    <row r="572" spans="1:19">
      <c r="A572" s="255"/>
      <c r="B572" s="56"/>
      <c r="C572" s="56"/>
      <c r="D572" s="56"/>
      <c r="E572" s="56"/>
      <c r="F572" s="56"/>
      <c r="G572" s="56"/>
      <c r="H572" s="56"/>
      <c r="I572" s="56"/>
      <c r="J572" s="56"/>
      <c r="K572" s="56"/>
      <c r="L572" s="56"/>
      <c r="M572" s="56"/>
      <c r="N572" s="56"/>
      <c r="O572" s="56"/>
      <c r="P572" s="56"/>
      <c r="Q572" s="56"/>
      <c r="R572" s="2223"/>
      <c r="S572" s="255"/>
    </row>
    <row r="573" spans="1:19">
      <c r="A573" s="255"/>
      <c r="B573" s="56"/>
      <c r="C573" s="56"/>
      <c r="D573" s="56"/>
      <c r="E573" s="56"/>
      <c r="F573" s="56"/>
      <c r="G573" s="56"/>
      <c r="H573" s="56"/>
      <c r="I573" s="56"/>
      <c r="J573" s="56"/>
      <c r="K573" s="56"/>
      <c r="L573" s="56"/>
      <c r="M573" s="56"/>
      <c r="N573" s="56"/>
      <c r="O573" s="56"/>
      <c r="P573" s="56"/>
      <c r="Q573" s="56"/>
      <c r="R573" s="2223"/>
      <c r="S573" s="255"/>
    </row>
    <row r="574" spans="1:19">
      <c r="A574" s="255"/>
      <c r="B574" s="56"/>
      <c r="C574" s="56"/>
      <c r="D574" s="56"/>
      <c r="E574" s="56"/>
      <c r="F574" s="56"/>
      <c r="G574" s="56"/>
      <c r="H574" s="56"/>
      <c r="I574" s="56"/>
      <c r="J574" s="56"/>
      <c r="K574" s="56"/>
      <c r="L574" s="56"/>
      <c r="M574" s="56"/>
      <c r="N574" s="56"/>
      <c r="O574" s="56"/>
      <c r="P574" s="56"/>
      <c r="Q574" s="56"/>
      <c r="R574" s="2223"/>
      <c r="S574" s="255"/>
    </row>
    <row r="575" spans="1:19">
      <c r="A575" s="255"/>
      <c r="B575" s="56"/>
      <c r="C575" s="56"/>
      <c r="D575" s="56"/>
      <c r="E575" s="56"/>
      <c r="F575" s="56"/>
      <c r="G575" s="56"/>
      <c r="H575" s="56"/>
      <c r="I575" s="56"/>
      <c r="J575" s="56"/>
      <c r="K575" s="56"/>
      <c r="L575" s="56"/>
      <c r="M575" s="56"/>
      <c r="N575" s="56"/>
      <c r="O575" s="56"/>
      <c r="P575" s="56"/>
      <c r="Q575" s="56"/>
      <c r="R575" s="2223"/>
      <c r="S575" s="255"/>
    </row>
    <row r="576" spans="1:19">
      <c r="A576" s="255"/>
      <c r="B576" s="56"/>
      <c r="C576" s="56"/>
      <c r="D576" s="56"/>
      <c r="E576" s="56"/>
      <c r="F576" s="56"/>
      <c r="G576" s="56"/>
      <c r="H576" s="56"/>
      <c r="I576" s="56"/>
      <c r="J576" s="56"/>
      <c r="K576" s="56"/>
      <c r="L576" s="56"/>
      <c r="M576" s="56"/>
      <c r="N576" s="56"/>
      <c r="O576" s="56"/>
      <c r="P576" s="56"/>
      <c r="Q576" s="56"/>
      <c r="R576" s="2223"/>
      <c r="S576" s="255"/>
    </row>
    <row r="577" spans="1:19">
      <c r="A577" s="255"/>
      <c r="B577" s="56"/>
      <c r="C577" s="56"/>
      <c r="D577" s="56"/>
      <c r="E577" s="56"/>
      <c r="F577" s="56"/>
      <c r="G577" s="56"/>
      <c r="H577" s="56"/>
      <c r="I577" s="56"/>
      <c r="J577" s="56"/>
      <c r="K577" s="56"/>
      <c r="L577" s="56"/>
      <c r="M577" s="56"/>
      <c r="N577" s="56"/>
      <c r="O577" s="56"/>
      <c r="P577" s="56"/>
      <c r="Q577" s="56"/>
      <c r="R577" s="2223"/>
      <c r="S577" s="255"/>
    </row>
    <row r="578" spans="1:19">
      <c r="A578" s="255"/>
      <c r="B578" s="56"/>
      <c r="C578" s="56"/>
      <c r="D578" s="56"/>
      <c r="E578" s="56"/>
      <c r="F578" s="56"/>
      <c r="G578" s="56"/>
      <c r="H578" s="56"/>
      <c r="I578" s="56"/>
      <c r="J578" s="56"/>
      <c r="K578" s="56"/>
      <c r="L578" s="56"/>
      <c r="M578" s="56"/>
      <c r="N578" s="56"/>
      <c r="O578" s="56"/>
      <c r="P578" s="56"/>
      <c r="Q578" s="56"/>
      <c r="R578" s="2223"/>
      <c r="S578" s="255"/>
    </row>
    <row r="579" spans="1:19">
      <c r="A579" s="255"/>
      <c r="B579" s="56"/>
      <c r="C579" s="56"/>
      <c r="D579" s="56"/>
      <c r="E579" s="56"/>
      <c r="F579" s="56"/>
      <c r="G579" s="56"/>
      <c r="H579" s="56"/>
      <c r="I579" s="56"/>
      <c r="J579" s="56"/>
      <c r="K579" s="56"/>
      <c r="L579" s="56"/>
      <c r="M579" s="56"/>
      <c r="N579" s="56"/>
      <c r="O579" s="56"/>
      <c r="P579" s="56"/>
      <c r="Q579" s="56"/>
      <c r="R579" s="2223"/>
      <c r="S579" s="255"/>
    </row>
    <row r="580" spans="1:19">
      <c r="A580" s="255"/>
      <c r="B580" s="56"/>
      <c r="C580" s="56"/>
      <c r="D580" s="56"/>
      <c r="E580" s="56"/>
      <c r="F580" s="56"/>
      <c r="G580" s="56"/>
      <c r="H580" s="56"/>
      <c r="I580" s="56"/>
      <c r="J580" s="56"/>
      <c r="K580" s="56"/>
      <c r="L580" s="56"/>
      <c r="M580" s="56"/>
      <c r="N580" s="56"/>
      <c r="O580" s="56"/>
      <c r="P580" s="56"/>
      <c r="Q580" s="56"/>
      <c r="R580" s="2223"/>
      <c r="S580" s="255"/>
    </row>
    <row r="581" spans="1:19">
      <c r="A581" s="255"/>
      <c r="B581" s="56"/>
      <c r="C581" s="56"/>
      <c r="D581" s="56"/>
      <c r="E581" s="56"/>
      <c r="F581" s="56"/>
      <c r="G581" s="56"/>
      <c r="H581" s="56"/>
      <c r="I581" s="56"/>
      <c r="J581" s="56"/>
      <c r="K581" s="56"/>
      <c r="L581" s="56"/>
      <c r="M581" s="56"/>
      <c r="N581" s="56"/>
      <c r="O581" s="56"/>
      <c r="P581" s="56"/>
      <c r="Q581" s="56"/>
      <c r="R581" s="2223"/>
      <c r="S581" s="255"/>
    </row>
    <row r="582" spans="1:19">
      <c r="A582" s="255"/>
      <c r="B582" s="56"/>
      <c r="C582" s="56"/>
      <c r="D582" s="56"/>
      <c r="E582" s="56"/>
      <c r="F582" s="56"/>
      <c r="G582" s="56"/>
      <c r="H582" s="56"/>
      <c r="I582" s="56"/>
      <c r="J582" s="56"/>
      <c r="K582" s="56"/>
      <c r="L582" s="56"/>
      <c r="M582" s="56"/>
      <c r="N582" s="56"/>
      <c r="O582" s="56"/>
      <c r="P582" s="56"/>
      <c r="Q582" s="56"/>
      <c r="R582" s="2223"/>
      <c r="S582" s="255"/>
    </row>
    <row r="583" spans="1:19">
      <c r="A583" s="255"/>
      <c r="B583" s="56"/>
      <c r="C583" s="56"/>
      <c r="D583" s="56"/>
      <c r="E583" s="56"/>
      <c r="F583" s="56"/>
      <c r="G583" s="56"/>
      <c r="H583" s="56"/>
      <c r="I583" s="56"/>
      <c r="J583" s="56"/>
      <c r="K583" s="56"/>
      <c r="L583" s="56"/>
      <c r="M583" s="56"/>
      <c r="N583" s="56"/>
      <c r="O583" s="56"/>
      <c r="P583" s="56"/>
      <c r="Q583" s="56"/>
      <c r="R583" s="2223"/>
      <c r="S583" s="255"/>
    </row>
    <row r="584" spans="1:19">
      <c r="A584" s="255"/>
      <c r="B584" s="56"/>
      <c r="C584" s="56"/>
      <c r="D584" s="56"/>
      <c r="E584" s="56"/>
      <c r="F584" s="56"/>
      <c r="G584" s="56"/>
      <c r="H584" s="56"/>
      <c r="I584" s="56"/>
      <c r="J584" s="56"/>
      <c r="K584" s="56"/>
      <c r="L584" s="56"/>
      <c r="M584" s="56"/>
      <c r="N584" s="56"/>
      <c r="O584" s="56"/>
      <c r="P584" s="56"/>
      <c r="Q584" s="56"/>
      <c r="R584" s="2223"/>
      <c r="S584" s="255"/>
    </row>
    <row r="585" spans="1:19">
      <c r="A585" s="255"/>
      <c r="B585" s="56"/>
      <c r="C585" s="56"/>
      <c r="D585" s="56"/>
      <c r="E585" s="56"/>
      <c r="F585" s="56"/>
      <c r="G585" s="56"/>
      <c r="H585" s="56"/>
      <c r="I585" s="56"/>
      <c r="J585" s="56"/>
      <c r="K585" s="56"/>
      <c r="L585" s="56"/>
      <c r="M585" s="56"/>
      <c r="N585" s="56"/>
      <c r="O585" s="56"/>
      <c r="P585" s="56"/>
      <c r="Q585" s="56"/>
      <c r="R585" s="2223"/>
      <c r="S585" s="255"/>
    </row>
    <row r="586" spans="1:19">
      <c r="A586" s="255"/>
      <c r="B586" s="56"/>
      <c r="C586" s="56"/>
      <c r="D586" s="56"/>
      <c r="E586" s="56"/>
      <c r="F586" s="56"/>
      <c r="G586" s="56"/>
      <c r="H586" s="56"/>
      <c r="I586" s="56"/>
      <c r="J586" s="56"/>
      <c r="K586" s="56"/>
      <c r="L586" s="56"/>
      <c r="M586" s="56"/>
      <c r="N586" s="56"/>
      <c r="O586" s="56"/>
      <c r="P586" s="56"/>
      <c r="Q586" s="56"/>
      <c r="R586" s="2223"/>
      <c r="S586" s="255"/>
    </row>
    <row r="587" spans="1:19">
      <c r="A587" s="255"/>
      <c r="B587" s="56"/>
      <c r="C587" s="56"/>
      <c r="D587" s="56"/>
      <c r="E587" s="56"/>
      <c r="F587" s="56"/>
      <c r="G587" s="56"/>
      <c r="H587" s="56"/>
      <c r="I587" s="56"/>
      <c r="J587" s="56"/>
      <c r="K587" s="56"/>
      <c r="L587" s="56"/>
      <c r="M587" s="56"/>
      <c r="N587" s="56"/>
      <c r="O587" s="56"/>
      <c r="P587" s="56"/>
      <c r="Q587" s="56"/>
      <c r="R587" s="2223"/>
      <c r="S587" s="255"/>
    </row>
    <row r="588" spans="1:19">
      <c r="A588" s="255"/>
      <c r="B588" s="56"/>
      <c r="C588" s="56"/>
      <c r="D588" s="56"/>
      <c r="E588" s="56"/>
      <c r="F588" s="56"/>
      <c r="G588" s="56"/>
      <c r="H588" s="56"/>
      <c r="I588" s="56"/>
      <c r="J588" s="56"/>
      <c r="K588" s="56"/>
      <c r="L588" s="56"/>
      <c r="M588" s="56"/>
      <c r="N588" s="56"/>
      <c r="O588" s="56"/>
      <c r="P588" s="56"/>
      <c r="Q588" s="56"/>
      <c r="R588" s="2223"/>
      <c r="S588" s="255"/>
    </row>
    <row r="589" spans="1:19">
      <c r="A589" s="255"/>
      <c r="B589" s="56"/>
      <c r="C589" s="56"/>
      <c r="D589" s="56"/>
      <c r="E589" s="56"/>
      <c r="F589" s="56"/>
      <c r="G589" s="56"/>
      <c r="H589" s="56"/>
      <c r="I589" s="56"/>
      <c r="J589" s="56"/>
      <c r="K589" s="56"/>
      <c r="L589" s="56"/>
      <c r="M589" s="56"/>
      <c r="N589" s="56"/>
      <c r="O589" s="56"/>
      <c r="P589" s="56"/>
      <c r="Q589" s="56"/>
      <c r="R589" s="2223"/>
      <c r="S589" s="255"/>
    </row>
    <row r="590" spans="1:19">
      <c r="A590" s="255"/>
      <c r="B590" s="56"/>
      <c r="C590" s="56"/>
      <c r="D590" s="56"/>
      <c r="E590" s="56"/>
      <c r="F590" s="56"/>
      <c r="G590" s="56"/>
      <c r="H590" s="56"/>
      <c r="I590" s="56"/>
      <c r="J590" s="56"/>
      <c r="K590" s="56"/>
      <c r="L590" s="56"/>
      <c r="M590" s="56"/>
      <c r="N590" s="56"/>
      <c r="O590" s="56"/>
      <c r="P590" s="56"/>
      <c r="Q590" s="56"/>
      <c r="R590" s="2223"/>
      <c r="S590" s="255"/>
    </row>
    <row r="591" spans="1:19">
      <c r="A591" s="255"/>
      <c r="B591" s="56"/>
      <c r="C591" s="56"/>
      <c r="D591" s="56"/>
      <c r="E591" s="56"/>
      <c r="F591" s="56"/>
      <c r="G591" s="56"/>
      <c r="H591" s="56"/>
      <c r="I591" s="56"/>
      <c r="J591" s="56"/>
      <c r="K591" s="56"/>
      <c r="L591" s="56"/>
      <c r="M591" s="56"/>
      <c r="N591" s="56"/>
      <c r="O591" s="56"/>
      <c r="P591" s="56"/>
      <c r="Q591" s="56"/>
      <c r="R591" s="2223"/>
      <c r="S591" s="255"/>
    </row>
    <row r="592" spans="1:19">
      <c r="A592" s="255"/>
      <c r="B592" s="56"/>
      <c r="C592" s="56"/>
      <c r="D592" s="56"/>
      <c r="E592" s="56"/>
      <c r="F592" s="56"/>
      <c r="G592" s="56"/>
      <c r="H592" s="56"/>
      <c r="I592" s="56"/>
      <c r="J592" s="56"/>
      <c r="K592" s="56"/>
      <c r="L592" s="56"/>
      <c r="M592" s="56"/>
      <c r="N592" s="56"/>
      <c r="O592" s="56"/>
      <c r="P592" s="56"/>
      <c r="Q592" s="56"/>
      <c r="R592" s="2223"/>
      <c r="S592" s="255"/>
    </row>
    <row r="593" spans="1:19">
      <c r="A593" s="255"/>
      <c r="B593" s="56"/>
      <c r="C593" s="56"/>
      <c r="D593" s="56"/>
      <c r="E593" s="56"/>
      <c r="F593" s="56"/>
      <c r="G593" s="56"/>
      <c r="H593" s="56"/>
      <c r="I593" s="56"/>
      <c r="J593" s="56"/>
      <c r="K593" s="56"/>
      <c r="L593" s="56"/>
      <c r="M593" s="56"/>
      <c r="N593" s="56"/>
      <c r="O593" s="56"/>
      <c r="P593" s="56"/>
      <c r="Q593" s="56"/>
      <c r="R593" s="2223"/>
      <c r="S593" s="255"/>
    </row>
    <row r="594" spans="1:19">
      <c r="A594" s="255"/>
      <c r="B594" s="56"/>
      <c r="C594" s="56"/>
      <c r="D594" s="56"/>
      <c r="E594" s="56"/>
      <c r="F594" s="56"/>
      <c r="G594" s="56"/>
      <c r="H594" s="56"/>
      <c r="I594" s="56"/>
      <c r="J594" s="56"/>
      <c r="K594" s="56"/>
      <c r="L594" s="56"/>
      <c r="M594" s="56"/>
      <c r="N594" s="56"/>
      <c r="O594" s="56"/>
      <c r="P594" s="56"/>
      <c r="Q594" s="56"/>
      <c r="R594" s="2223"/>
      <c r="S594" s="255"/>
    </row>
    <row r="595" spans="1:19">
      <c r="A595" s="255"/>
      <c r="B595" s="56"/>
      <c r="C595" s="56"/>
      <c r="D595" s="56"/>
      <c r="E595" s="56"/>
      <c r="F595" s="56"/>
      <c r="G595" s="56"/>
      <c r="H595" s="56"/>
      <c r="I595" s="56"/>
      <c r="J595" s="56"/>
      <c r="K595" s="56"/>
      <c r="L595" s="56"/>
      <c r="M595" s="56"/>
      <c r="N595" s="56"/>
      <c r="O595" s="56"/>
      <c r="P595" s="56"/>
      <c r="Q595" s="56"/>
      <c r="R595" s="2223"/>
      <c r="S595" s="255"/>
    </row>
    <row r="596" spans="1:19">
      <c r="A596" s="255"/>
      <c r="B596" s="56"/>
      <c r="C596" s="56"/>
      <c r="D596" s="56"/>
      <c r="E596" s="56"/>
      <c r="F596" s="56"/>
      <c r="G596" s="56"/>
      <c r="H596" s="56"/>
      <c r="I596" s="56"/>
      <c r="J596" s="56"/>
      <c r="K596" s="56"/>
      <c r="L596" s="56"/>
      <c r="M596" s="56"/>
      <c r="N596" s="56"/>
      <c r="O596" s="56"/>
      <c r="P596" s="56"/>
      <c r="Q596" s="56"/>
      <c r="R596" s="2223"/>
      <c r="S596" s="255"/>
    </row>
    <row r="597" spans="1:19">
      <c r="A597" s="255"/>
      <c r="B597" s="56"/>
      <c r="C597" s="56"/>
      <c r="D597" s="56"/>
      <c r="E597" s="56"/>
      <c r="F597" s="56"/>
      <c r="G597" s="56"/>
      <c r="H597" s="56"/>
      <c r="I597" s="56"/>
      <c r="J597" s="56"/>
      <c r="K597" s="56"/>
      <c r="L597" s="56"/>
      <c r="M597" s="56"/>
      <c r="N597" s="56"/>
      <c r="O597" s="56"/>
      <c r="P597" s="56"/>
      <c r="Q597" s="56"/>
      <c r="R597" s="2223"/>
      <c r="S597" s="255"/>
    </row>
    <row r="598" spans="1:19">
      <c r="A598" s="255"/>
      <c r="B598" s="56"/>
      <c r="C598" s="56"/>
      <c r="D598" s="56"/>
      <c r="E598" s="56"/>
      <c r="F598" s="56"/>
      <c r="G598" s="56"/>
      <c r="H598" s="56"/>
      <c r="I598" s="56"/>
      <c r="J598" s="56"/>
      <c r="K598" s="56"/>
      <c r="L598" s="56"/>
      <c r="M598" s="56"/>
      <c r="N598" s="56"/>
      <c r="O598" s="56"/>
      <c r="P598" s="56"/>
      <c r="Q598" s="56"/>
      <c r="R598" s="2223"/>
      <c r="S598" s="255"/>
    </row>
    <row r="599" spans="1:19">
      <c r="A599" s="255"/>
      <c r="B599" s="56"/>
      <c r="C599" s="56"/>
      <c r="D599" s="56"/>
      <c r="E599" s="56"/>
      <c r="F599" s="56"/>
      <c r="G599" s="56"/>
      <c r="H599" s="56"/>
      <c r="I599" s="56"/>
      <c r="J599" s="56"/>
      <c r="K599" s="56"/>
      <c r="L599" s="56"/>
      <c r="M599" s="56"/>
      <c r="N599" s="56"/>
      <c r="O599" s="56"/>
      <c r="P599" s="56"/>
      <c r="Q599" s="56"/>
      <c r="R599" s="2223"/>
      <c r="S599" s="255"/>
    </row>
    <row r="600" spans="1:19">
      <c r="A600" s="255"/>
      <c r="B600" s="56"/>
      <c r="C600" s="56"/>
      <c r="D600" s="56"/>
      <c r="E600" s="56"/>
      <c r="F600" s="56"/>
      <c r="G600" s="56"/>
      <c r="H600" s="56"/>
      <c r="I600" s="56"/>
      <c r="J600" s="56"/>
      <c r="K600" s="56"/>
      <c r="L600" s="56"/>
      <c r="M600" s="56"/>
      <c r="N600" s="56"/>
      <c r="O600" s="56"/>
      <c r="P600" s="56"/>
      <c r="Q600" s="56"/>
      <c r="R600" s="2223"/>
      <c r="S600" s="255"/>
    </row>
    <row r="601" spans="1:19">
      <c r="A601" s="255"/>
      <c r="B601" s="56"/>
      <c r="C601" s="56"/>
      <c r="D601" s="56"/>
      <c r="E601" s="56"/>
      <c r="F601" s="56"/>
      <c r="G601" s="56"/>
      <c r="H601" s="56"/>
      <c r="I601" s="56"/>
      <c r="J601" s="56"/>
      <c r="K601" s="56"/>
      <c r="L601" s="56"/>
      <c r="M601" s="56"/>
      <c r="N601" s="56"/>
      <c r="O601" s="56"/>
      <c r="P601" s="56"/>
      <c r="Q601" s="56"/>
      <c r="R601" s="2223"/>
      <c r="S601" s="255"/>
    </row>
    <row r="602" spans="1:19">
      <c r="A602" s="255"/>
      <c r="B602" s="56"/>
      <c r="C602" s="56"/>
      <c r="D602" s="56"/>
      <c r="E602" s="56"/>
      <c r="F602" s="56"/>
      <c r="G602" s="56"/>
      <c r="H602" s="56"/>
      <c r="I602" s="56"/>
      <c r="J602" s="56"/>
      <c r="K602" s="56"/>
      <c r="L602" s="56"/>
      <c r="M602" s="56"/>
      <c r="N602" s="56"/>
      <c r="O602" s="56"/>
      <c r="P602" s="56"/>
      <c r="Q602" s="56"/>
      <c r="R602" s="2223"/>
      <c r="S602" s="255"/>
    </row>
    <row r="603" spans="1:19">
      <c r="A603" s="255"/>
      <c r="B603" s="56"/>
      <c r="C603" s="56"/>
      <c r="D603" s="56"/>
      <c r="E603" s="56"/>
      <c r="F603" s="56"/>
      <c r="G603" s="56"/>
      <c r="H603" s="56"/>
      <c r="I603" s="56"/>
      <c r="J603" s="56"/>
      <c r="K603" s="56"/>
      <c r="L603" s="56"/>
      <c r="M603" s="56"/>
      <c r="N603" s="56"/>
      <c r="O603" s="56"/>
      <c r="P603" s="56"/>
      <c r="Q603" s="56"/>
      <c r="R603" s="2223"/>
      <c r="S603" s="255"/>
    </row>
    <row r="604" spans="1:19">
      <c r="A604" s="255"/>
      <c r="B604" s="56"/>
      <c r="C604" s="56"/>
      <c r="D604" s="56"/>
      <c r="E604" s="56"/>
      <c r="F604" s="56"/>
      <c r="G604" s="56"/>
      <c r="H604" s="56"/>
      <c r="I604" s="56"/>
      <c r="J604" s="56"/>
      <c r="K604" s="56"/>
      <c r="L604" s="56"/>
      <c r="M604" s="56"/>
      <c r="N604" s="56"/>
      <c r="O604" s="56"/>
      <c r="P604" s="56"/>
      <c r="Q604" s="56"/>
      <c r="R604" s="2223"/>
      <c r="S604" s="255"/>
    </row>
    <row r="605" spans="1:19">
      <c r="A605" s="255"/>
      <c r="B605" s="56"/>
      <c r="C605" s="56"/>
      <c r="D605" s="56"/>
      <c r="E605" s="56"/>
      <c r="F605" s="56"/>
      <c r="G605" s="56"/>
      <c r="H605" s="56"/>
      <c r="I605" s="56"/>
      <c r="J605" s="56"/>
      <c r="K605" s="56"/>
      <c r="L605" s="56"/>
      <c r="M605" s="56"/>
      <c r="N605" s="56"/>
      <c r="O605" s="56"/>
      <c r="P605" s="56"/>
      <c r="Q605" s="56"/>
      <c r="R605" s="2223"/>
      <c r="S605" s="255"/>
    </row>
    <row r="606" spans="1:19">
      <c r="A606" s="255"/>
      <c r="B606" s="56"/>
      <c r="C606" s="56"/>
      <c r="D606" s="56"/>
      <c r="E606" s="56"/>
      <c r="F606" s="56"/>
      <c r="G606" s="56"/>
      <c r="H606" s="56"/>
      <c r="I606" s="56"/>
      <c r="J606" s="56"/>
      <c r="K606" s="56"/>
      <c r="L606" s="56"/>
      <c r="M606" s="56"/>
      <c r="N606" s="56"/>
      <c r="O606" s="56"/>
      <c r="P606" s="56"/>
      <c r="Q606" s="56"/>
      <c r="R606" s="2223"/>
      <c r="S606" s="255"/>
    </row>
    <row r="607" spans="1:19">
      <c r="A607" s="255"/>
      <c r="B607" s="56"/>
      <c r="C607" s="56"/>
      <c r="D607" s="56"/>
      <c r="E607" s="56"/>
      <c r="F607" s="56"/>
      <c r="G607" s="56"/>
      <c r="H607" s="56"/>
      <c r="I607" s="56"/>
      <c r="J607" s="56"/>
      <c r="K607" s="56"/>
      <c r="L607" s="56"/>
      <c r="M607" s="56"/>
      <c r="N607" s="56"/>
      <c r="O607" s="56"/>
      <c r="P607" s="56"/>
      <c r="Q607" s="56"/>
      <c r="R607" s="2223"/>
      <c r="S607" s="255"/>
    </row>
    <row r="608" spans="1:19">
      <c r="A608" s="255"/>
      <c r="B608" s="56"/>
      <c r="C608" s="56"/>
      <c r="D608" s="56"/>
      <c r="E608" s="56"/>
      <c r="F608" s="56"/>
      <c r="G608" s="56"/>
      <c r="H608" s="56"/>
      <c r="I608" s="56"/>
      <c r="J608" s="56"/>
      <c r="K608" s="56"/>
      <c r="L608" s="56"/>
      <c r="M608" s="56"/>
      <c r="N608" s="56"/>
      <c r="O608" s="56"/>
      <c r="P608" s="56"/>
      <c r="Q608" s="56"/>
      <c r="R608" s="2223"/>
      <c r="S608" s="255"/>
    </row>
    <row r="609" spans="1:19">
      <c r="A609" s="255"/>
      <c r="B609" s="56"/>
      <c r="C609" s="56"/>
      <c r="D609" s="56"/>
      <c r="E609" s="56"/>
      <c r="F609" s="56"/>
      <c r="G609" s="56"/>
      <c r="H609" s="56"/>
      <c r="I609" s="56"/>
      <c r="J609" s="56"/>
      <c r="K609" s="56"/>
      <c r="L609" s="56"/>
      <c r="M609" s="56"/>
      <c r="N609" s="56"/>
      <c r="O609" s="56"/>
      <c r="P609" s="56"/>
      <c r="Q609" s="56"/>
      <c r="R609" s="2223"/>
      <c r="S609" s="255"/>
    </row>
    <row r="610" spans="1:19">
      <c r="A610" s="255"/>
      <c r="B610" s="56"/>
      <c r="C610" s="56"/>
      <c r="D610" s="56"/>
      <c r="E610" s="56"/>
      <c r="F610" s="56"/>
      <c r="G610" s="56"/>
      <c r="H610" s="56"/>
      <c r="I610" s="56"/>
      <c r="J610" s="56"/>
      <c r="K610" s="56"/>
      <c r="L610" s="56"/>
      <c r="M610" s="56"/>
      <c r="N610" s="56"/>
      <c r="O610" s="56"/>
      <c r="P610" s="56"/>
      <c r="Q610" s="56"/>
      <c r="R610" s="2223"/>
      <c r="S610" s="255"/>
    </row>
    <row r="611" spans="1:19">
      <c r="A611" s="255"/>
      <c r="B611" s="56"/>
      <c r="C611" s="56"/>
      <c r="D611" s="56"/>
      <c r="E611" s="56"/>
      <c r="F611" s="56"/>
      <c r="G611" s="56"/>
      <c r="H611" s="56"/>
      <c r="I611" s="56"/>
      <c r="J611" s="56"/>
      <c r="K611" s="56"/>
      <c r="L611" s="56"/>
      <c r="M611" s="56"/>
      <c r="N611" s="56"/>
      <c r="O611" s="56"/>
      <c r="P611" s="56"/>
      <c r="Q611" s="56"/>
      <c r="R611" s="2223"/>
      <c r="S611" s="255"/>
    </row>
    <row r="612" spans="1:19">
      <c r="A612" s="255"/>
      <c r="B612" s="56"/>
      <c r="C612" s="56"/>
      <c r="D612" s="56"/>
      <c r="E612" s="56"/>
      <c r="F612" s="56"/>
      <c r="G612" s="56"/>
      <c r="H612" s="56"/>
      <c r="I612" s="56"/>
      <c r="J612" s="56"/>
      <c r="K612" s="56"/>
      <c r="L612" s="56"/>
      <c r="M612" s="56"/>
      <c r="N612" s="56"/>
      <c r="O612" s="56"/>
      <c r="P612" s="56"/>
      <c r="Q612" s="56"/>
      <c r="R612" s="2223"/>
      <c r="S612" s="255"/>
    </row>
    <row r="613" spans="1:19">
      <c r="A613" s="255"/>
      <c r="B613" s="56"/>
      <c r="C613" s="56"/>
      <c r="D613" s="56"/>
      <c r="E613" s="56"/>
      <c r="F613" s="56"/>
      <c r="G613" s="56"/>
      <c r="H613" s="56"/>
      <c r="I613" s="56"/>
      <c r="J613" s="56"/>
      <c r="K613" s="56"/>
      <c r="L613" s="56"/>
      <c r="M613" s="56"/>
      <c r="N613" s="56"/>
      <c r="O613" s="56"/>
      <c r="P613" s="56"/>
      <c r="Q613" s="56"/>
      <c r="R613" s="2223"/>
      <c r="S613" s="255"/>
    </row>
    <row r="614" spans="1:19">
      <c r="A614" s="255"/>
      <c r="B614" s="56"/>
      <c r="C614" s="56"/>
      <c r="D614" s="56"/>
      <c r="E614" s="56"/>
      <c r="F614" s="56"/>
      <c r="G614" s="56"/>
      <c r="H614" s="56"/>
      <c r="I614" s="56"/>
      <c r="J614" s="56"/>
      <c r="K614" s="56"/>
      <c r="L614" s="56"/>
      <c r="M614" s="56"/>
      <c r="N614" s="56"/>
      <c r="O614" s="56"/>
      <c r="P614" s="56"/>
      <c r="Q614" s="56"/>
      <c r="R614" s="2223"/>
      <c r="S614" s="255"/>
    </row>
    <row r="615" spans="1:19">
      <c r="A615" s="255"/>
      <c r="B615" s="56"/>
      <c r="C615" s="56"/>
      <c r="D615" s="56"/>
      <c r="E615" s="56"/>
      <c r="F615" s="56"/>
      <c r="G615" s="56"/>
      <c r="H615" s="56"/>
      <c r="I615" s="56"/>
      <c r="J615" s="56"/>
      <c r="K615" s="56"/>
      <c r="L615" s="56"/>
      <c r="M615" s="56"/>
      <c r="N615" s="56"/>
      <c r="O615" s="56"/>
      <c r="P615" s="56"/>
      <c r="Q615" s="56"/>
      <c r="R615" s="2223"/>
      <c r="S615" s="255"/>
    </row>
    <row r="616" spans="1:19">
      <c r="A616" s="255"/>
      <c r="B616" s="56"/>
      <c r="C616" s="56"/>
      <c r="D616" s="56"/>
      <c r="E616" s="56"/>
      <c r="F616" s="56"/>
      <c r="G616" s="56"/>
      <c r="H616" s="56"/>
      <c r="I616" s="56"/>
      <c r="J616" s="56"/>
      <c r="K616" s="56"/>
      <c r="L616" s="56"/>
      <c r="M616" s="56"/>
      <c r="N616" s="56"/>
      <c r="O616" s="56"/>
      <c r="P616" s="56"/>
      <c r="Q616" s="56"/>
      <c r="R616" s="2223"/>
      <c r="S616" s="255"/>
    </row>
    <row r="617" spans="1:19">
      <c r="A617" s="255"/>
      <c r="B617" s="56"/>
      <c r="C617" s="56"/>
      <c r="D617" s="56"/>
      <c r="E617" s="56"/>
      <c r="F617" s="56"/>
      <c r="G617" s="56"/>
      <c r="H617" s="56"/>
      <c r="I617" s="56"/>
      <c r="J617" s="56"/>
      <c r="K617" s="56"/>
      <c r="L617" s="56"/>
      <c r="M617" s="56"/>
      <c r="N617" s="56"/>
      <c r="O617" s="56"/>
      <c r="P617" s="56"/>
      <c r="Q617" s="56"/>
      <c r="R617" s="2223"/>
      <c r="S617" s="255"/>
    </row>
    <row r="618" spans="1:19">
      <c r="A618" s="255"/>
      <c r="B618" s="56"/>
      <c r="C618" s="56"/>
      <c r="D618" s="56"/>
      <c r="E618" s="56"/>
      <c r="F618" s="56"/>
      <c r="G618" s="56"/>
      <c r="H618" s="56"/>
      <c r="I618" s="56"/>
      <c r="J618" s="56"/>
      <c r="K618" s="56"/>
      <c r="L618" s="56"/>
      <c r="M618" s="56"/>
      <c r="N618" s="56"/>
      <c r="O618" s="56"/>
      <c r="P618" s="56"/>
      <c r="Q618" s="56"/>
      <c r="R618" s="2223"/>
      <c r="S618" s="255"/>
    </row>
    <row r="619" spans="1:19">
      <c r="A619" s="255"/>
      <c r="B619" s="56"/>
      <c r="C619" s="56"/>
      <c r="D619" s="56"/>
      <c r="E619" s="56"/>
      <c r="F619" s="56"/>
      <c r="G619" s="56"/>
      <c r="H619" s="56"/>
      <c r="I619" s="56"/>
      <c r="J619" s="56"/>
      <c r="K619" s="56"/>
      <c r="L619" s="56"/>
      <c r="M619" s="56"/>
      <c r="N619" s="56"/>
      <c r="O619" s="56"/>
      <c r="P619" s="56"/>
      <c r="Q619" s="56"/>
      <c r="R619" s="2223"/>
      <c r="S619" s="255"/>
    </row>
    <row r="620" spans="1:19">
      <c r="A620" s="255"/>
      <c r="B620" s="56"/>
      <c r="C620" s="56"/>
      <c r="D620" s="56"/>
      <c r="E620" s="56"/>
      <c r="F620" s="56"/>
      <c r="G620" s="56"/>
      <c r="H620" s="56"/>
      <c r="I620" s="56"/>
      <c r="J620" s="56"/>
      <c r="K620" s="56"/>
      <c r="L620" s="56"/>
      <c r="M620" s="56"/>
      <c r="N620" s="56"/>
      <c r="O620" s="56"/>
      <c r="P620" s="56"/>
      <c r="Q620" s="56"/>
      <c r="R620" s="2223"/>
      <c r="S620" s="255"/>
    </row>
    <row r="621" spans="1:19">
      <c r="A621" s="255"/>
      <c r="B621" s="56"/>
      <c r="C621" s="56"/>
      <c r="D621" s="56"/>
      <c r="E621" s="56"/>
      <c r="F621" s="56"/>
      <c r="G621" s="56"/>
      <c r="H621" s="56"/>
      <c r="I621" s="56"/>
      <c r="J621" s="56"/>
      <c r="K621" s="56"/>
      <c r="L621" s="56"/>
      <c r="M621" s="56"/>
      <c r="N621" s="56"/>
      <c r="O621" s="56"/>
      <c r="P621" s="56"/>
      <c r="Q621" s="56"/>
      <c r="R621" s="2223"/>
      <c r="S621" s="255"/>
    </row>
    <row r="622" spans="1:19">
      <c r="A622" s="255"/>
      <c r="B622" s="56"/>
      <c r="C622" s="56"/>
      <c r="D622" s="56"/>
      <c r="E622" s="56"/>
      <c r="F622" s="56"/>
      <c r="G622" s="56"/>
      <c r="H622" s="56"/>
      <c r="I622" s="56"/>
      <c r="J622" s="56"/>
      <c r="K622" s="56"/>
      <c r="L622" s="56"/>
      <c r="M622" s="56"/>
      <c r="N622" s="56"/>
      <c r="O622" s="56"/>
      <c r="P622" s="56"/>
      <c r="Q622" s="56"/>
      <c r="R622" s="2223"/>
      <c r="S622" s="255"/>
    </row>
    <row r="623" spans="1:19">
      <c r="A623" s="255"/>
      <c r="B623" s="56"/>
      <c r="C623" s="56"/>
      <c r="D623" s="56"/>
      <c r="E623" s="56"/>
      <c r="F623" s="56"/>
      <c r="G623" s="56"/>
      <c r="H623" s="56"/>
      <c r="I623" s="56"/>
      <c r="J623" s="56"/>
      <c r="K623" s="56"/>
      <c r="L623" s="56"/>
      <c r="M623" s="56"/>
      <c r="N623" s="56"/>
      <c r="O623" s="56"/>
      <c r="P623" s="56"/>
      <c r="Q623" s="56"/>
      <c r="R623" s="2223"/>
      <c r="S623" s="255"/>
    </row>
    <row r="624" spans="1:19">
      <c r="A624" s="255"/>
      <c r="B624" s="56"/>
      <c r="C624" s="56"/>
      <c r="D624" s="56"/>
      <c r="E624" s="56"/>
      <c r="F624" s="56"/>
      <c r="G624" s="56"/>
      <c r="H624" s="56"/>
      <c r="I624" s="56"/>
      <c r="J624" s="56"/>
      <c r="K624" s="56"/>
      <c r="L624" s="56"/>
      <c r="M624" s="56"/>
      <c r="N624" s="56"/>
      <c r="O624" s="56"/>
      <c r="P624" s="56"/>
      <c r="Q624" s="56"/>
      <c r="R624" s="2223"/>
      <c r="S624" s="255"/>
    </row>
    <row r="625" spans="1:19">
      <c r="A625" s="255"/>
      <c r="B625" s="56"/>
      <c r="C625" s="56"/>
      <c r="D625" s="56"/>
      <c r="E625" s="56"/>
      <c r="F625" s="56"/>
      <c r="G625" s="56"/>
      <c r="H625" s="56"/>
      <c r="I625" s="56"/>
      <c r="J625" s="56"/>
      <c r="K625" s="56"/>
      <c r="L625" s="56"/>
      <c r="M625" s="56"/>
      <c r="N625" s="56"/>
      <c r="O625" s="56"/>
      <c r="P625" s="56"/>
      <c r="Q625" s="56"/>
      <c r="R625" s="2223"/>
      <c r="S625" s="255"/>
    </row>
    <row r="626" spans="1:19">
      <c r="A626" s="255"/>
      <c r="B626" s="56"/>
      <c r="C626" s="56"/>
      <c r="D626" s="56"/>
      <c r="E626" s="56"/>
      <c r="F626" s="56"/>
      <c r="G626" s="56"/>
      <c r="H626" s="56"/>
      <c r="I626" s="56"/>
      <c r="J626" s="56"/>
      <c r="K626" s="56"/>
      <c r="L626" s="56"/>
      <c r="M626" s="56"/>
      <c r="N626" s="56"/>
      <c r="O626" s="56"/>
      <c r="P626" s="56"/>
      <c r="Q626" s="56"/>
      <c r="R626" s="2223"/>
      <c r="S626" s="255"/>
    </row>
    <row r="627" spans="1:19">
      <c r="A627" s="255"/>
      <c r="B627" s="56"/>
      <c r="C627" s="56"/>
      <c r="D627" s="56"/>
      <c r="E627" s="56"/>
      <c r="F627" s="56"/>
      <c r="G627" s="56"/>
      <c r="H627" s="56"/>
      <c r="I627" s="56"/>
      <c r="J627" s="56"/>
      <c r="K627" s="56"/>
      <c r="L627" s="56"/>
      <c r="M627" s="56"/>
      <c r="N627" s="56"/>
      <c r="O627" s="56"/>
      <c r="P627" s="56"/>
      <c r="Q627" s="56"/>
      <c r="R627" s="2223"/>
      <c r="S627" s="255"/>
    </row>
    <row r="628" spans="1:19">
      <c r="A628" s="255"/>
      <c r="B628" s="56"/>
      <c r="C628" s="56"/>
      <c r="D628" s="56"/>
      <c r="E628" s="56"/>
      <c r="F628" s="56"/>
      <c r="G628" s="56"/>
      <c r="H628" s="56"/>
      <c r="I628" s="56"/>
      <c r="J628" s="56"/>
      <c r="K628" s="56"/>
      <c r="L628" s="56"/>
      <c r="M628" s="56"/>
      <c r="N628" s="56"/>
      <c r="O628" s="56"/>
      <c r="P628" s="56"/>
      <c r="Q628" s="56"/>
      <c r="R628" s="2223"/>
      <c r="S628" s="255"/>
    </row>
    <row r="629" spans="1:19">
      <c r="A629" s="255"/>
      <c r="B629" s="56"/>
      <c r="C629" s="56"/>
      <c r="D629" s="56"/>
      <c r="E629" s="56"/>
      <c r="F629" s="56"/>
      <c r="G629" s="56"/>
      <c r="H629" s="56"/>
      <c r="I629" s="56"/>
      <c r="J629" s="56"/>
      <c r="K629" s="56"/>
      <c r="L629" s="56"/>
      <c r="M629" s="56"/>
      <c r="N629" s="56"/>
      <c r="O629" s="56"/>
      <c r="P629" s="56"/>
      <c r="Q629" s="56"/>
      <c r="R629" s="2223"/>
      <c r="S629" s="255"/>
    </row>
    <row r="630" spans="1:19">
      <c r="A630" s="255"/>
      <c r="B630" s="56"/>
      <c r="C630" s="56"/>
      <c r="D630" s="56"/>
      <c r="E630" s="56"/>
      <c r="F630" s="56"/>
      <c r="G630" s="56"/>
      <c r="H630" s="56"/>
      <c r="I630" s="56"/>
      <c r="J630" s="56"/>
      <c r="K630" s="56"/>
      <c r="L630" s="56"/>
      <c r="M630" s="56"/>
      <c r="N630" s="56"/>
      <c r="O630" s="56"/>
      <c r="P630" s="56"/>
      <c r="Q630" s="56"/>
      <c r="R630" s="2223"/>
      <c r="S630" s="255"/>
    </row>
    <row r="631" spans="1:19">
      <c r="A631" s="255"/>
      <c r="B631" s="56"/>
      <c r="C631" s="56"/>
      <c r="D631" s="56"/>
      <c r="E631" s="56"/>
      <c r="F631" s="56"/>
      <c r="G631" s="56"/>
      <c r="H631" s="56"/>
      <c r="I631" s="56"/>
      <c r="J631" s="56"/>
      <c r="K631" s="56"/>
      <c r="L631" s="56"/>
      <c r="M631" s="56"/>
      <c r="N631" s="56"/>
      <c r="O631" s="56"/>
      <c r="P631" s="56"/>
      <c r="Q631" s="56"/>
      <c r="R631" s="2223"/>
      <c r="S631" s="255"/>
    </row>
    <row r="632" spans="1:19">
      <c r="A632" s="255"/>
      <c r="B632" s="56"/>
      <c r="C632" s="56"/>
      <c r="D632" s="56"/>
      <c r="E632" s="56"/>
      <c r="F632" s="56"/>
      <c r="G632" s="56"/>
      <c r="H632" s="56"/>
      <c r="I632" s="56"/>
      <c r="J632" s="56"/>
      <c r="K632" s="56"/>
      <c r="L632" s="56"/>
      <c r="M632" s="56"/>
      <c r="N632" s="56"/>
      <c r="O632" s="56"/>
      <c r="P632" s="56"/>
      <c r="Q632" s="56"/>
      <c r="R632" s="2223"/>
      <c r="S632" s="255"/>
    </row>
    <row r="633" spans="1:19">
      <c r="A633" s="255"/>
      <c r="B633" s="56"/>
      <c r="C633" s="56"/>
      <c r="D633" s="56"/>
      <c r="E633" s="56"/>
      <c r="F633" s="56"/>
      <c r="G633" s="56"/>
      <c r="H633" s="56"/>
      <c r="I633" s="56"/>
      <c r="J633" s="56"/>
      <c r="K633" s="56"/>
      <c r="L633" s="56"/>
      <c r="M633" s="56"/>
      <c r="N633" s="56"/>
      <c r="O633" s="56"/>
      <c r="P633" s="56"/>
      <c r="Q633" s="56"/>
      <c r="R633" s="2223"/>
      <c r="S633" s="255"/>
    </row>
    <row r="634" spans="1:19">
      <c r="A634" s="255"/>
      <c r="B634" s="56"/>
      <c r="C634" s="56"/>
      <c r="D634" s="56"/>
      <c r="E634" s="56"/>
      <c r="F634" s="56"/>
      <c r="G634" s="56"/>
      <c r="H634" s="56"/>
      <c r="I634" s="56"/>
      <c r="J634" s="56"/>
      <c r="K634" s="56"/>
      <c r="L634" s="56"/>
      <c r="M634" s="56"/>
      <c r="N634" s="56"/>
      <c r="O634" s="56"/>
      <c r="P634" s="56"/>
      <c r="Q634" s="56"/>
      <c r="R634" s="2223"/>
      <c r="S634" s="255"/>
    </row>
    <row r="635" spans="1:19">
      <c r="A635" s="255"/>
      <c r="B635" s="56"/>
      <c r="C635" s="56"/>
      <c r="D635" s="56"/>
      <c r="E635" s="56"/>
      <c r="F635" s="56"/>
      <c r="G635" s="56"/>
      <c r="H635" s="56"/>
      <c r="I635" s="56"/>
      <c r="J635" s="56"/>
      <c r="K635" s="56"/>
      <c r="L635" s="56"/>
      <c r="M635" s="56"/>
      <c r="N635" s="56"/>
      <c r="O635" s="56"/>
      <c r="P635" s="56"/>
      <c r="Q635" s="56"/>
      <c r="R635" s="2223"/>
      <c r="S635" s="255"/>
    </row>
    <row r="636" spans="1:19">
      <c r="A636" s="255"/>
      <c r="B636" s="56"/>
      <c r="C636" s="56"/>
      <c r="D636" s="56"/>
      <c r="E636" s="56"/>
      <c r="F636" s="56"/>
      <c r="G636" s="56"/>
      <c r="H636" s="56"/>
      <c r="I636" s="56"/>
      <c r="J636" s="56"/>
      <c r="K636" s="56"/>
      <c r="L636" s="56"/>
      <c r="M636" s="56"/>
      <c r="N636" s="56"/>
      <c r="O636" s="56"/>
      <c r="P636" s="56"/>
      <c r="Q636" s="56"/>
      <c r="R636" s="2223"/>
      <c r="S636" s="255"/>
    </row>
    <row r="637" spans="1:19">
      <c r="A637" s="255"/>
      <c r="B637" s="56"/>
      <c r="C637" s="56"/>
      <c r="D637" s="56"/>
      <c r="E637" s="56"/>
      <c r="F637" s="56"/>
      <c r="G637" s="56"/>
      <c r="H637" s="56"/>
      <c r="I637" s="56"/>
      <c r="J637" s="56"/>
      <c r="K637" s="56"/>
      <c r="L637" s="56"/>
      <c r="M637" s="56"/>
      <c r="N637" s="56"/>
      <c r="O637" s="56"/>
      <c r="P637" s="56"/>
      <c r="Q637" s="56"/>
      <c r="R637" s="2223"/>
      <c r="S637" s="255"/>
    </row>
    <row r="638" spans="1:19">
      <c r="A638" s="255"/>
      <c r="B638" s="56"/>
      <c r="C638" s="56"/>
      <c r="D638" s="56"/>
      <c r="E638" s="56"/>
      <c r="F638" s="56"/>
      <c r="G638" s="56"/>
      <c r="H638" s="56"/>
      <c r="I638" s="56"/>
      <c r="J638" s="56"/>
      <c r="K638" s="56"/>
      <c r="L638" s="56"/>
      <c r="M638" s="56"/>
      <c r="N638" s="56"/>
      <c r="O638" s="56"/>
      <c r="P638" s="56"/>
      <c r="Q638" s="56"/>
      <c r="R638" s="2223"/>
      <c r="S638" s="255"/>
    </row>
    <row r="639" spans="1:19">
      <c r="A639" s="255"/>
      <c r="B639" s="56"/>
      <c r="C639" s="56"/>
      <c r="D639" s="56"/>
      <c r="E639" s="56"/>
      <c r="F639" s="56"/>
      <c r="G639" s="56"/>
      <c r="H639" s="56"/>
      <c r="I639" s="56"/>
      <c r="J639" s="56"/>
      <c r="K639" s="56"/>
      <c r="L639" s="56"/>
      <c r="M639" s="56"/>
      <c r="N639" s="56"/>
      <c r="O639" s="56"/>
      <c r="P639" s="56"/>
      <c r="Q639" s="56"/>
      <c r="R639" s="2223"/>
      <c r="S639" s="255"/>
    </row>
    <row r="640" spans="1:19">
      <c r="A640" s="255"/>
      <c r="B640" s="56"/>
      <c r="C640" s="56"/>
      <c r="D640" s="56"/>
      <c r="E640" s="56"/>
      <c r="F640" s="56"/>
      <c r="G640" s="56"/>
      <c r="H640" s="56"/>
      <c r="I640" s="56"/>
      <c r="J640" s="56"/>
      <c r="K640" s="56"/>
      <c r="L640" s="56"/>
      <c r="M640" s="56"/>
      <c r="N640" s="56"/>
      <c r="O640" s="56"/>
      <c r="P640" s="56"/>
      <c r="Q640" s="56"/>
      <c r="R640" s="2223"/>
      <c r="S640" s="255"/>
    </row>
    <row r="641" spans="1:19">
      <c r="A641" s="255"/>
      <c r="B641" s="56"/>
      <c r="C641" s="56"/>
      <c r="D641" s="56"/>
      <c r="E641" s="56"/>
      <c r="F641" s="56"/>
      <c r="G641" s="56"/>
      <c r="H641" s="56"/>
      <c r="I641" s="56"/>
      <c r="J641" s="56"/>
      <c r="K641" s="56"/>
      <c r="L641" s="56"/>
      <c r="M641" s="56"/>
      <c r="N641" s="56"/>
      <c r="O641" s="56"/>
      <c r="P641" s="56"/>
      <c r="Q641" s="56"/>
      <c r="R641" s="2223"/>
      <c r="S641" s="255"/>
    </row>
    <row r="642" spans="1:19">
      <c r="A642" s="255"/>
      <c r="B642" s="56"/>
      <c r="C642" s="56"/>
      <c r="D642" s="56"/>
      <c r="E642" s="56"/>
      <c r="F642" s="56"/>
      <c r="G642" s="56"/>
      <c r="H642" s="56"/>
      <c r="I642" s="56"/>
      <c r="J642" s="56"/>
      <c r="K642" s="56"/>
      <c r="L642" s="56"/>
      <c r="M642" s="56"/>
      <c r="N642" s="56"/>
      <c r="O642" s="56"/>
      <c r="P642" s="56"/>
      <c r="Q642" s="56"/>
      <c r="R642" s="2223"/>
      <c r="S642" s="255"/>
    </row>
    <row r="643" spans="1:19">
      <c r="A643" s="255"/>
      <c r="B643" s="56"/>
      <c r="C643" s="56"/>
      <c r="D643" s="56"/>
      <c r="E643" s="56"/>
      <c r="F643" s="56"/>
      <c r="G643" s="56"/>
      <c r="H643" s="56"/>
      <c r="I643" s="56"/>
      <c r="J643" s="56"/>
      <c r="K643" s="56"/>
      <c r="L643" s="56"/>
      <c r="M643" s="56"/>
      <c r="N643" s="56"/>
      <c r="O643" s="56"/>
      <c r="P643" s="56"/>
      <c r="Q643" s="56"/>
      <c r="R643" s="2223"/>
      <c r="S643" s="255"/>
    </row>
    <row r="644" spans="1:19">
      <c r="A644" s="255"/>
      <c r="B644" s="56"/>
      <c r="C644" s="56"/>
      <c r="D644" s="56"/>
      <c r="E644" s="56"/>
      <c r="F644" s="56"/>
      <c r="G644" s="56"/>
      <c r="H644" s="56"/>
      <c r="I644" s="56"/>
      <c r="J644" s="56"/>
      <c r="K644" s="56"/>
      <c r="L644" s="56"/>
      <c r="M644" s="56"/>
      <c r="N644" s="56"/>
      <c r="O644" s="56"/>
      <c r="P644" s="56"/>
      <c r="Q644" s="56"/>
      <c r="R644" s="2223"/>
      <c r="S644" s="255"/>
    </row>
    <row r="645" spans="1:19">
      <c r="A645" s="255"/>
      <c r="B645" s="56"/>
      <c r="C645" s="56"/>
      <c r="D645" s="56"/>
      <c r="E645" s="56"/>
      <c r="F645" s="56"/>
      <c r="G645" s="56"/>
      <c r="H645" s="56"/>
      <c r="I645" s="56"/>
      <c r="J645" s="56"/>
      <c r="K645" s="56"/>
      <c r="L645" s="56"/>
      <c r="M645" s="56"/>
      <c r="N645" s="56"/>
      <c r="O645" s="56"/>
      <c r="P645" s="56"/>
      <c r="Q645" s="56"/>
      <c r="R645" s="2223"/>
      <c r="S645" s="255"/>
    </row>
    <row r="646" spans="1:19">
      <c r="A646" s="255"/>
      <c r="B646" s="56"/>
      <c r="C646" s="56"/>
      <c r="D646" s="56"/>
      <c r="E646" s="56"/>
      <c r="F646" s="56"/>
      <c r="G646" s="56"/>
      <c r="H646" s="56"/>
      <c r="I646" s="56"/>
      <c r="J646" s="56"/>
      <c r="K646" s="56"/>
      <c r="L646" s="56"/>
      <c r="M646" s="56"/>
      <c r="N646" s="56"/>
      <c r="O646" s="56"/>
      <c r="P646" s="56"/>
      <c r="Q646" s="56"/>
      <c r="R646" s="2223"/>
      <c r="S646" s="255"/>
    </row>
    <row r="647" spans="1:19">
      <c r="A647" s="255"/>
      <c r="B647" s="56"/>
      <c r="C647" s="56"/>
      <c r="D647" s="56"/>
      <c r="E647" s="56"/>
      <c r="F647" s="56"/>
      <c r="G647" s="56"/>
      <c r="H647" s="56"/>
      <c r="I647" s="56"/>
      <c r="J647" s="56"/>
      <c r="K647" s="56"/>
      <c r="L647" s="56"/>
      <c r="M647" s="56"/>
      <c r="N647" s="56"/>
      <c r="O647" s="56"/>
      <c r="P647" s="56"/>
      <c r="Q647" s="56"/>
      <c r="R647" s="2223"/>
      <c r="S647" s="255"/>
    </row>
    <row r="648" spans="1:19">
      <c r="A648" s="255"/>
      <c r="B648" s="56"/>
      <c r="C648" s="56"/>
      <c r="D648" s="56"/>
      <c r="E648" s="56"/>
      <c r="F648" s="56"/>
      <c r="G648" s="56"/>
      <c r="H648" s="56"/>
      <c r="I648" s="56"/>
      <c r="J648" s="56"/>
      <c r="K648" s="56"/>
      <c r="L648" s="56"/>
      <c r="M648" s="56"/>
      <c r="N648" s="56"/>
      <c r="O648" s="56"/>
      <c r="P648" s="56"/>
      <c r="Q648" s="56"/>
      <c r="R648" s="2223"/>
      <c r="S648" s="255"/>
    </row>
    <row r="649" spans="1:19">
      <c r="A649" s="255"/>
      <c r="B649" s="56"/>
      <c r="C649" s="56"/>
      <c r="D649" s="56"/>
      <c r="E649" s="56"/>
      <c r="F649" s="56"/>
      <c r="G649" s="56"/>
      <c r="H649" s="56"/>
      <c r="I649" s="56"/>
      <c r="J649" s="56"/>
      <c r="K649" s="56"/>
      <c r="L649" s="56"/>
      <c r="M649" s="56"/>
      <c r="N649" s="56"/>
      <c r="O649" s="56"/>
      <c r="P649" s="56"/>
      <c r="Q649" s="56"/>
      <c r="R649" s="2223"/>
      <c r="S649" s="255"/>
    </row>
    <row r="650" spans="1:19">
      <c r="A650" s="255"/>
      <c r="B650" s="56"/>
      <c r="C650" s="56"/>
      <c r="D650" s="56"/>
      <c r="E650" s="56"/>
      <c r="F650" s="56"/>
      <c r="G650" s="56"/>
      <c r="H650" s="56"/>
      <c r="I650" s="56"/>
      <c r="J650" s="56"/>
      <c r="K650" s="56"/>
      <c r="L650" s="56"/>
      <c r="M650" s="56"/>
      <c r="N650" s="56"/>
      <c r="O650" s="56"/>
      <c r="P650" s="56"/>
      <c r="Q650" s="56"/>
      <c r="R650" s="2223"/>
      <c r="S650" s="255"/>
    </row>
    <row r="651" spans="1:19">
      <c r="A651" s="255"/>
      <c r="B651" s="56"/>
      <c r="C651" s="56"/>
      <c r="D651" s="56"/>
      <c r="E651" s="56"/>
      <c r="F651" s="56"/>
      <c r="G651" s="56"/>
      <c r="H651" s="56"/>
      <c r="I651" s="56"/>
      <c r="J651" s="56"/>
      <c r="K651" s="56"/>
      <c r="L651" s="56"/>
      <c r="M651" s="56"/>
      <c r="N651" s="56"/>
      <c r="O651" s="56"/>
      <c r="P651" s="56"/>
      <c r="Q651" s="56"/>
      <c r="R651" s="2223"/>
      <c r="S651" s="255"/>
    </row>
    <row r="652" spans="1:19">
      <c r="A652" s="255"/>
      <c r="B652" s="56"/>
      <c r="C652" s="56"/>
      <c r="D652" s="56"/>
      <c r="E652" s="56"/>
      <c r="F652" s="56"/>
      <c r="G652" s="56"/>
      <c r="H652" s="56"/>
      <c r="I652" s="56"/>
      <c r="J652" s="56"/>
      <c r="K652" s="56"/>
      <c r="L652" s="56"/>
      <c r="M652" s="56"/>
      <c r="N652" s="56"/>
      <c r="O652" s="56"/>
      <c r="P652" s="56"/>
      <c r="Q652" s="56"/>
      <c r="R652" s="2223"/>
      <c r="S652" s="255"/>
    </row>
    <row r="653" spans="1:19">
      <c r="A653" s="255"/>
      <c r="B653" s="56"/>
      <c r="C653" s="56"/>
      <c r="D653" s="56"/>
      <c r="E653" s="56"/>
      <c r="F653" s="56"/>
      <c r="G653" s="56"/>
      <c r="H653" s="56"/>
      <c r="I653" s="56"/>
      <c r="J653" s="56"/>
      <c r="K653" s="56"/>
      <c r="L653" s="56"/>
      <c r="M653" s="56"/>
      <c r="N653" s="56"/>
      <c r="O653" s="56"/>
      <c r="P653" s="56"/>
      <c r="Q653" s="56"/>
      <c r="R653" s="2223"/>
      <c r="S653" s="255"/>
    </row>
    <row r="654" spans="1:19">
      <c r="A654" s="255"/>
      <c r="B654" s="56"/>
      <c r="C654" s="56"/>
      <c r="D654" s="56"/>
      <c r="E654" s="56"/>
      <c r="F654" s="56"/>
      <c r="G654" s="56"/>
      <c r="H654" s="56"/>
      <c r="I654" s="56"/>
      <c r="J654" s="56"/>
      <c r="K654" s="56"/>
      <c r="L654" s="56"/>
      <c r="M654" s="56"/>
      <c r="N654" s="56"/>
      <c r="O654" s="56"/>
      <c r="P654" s="56"/>
      <c r="Q654" s="56"/>
      <c r="R654" s="2223"/>
      <c r="S654" s="255"/>
    </row>
    <row r="655" spans="1:19">
      <c r="A655" s="255"/>
      <c r="B655" s="56"/>
      <c r="C655" s="56"/>
      <c r="D655" s="56"/>
      <c r="E655" s="56"/>
      <c r="F655" s="56"/>
      <c r="G655" s="56"/>
      <c r="H655" s="56"/>
      <c r="I655" s="56"/>
      <c r="J655" s="56"/>
      <c r="K655" s="56"/>
      <c r="L655" s="56"/>
      <c r="M655" s="56"/>
      <c r="N655" s="56"/>
      <c r="O655" s="56"/>
      <c r="P655" s="56"/>
      <c r="Q655" s="56"/>
      <c r="R655" s="2223"/>
      <c r="S655" s="255"/>
    </row>
    <row r="656" spans="1:19">
      <c r="A656" s="255"/>
      <c r="B656" s="56"/>
      <c r="C656" s="56"/>
      <c r="D656" s="56"/>
      <c r="E656" s="56"/>
      <c r="F656" s="56"/>
      <c r="G656" s="56"/>
      <c r="H656" s="56"/>
      <c r="I656" s="56"/>
      <c r="J656" s="56"/>
      <c r="K656" s="56"/>
      <c r="L656" s="56"/>
      <c r="M656" s="56"/>
      <c r="N656" s="56"/>
      <c r="O656" s="56"/>
      <c r="P656" s="56"/>
      <c r="Q656" s="56"/>
      <c r="R656" s="2223"/>
      <c r="S656" s="255"/>
    </row>
    <row r="657" spans="1:19">
      <c r="A657" s="255"/>
      <c r="B657" s="56"/>
      <c r="C657" s="56"/>
      <c r="D657" s="56"/>
      <c r="E657" s="56"/>
      <c r="F657" s="56"/>
      <c r="G657" s="56"/>
      <c r="H657" s="56"/>
      <c r="I657" s="56"/>
      <c r="J657" s="56"/>
      <c r="K657" s="56"/>
      <c r="L657" s="56"/>
      <c r="M657" s="56"/>
      <c r="N657" s="56"/>
      <c r="O657" s="56"/>
      <c r="P657" s="56"/>
      <c r="Q657" s="56"/>
      <c r="R657" s="2223"/>
      <c r="S657" s="255"/>
    </row>
    <row r="658" spans="1:19">
      <c r="A658" s="255"/>
      <c r="B658" s="56"/>
      <c r="C658" s="56"/>
      <c r="D658" s="56"/>
      <c r="E658" s="56"/>
      <c r="F658" s="56"/>
      <c r="G658" s="56"/>
      <c r="H658" s="56"/>
      <c r="I658" s="56"/>
      <c r="J658" s="56"/>
      <c r="K658" s="56"/>
      <c r="L658" s="56"/>
      <c r="M658" s="56"/>
      <c r="N658" s="56"/>
      <c r="O658" s="56"/>
      <c r="P658" s="56"/>
      <c r="Q658" s="56"/>
      <c r="R658" s="2223"/>
      <c r="S658" s="255"/>
    </row>
    <row r="659" spans="1:19">
      <c r="A659" s="255"/>
      <c r="B659" s="56"/>
      <c r="C659" s="56"/>
      <c r="D659" s="56"/>
      <c r="E659" s="56"/>
      <c r="F659" s="56"/>
      <c r="G659" s="56"/>
      <c r="H659" s="56"/>
      <c r="I659" s="56"/>
      <c r="J659" s="56"/>
      <c r="K659" s="56"/>
      <c r="L659" s="56"/>
      <c r="M659" s="56"/>
      <c r="N659" s="56"/>
      <c r="O659" s="56"/>
      <c r="P659" s="56"/>
      <c r="Q659" s="56"/>
      <c r="R659" s="2223"/>
      <c r="S659" s="255"/>
    </row>
    <row r="660" spans="1:19">
      <c r="A660" s="255"/>
      <c r="B660" s="56"/>
      <c r="C660" s="56"/>
      <c r="D660" s="56"/>
      <c r="E660" s="56"/>
      <c r="F660" s="56"/>
      <c r="G660" s="56"/>
      <c r="H660" s="56"/>
      <c r="I660" s="56"/>
      <c r="J660" s="56"/>
      <c r="K660" s="56"/>
      <c r="L660" s="56"/>
      <c r="M660" s="56"/>
      <c r="N660" s="56"/>
      <c r="O660" s="56"/>
      <c r="P660" s="56"/>
      <c r="Q660" s="56"/>
      <c r="R660" s="2223"/>
      <c r="S660" s="255"/>
    </row>
    <row r="661" spans="1:19">
      <c r="A661" s="255"/>
      <c r="B661" s="56"/>
      <c r="C661" s="56"/>
      <c r="D661" s="56"/>
      <c r="E661" s="56"/>
      <c r="F661" s="56"/>
      <c r="G661" s="56"/>
      <c r="H661" s="56"/>
      <c r="I661" s="56"/>
      <c r="J661" s="56"/>
      <c r="K661" s="56"/>
      <c r="L661" s="56"/>
      <c r="M661" s="56"/>
      <c r="N661" s="56"/>
      <c r="O661" s="56"/>
      <c r="P661" s="56"/>
      <c r="Q661" s="56"/>
      <c r="R661" s="2223"/>
      <c r="S661" s="255"/>
    </row>
    <row r="662" spans="1:19">
      <c r="A662" s="255"/>
      <c r="B662" s="56"/>
      <c r="C662" s="56"/>
      <c r="D662" s="56"/>
      <c r="E662" s="56"/>
      <c r="F662" s="56"/>
      <c r="G662" s="56"/>
      <c r="H662" s="56"/>
      <c r="I662" s="56"/>
      <c r="J662" s="56"/>
      <c r="K662" s="56"/>
      <c r="L662" s="56"/>
      <c r="M662" s="56"/>
      <c r="N662" s="56"/>
      <c r="O662" s="56"/>
      <c r="P662" s="56"/>
      <c r="Q662" s="56"/>
      <c r="R662" s="2223"/>
      <c r="S662" s="255"/>
    </row>
    <row r="663" spans="1:19">
      <c r="A663" s="255"/>
      <c r="B663" s="56"/>
      <c r="C663" s="56"/>
      <c r="D663" s="56"/>
      <c r="E663" s="56"/>
      <c r="F663" s="56"/>
      <c r="G663" s="56"/>
      <c r="H663" s="56"/>
      <c r="I663" s="56"/>
      <c r="J663" s="56"/>
      <c r="K663" s="56"/>
      <c r="L663" s="56"/>
      <c r="M663" s="56"/>
      <c r="N663" s="56"/>
      <c r="O663" s="56"/>
      <c r="P663" s="56"/>
      <c r="Q663" s="56"/>
      <c r="R663" s="2223"/>
      <c r="S663" s="255"/>
    </row>
    <row r="664" spans="1:19">
      <c r="A664" s="255"/>
      <c r="B664" s="56"/>
      <c r="C664" s="56"/>
      <c r="D664" s="56"/>
      <c r="E664" s="56"/>
      <c r="F664" s="56"/>
      <c r="G664" s="56"/>
      <c r="H664" s="56"/>
      <c r="I664" s="56"/>
      <c r="J664" s="56"/>
      <c r="K664" s="56"/>
      <c r="L664" s="56"/>
      <c r="M664" s="56"/>
      <c r="N664" s="56"/>
      <c r="O664" s="56"/>
      <c r="P664" s="56"/>
      <c r="Q664" s="56"/>
      <c r="R664" s="2223"/>
      <c r="S664" s="255"/>
    </row>
    <row r="665" spans="1:19">
      <c r="A665" s="255"/>
      <c r="B665" s="56"/>
      <c r="C665" s="56"/>
      <c r="D665" s="56"/>
      <c r="E665" s="56"/>
      <c r="F665" s="56"/>
      <c r="G665" s="56"/>
      <c r="H665" s="56"/>
      <c r="I665" s="56"/>
      <c r="J665" s="56"/>
      <c r="K665" s="56"/>
      <c r="L665" s="56"/>
      <c r="M665" s="56"/>
      <c r="N665" s="56"/>
      <c r="O665" s="56"/>
      <c r="P665" s="56"/>
      <c r="Q665" s="56"/>
      <c r="R665" s="2223"/>
      <c r="S665" s="255"/>
    </row>
    <row r="666" spans="1:19">
      <c r="A666" s="255"/>
      <c r="B666" s="56"/>
      <c r="C666" s="56"/>
      <c r="D666" s="56"/>
      <c r="E666" s="56"/>
      <c r="F666" s="56"/>
      <c r="G666" s="56"/>
      <c r="H666" s="56"/>
      <c r="I666" s="56"/>
      <c r="J666" s="56"/>
      <c r="K666" s="56"/>
      <c r="L666" s="56"/>
      <c r="M666" s="56"/>
      <c r="N666" s="56"/>
      <c r="O666" s="56"/>
      <c r="P666" s="56"/>
      <c r="Q666" s="56"/>
      <c r="R666" s="2223"/>
      <c r="S666" s="255"/>
    </row>
    <row r="667" spans="1:19">
      <c r="A667" s="255"/>
      <c r="B667" s="56"/>
      <c r="C667" s="56"/>
      <c r="D667" s="56"/>
      <c r="E667" s="56"/>
      <c r="F667" s="56"/>
      <c r="G667" s="56"/>
      <c r="H667" s="56"/>
      <c r="I667" s="56"/>
      <c r="J667" s="56"/>
      <c r="K667" s="56"/>
      <c r="L667" s="56"/>
      <c r="M667" s="56"/>
      <c r="N667" s="56"/>
      <c r="O667" s="56"/>
      <c r="P667" s="56"/>
      <c r="Q667" s="56"/>
      <c r="R667" s="2223"/>
      <c r="S667" s="255"/>
    </row>
    <row r="668" spans="1:19">
      <c r="A668" s="255"/>
      <c r="B668" s="56"/>
      <c r="C668" s="56"/>
      <c r="D668" s="56"/>
      <c r="E668" s="56"/>
      <c r="F668" s="56"/>
      <c r="G668" s="56"/>
      <c r="H668" s="56"/>
      <c r="I668" s="56"/>
      <c r="J668" s="56"/>
      <c r="K668" s="56"/>
      <c r="L668" s="56"/>
      <c r="M668" s="56"/>
      <c r="N668" s="56"/>
      <c r="O668" s="56"/>
      <c r="P668" s="56"/>
      <c r="Q668" s="56"/>
      <c r="R668" s="2223"/>
      <c r="S668" s="255"/>
    </row>
    <row r="669" spans="1:19">
      <c r="A669" s="255"/>
      <c r="B669" s="56"/>
      <c r="C669" s="56"/>
      <c r="D669" s="56"/>
      <c r="E669" s="56"/>
      <c r="F669" s="56"/>
      <c r="G669" s="56"/>
      <c r="H669" s="56"/>
      <c r="I669" s="56"/>
      <c r="J669" s="56"/>
      <c r="K669" s="56"/>
      <c r="L669" s="56"/>
      <c r="M669" s="56"/>
      <c r="N669" s="56"/>
      <c r="O669" s="56"/>
      <c r="P669" s="56"/>
      <c r="Q669" s="56"/>
      <c r="R669" s="2223"/>
      <c r="S669" s="255"/>
    </row>
    <row r="670" spans="1:19">
      <c r="A670" s="255"/>
      <c r="B670" s="56"/>
      <c r="C670" s="56"/>
      <c r="D670" s="56"/>
      <c r="E670" s="56"/>
      <c r="F670" s="56"/>
      <c r="G670" s="56"/>
      <c r="H670" s="56"/>
      <c r="I670" s="56"/>
      <c r="J670" s="56"/>
      <c r="K670" s="56"/>
      <c r="L670" s="56"/>
      <c r="M670" s="56"/>
      <c r="N670" s="56"/>
      <c r="O670" s="56"/>
      <c r="P670" s="56"/>
      <c r="Q670" s="56"/>
      <c r="R670" s="2223"/>
      <c r="S670" s="255"/>
    </row>
    <row r="671" spans="1:19">
      <c r="A671" s="255"/>
      <c r="B671" s="56"/>
      <c r="C671" s="56"/>
      <c r="D671" s="56"/>
      <c r="E671" s="56"/>
      <c r="F671" s="56"/>
      <c r="G671" s="56"/>
      <c r="H671" s="56"/>
      <c r="I671" s="56"/>
      <c r="J671" s="56"/>
      <c r="K671" s="56"/>
      <c r="L671" s="56"/>
      <c r="M671" s="56"/>
      <c r="N671" s="56"/>
      <c r="O671" s="56"/>
      <c r="P671" s="56"/>
      <c r="Q671" s="56"/>
      <c r="R671" s="2223"/>
      <c r="S671" s="255"/>
    </row>
    <row r="672" spans="1:19">
      <c r="A672" s="255"/>
      <c r="B672" s="56"/>
      <c r="C672" s="56"/>
      <c r="D672" s="56"/>
      <c r="E672" s="56"/>
      <c r="F672" s="56"/>
      <c r="G672" s="56"/>
      <c r="H672" s="56"/>
      <c r="I672" s="56"/>
      <c r="J672" s="56"/>
      <c r="K672" s="56"/>
      <c r="L672" s="56"/>
      <c r="M672" s="56"/>
      <c r="N672" s="56"/>
      <c r="O672" s="56"/>
      <c r="P672" s="56"/>
      <c r="Q672" s="56"/>
      <c r="R672" s="2223"/>
      <c r="S672" s="255"/>
    </row>
    <row r="673" spans="1:19">
      <c r="A673" s="255"/>
      <c r="B673" s="56"/>
      <c r="C673" s="56"/>
      <c r="D673" s="56"/>
      <c r="E673" s="56"/>
      <c r="F673" s="56"/>
      <c r="G673" s="56"/>
      <c r="H673" s="56"/>
      <c r="I673" s="56"/>
      <c r="J673" s="56"/>
      <c r="K673" s="56"/>
      <c r="L673" s="56"/>
      <c r="M673" s="56"/>
      <c r="N673" s="56"/>
      <c r="O673" s="56"/>
      <c r="P673" s="56"/>
      <c r="Q673" s="56"/>
      <c r="R673" s="2223"/>
      <c r="S673" s="255"/>
    </row>
    <row r="674" spans="1:19">
      <c r="A674" s="255"/>
      <c r="B674" s="56"/>
      <c r="C674" s="56"/>
      <c r="D674" s="56"/>
      <c r="E674" s="56"/>
      <c r="F674" s="56"/>
      <c r="G674" s="56"/>
      <c r="H674" s="56"/>
      <c r="I674" s="56"/>
      <c r="J674" s="56"/>
      <c r="K674" s="56"/>
      <c r="L674" s="56"/>
      <c r="M674" s="56"/>
      <c r="N674" s="56"/>
      <c r="O674" s="56"/>
      <c r="P674" s="56"/>
      <c r="Q674" s="56"/>
      <c r="R674" s="2223"/>
      <c r="S674" s="255"/>
    </row>
    <row r="675" spans="1:19">
      <c r="A675" s="255"/>
      <c r="B675" s="56"/>
      <c r="C675" s="56"/>
      <c r="D675" s="56"/>
      <c r="E675" s="56"/>
      <c r="F675" s="56"/>
      <c r="G675" s="56"/>
      <c r="H675" s="56"/>
      <c r="I675" s="56"/>
      <c r="J675" s="56"/>
      <c r="K675" s="56"/>
      <c r="L675" s="56"/>
      <c r="M675" s="56"/>
      <c r="N675" s="56"/>
      <c r="O675" s="56"/>
      <c r="P675" s="56"/>
      <c r="Q675" s="56"/>
      <c r="R675" s="2223"/>
      <c r="S675" s="255"/>
    </row>
    <row r="676" spans="1:19">
      <c r="A676" s="255"/>
      <c r="B676" s="56"/>
      <c r="C676" s="56"/>
      <c r="D676" s="56"/>
      <c r="E676" s="56"/>
      <c r="F676" s="56"/>
      <c r="G676" s="56"/>
      <c r="H676" s="56"/>
      <c r="I676" s="56"/>
      <c r="J676" s="56"/>
      <c r="K676" s="56"/>
      <c r="L676" s="56"/>
      <c r="M676" s="56"/>
      <c r="N676" s="56"/>
      <c r="O676" s="56"/>
      <c r="P676" s="56"/>
      <c r="Q676" s="56"/>
      <c r="R676" s="2223"/>
      <c r="S676" s="255"/>
    </row>
    <row r="677" spans="1:19">
      <c r="A677" s="255"/>
      <c r="B677" s="56"/>
      <c r="C677" s="56"/>
      <c r="D677" s="56"/>
      <c r="E677" s="56"/>
      <c r="F677" s="56"/>
      <c r="G677" s="56"/>
      <c r="H677" s="56"/>
      <c r="I677" s="56"/>
      <c r="J677" s="56"/>
      <c r="K677" s="56"/>
      <c r="L677" s="56"/>
      <c r="M677" s="56"/>
      <c r="N677" s="56"/>
      <c r="O677" s="56"/>
      <c r="P677" s="56"/>
      <c r="Q677" s="56"/>
      <c r="R677" s="2223"/>
      <c r="S677" s="255"/>
    </row>
    <row r="678" spans="1:19">
      <c r="A678" s="255"/>
      <c r="B678" s="56"/>
      <c r="C678" s="56"/>
      <c r="D678" s="56"/>
      <c r="E678" s="56"/>
      <c r="F678" s="56"/>
      <c r="G678" s="56"/>
      <c r="H678" s="56"/>
      <c r="I678" s="56"/>
      <c r="J678" s="56"/>
      <c r="K678" s="56"/>
      <c r="L678" s="56"/>
      <c r="M678" s="56"/>
      <c r="N678" s="56"/>
      <c r="O678" s="56"/>
      <c r="P678" s="56"/>
      <c r="Q678" s="56"/>
      <c r="R678" s="2223"/>
      <c r="S678" s="255"/>
    </row>
    <row r="679" spans="1:19">
      <c r="A679" s="255"/>
      <c r="B679" s="56"/>
      <c r="C679" s="56"/>
      <c r="D679" s="56"/>
      <c r="E679" s="56"/>
      <c r="F679" s="56"/>
      <c r="G679" s="56"/>
      <c r="H679" s="56"/>
      <c r="I679" s="56"/>
      <c r="J679" s="56"/>
      <c r="K679" s="56"/>
      <c r="L679" s="56"/>
      <c r="M679" s="56"/>
      <c r="N679" s="56"/>
      <c r="O679" s="56"/>
      <c r="P679" s="56"/>
      <c r="Q679" s="56"/>
      <c r="R679" s="2223"/>
      <c r="S679" s="255"/>
    </row>
    <row r="680" spans="1:19">
      <c r="A680" s="255"/>
      <c r="B680" s="56"/>
      <c r="C680" s="56"/>
      <c r="D680" s="56"/>
      <c r="E680" s="56"/>
      <c r="F680" s="56"/>
      <c r="G680" s="56"/>
      <c r="H680" s="56"/>
      <c r="I680" s="56"/>
      <c r="J680" s="56"/>
      <c r="K680" s="56"/>
      <c r="L680" s="56"/>
      <c r="M680" s="56"/>
      <c r="N680" s="56"/>
      <c r="O680" s="56"/>
      <c r="P680" s="56"/>
      <c r="Q680" s="56"/>
      <c r="R680" s="2223"/>
      <c r="S680" s="255"/>
    </row>
    <row r="681" spans="1:19">
      <c r="A681" s="255"/>
      <c r="B681" s="56"/>
      <c r="C681" s="56"/>
      <c r="D681" s="56"/>
      <c r="E681" s="56"/>
      <c r="F681" s="56"/>
      <c r="G681" s="56"/>
      <c r="H681" s="56"/>
      <c r="I681" s="56"/>
      <c r="J681" s="56"/>
      <c r="K681" s="56"/>
      <c r="L681" s="56"/>
      <c r="M681" s="56"/>
      <c r="N681" s="56"/>
      <c r="O681" s="56"/>
      <c r="P681" s="56"/>
      <c r="Q681" s="56"/>
      <c r="R681" s="2223"/>
      <c r="S681" s="255"/>
    </row>
    <row r="682" spans="1:19">
      <c r="A682" s="255"/>
      <c r="B682" s="56"/>
      <c r="C682" s="56"/>
      <c r="D682" s="56"/>
      <c r="E682" s="56"/>
      <c r="F682" s="56"/>
      <c r="G682" s="56"/>
      <c r="H682" s="56"/>
      <c r="I682" s="56"/>
      <c r="J682" s="56"/>
      <c r="K682" s="56"/>
      <c r="L682" s="56"/>
      <c r="M682" s="56"/>
      <c r="N682" s="56"/>
      <c r="O682" s="56"/>
      <c r="P682" s="56"/>
      <c r="Q682" s="56"/>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43109</v>
      </c>
      <c r="H1" s="2960">
        <f>IF(C1&gt;C13,0,MATCH(C1,C$13:C$100,-1))+IF(SUMIF(C13:C100,C1,D13:D100)=0,13,12)</f>
        <v>13</v>
      </c>
      <c r="I1" s="2960">
        <f ca="1">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3</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2036</v>
      </c>
      <c r="B1" s="3243"/>
      <c r="C1" s="3243"/>
      <c r="D1" s="3243"/>
      <c r="E1" s="3243"/>
      <c r="F1" s="3243"/>
      <c r="G1" s="3243"/>
      <c r="H1" s="3243"/>
      <c r="I1" s="3243"/>
      <c r="J1" s="3243"/>
      <c r="K1" s="3243"/>
      <c r="L1" s="3243"/>
      <c r="M1" s="3243"/>
      <c r="N1" s="3243"/>
      <c r="O1" s="3243"/>
      <c r="P1" s="3243"/>
      <c r="Q1" s="3243"/>
      <c r="R1" s="3243"/>
    </row>
    <row r="2" spans="1:18">
      <c r="A2" s="1805" t="s">
        <v>2038</v>
      </c>
      <c r="B2" s="1805"/>
      <c r="C2" s="1805"/>
      <c r="D2" s="1805"/>
      <c r="E2" s="1805"/>
      <c r="F2" s="1805"/>
      <c r="G2" s="1805"/>
      <c r="H2" s="1805"/>
      <c r="I2" s="1806"/>
      <c r="J2" s="1806"/>
      <c r="K2" s="1807" t="str">
        <f>"估价期日："&amp;TEXT(项目基本情况!D3,"yyyy年m月d日;;")</f>
        <v>估价期日：2018年1月9日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44" t="s">
        <v>2027</v>
      </c>
      <c r="B3" s="3244" t="s">
        <v>2732</v>
      </c>
      <c r="C3" s="3245" t="s">
        <v>2028</v>
      </c>
      <c r="D3" s="3244" t="s">
        <v>2736</v>
      </c>
      <c r="E3" s="3239" t="s">
        <v>2029</v>
      </c>
      <c r="F3" s="3239"/>
      <c r="G3" s="3239"/>
      <c r="H3" s="3239" t="s">
        <v>2030</v>
      </c>
      <c r="I3" s="3239"/>
      <c r="J3" s="3239"/>
      <c r="K3" s="3245" t="s">
        <v>2031</v>
      </c>
      <c r="L3" s="3245" t="s">
        <v>2032</v>
      </c>
      <c r="M3" s="3244" t="s">
        <v>2733</v>
      </c>
      <c r="N3" s="3246" t="str">
        <f>"（分摊）"&amp;项目基本情况!B16&amp;"国有建设用地使用权面积/㎡"</f>
        <v>（分摊）出让国有建设用地使用权面积/㎡</v>
      </c>
      <c r="O3" s="3244" t="s">
        <v>2061</v>
      </c>
      <c r="P3" s="3245" t="s">
        <v>2041</v>
      </c>
      <c r="Q3" s="3245" t="s">
        <v>2062</v>
      </c>
      <c r="R3" s="3245" t="s">
        <v>2033</v>
      </c>
    </row>
    <row r="4" spans="1:18" ht="36.75" customHeight="1">
      <c r="A4" s="3244"/>
      <c r="B4" s="3244"/>
      <c r="C4" s="3245"/>
      <c r="D4" s="3244"/>
      <c r="E4" s="2670" t="s">
        <v>2040</v>
      </c>
      <c r="F4" s="2670" t="s">
        <v>2745</v>
      </c>
      <c r="G4" s="2670" t="s">
        <v>2034</v>
      </c>
      <c r="H4" s="2670" t="s">
        <v>2035</v>
      </c>
      <c r="I4" s="2670" t="s">
        <v>2746</v>
      </c>
      <c r="J4" s="2670" t="s">
        <v>2034</v>
      </c>
      <c r="K4" s="3245"/>
      <c r="L4" s="3245"/>
      <c r="M4" s="3244"/>
      <c r="N4" s="3246"/>
      <c r="O4" s="3244"/>
      <c r="P4" s="3245"/>
      <c r="Q4" s="3245"/>
      <c r="R4" s="3245"/>
    </row>
    <row r="5" spans="1:18" ht="135" customHeight="1">
      <c r="A5" s="1940" t="s">
        <v>2656</v>
      </c>
      <c r="B5" s="2889" t="s">
        <v>2654</v>
      </c>
      <c r="C5" s="2669">
        <v>22</v>
      </c>
      <c r="D5" s="2668" t="s">
        <v>2655</v>
      </c>
      <c r="E5" s="1808">
        <f>项目基本情况!B12</f>
        <v>0</v>
      </c>
      <c r="F5" s="2668">
        <v>258</v>
      </c>
      <c r="G5" s="1808">
        <f>项目基本情况!B13</f>
        <v>0</v>
      </c>
      <c r="H5" s="2668">
        <v>1.5</v>
      </c>
      <c r="I5" s="2668">
        <v>1.5</v>
      </c>
      <c r="J5" s="2668">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72299.64</v>
      </c>
      <c r="O5" s="1808">
        <f>项目基本情况!C21</f>
        <v>320965.16000000003</v>
      </c>
      <c r="P5" s="1808">
        <f ca="1">结果表!E42</f>
        <v>12849</v>
      </c>
      <c r="Q5" s="1808">
        <f ca="1">结果表!D42</f>
        <v>2894</v>
      </c>
      <c r="R5" s="1809">
        <f ca="1">结果表!C42</f>
        <v>92899</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0">
        <f ca="1">结果表!O39</f>
        <v>92899</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10" t="str">
        <f>结果表!O40</f>
        <v>——</v>
      </c>
    </row>
    <row r="8" spans="1:18">
      <c r="A8" s="3240" t="str">
        <f>IF(项目基本情况!B9="市场价格","——",项目基本情况!E9)</f>
        <v>抵押净值</v>
      </c>
      <c r="B8" s="3241"/>
      <c r="C8" s="3241"/>
      <c r="D8" s="3241"/>
      <c r="E8" s="3241"/>
      <c r="F8" s="3241"/>
      <c r="G8" s="3241"/>
      <c r="H8" s="3241"/>
      <c r="I8" s="3241"/>
      <c r="J8" s="3241"/>
      <c r="K8" s="3241"/>
      <c r="L8" s="3241"/>
      <c r="M8" s="3241"/>
      <c r="N8" s="3241"/>
      <c r="O8" s="3241"/>
      <c r="P8" s="3241"/>
      <c r="Q8" s="3242"/>
      <c r="R8" s="1810">
        <f ca="1">结果表!O41</f>
        <v>50866</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48" t="s">
        <v>2063</v>
      </c>
      <c r="B1" s="3248"/>
      <c r="C1" s="3248"/>
      <c r="D1" s="3248"/>
    </row>
    <row r="2" spans="1:4" ht="47.25" customHeight="1">
      <c r="A2" s="3249" t="str">
        <f>"1.权利限制："&amp;项目基本情况!L24&amp;"未设定租赁等其他他项权利。"</f>
        <v>1.权利限制：根据估价对象《不动产权证书》原件、《国有土地使用权》复印件，截至估价期日，估价对象已设定抵押。未设定租赁等其他他项权利。</v>
      </c>
      <c r="B2" s="3249"/>
      <c r="C2" s="3249"/>
      <c r="D2" s="3249"/>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47" t="s">
        <v>2064</v>
      </c>
      <c r="B5" s="3247"/>
      <c r="C5" s="3247"/>
      <c r="D5" s="3247"/>
    </row>
    <row r="6" spans="1:4">
      <c r="A6" s="3248" t="s">
        <v>2042</v>
      </c>
      <c r="B6" s="3248"/>
      <c r="C6" s="3248"/>
      <c r="D6" s="3248"/>
    </row>
    <row r="7" spans="1:4" ht="33" customHeight="1">
      <c r="A7" s="3248" t="s">
        <v>2574</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50"/>
      <c r="C11" s="3250"/>
      <c r="D11" s="3250"/>
    </row>
    <row r="12" spans="1:4" ht="168" customHeight="1">
      <c r="A12" s="3247" t="s">
        <v>2066</v>
      </c>
      <c r="B12" s="3247"/>
      <c r="C12" s="3247"/>
      <c r="D12" s="3247"/>
    </row>
    <row r="13" spans="1:4">
      <c r="A13" s="3251" t="s">
        <v>2747</v>
      </c>
      <c r="B13" s="3251"/>
      <c r="C13" s="3251"/>
      <c r="D13" s="3251"/>
    </row>
    <row r="14" spans="1:4">
      <c r="A14" s="3250" t="str">
        <f>IF(项目基本情况!B8="抵押","综上，"&amp;结果表!K47,"——")</f>
        <v>综上，本次评估设定估价对象不存在估价师知悉的法定优先受偿款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2703</v>
      </c>
      <c r="B17" s="3248"/>
      <c r="C17" s="3248"/>
      <c r="D17" s="3248"/>
    </row>
    <row r="18" spans="1:4">
      <c r="A18" s="3248" t="s">
        <v>2695</v>
      </c>
      <c r="B18" s="3248"/>
      <c r="C18" s="3248"/>
      <c r="D18" s="3248"/>
    </row>
    <row r="19" spans="1:4">
      <c r="A19" s="2890" t="s">
        <v>2696</v>
      </c>
      <c r="B19" s="2890" t="s">
        <v>2697</v>
      </c>
      <c r="C19" s="2890" t="s">
        <v>2698</v>
      </c>
      <c r="D19" s="2890" t="s">
        <v>2699</v>
      </c>
    </row>
    <row r="20" spans="1:4">
      <c r="A20" s="2890" t="str">
        <f>项目基本情况!B4</f>
        <v>土地估价师</v>
      </c>
      <c r="B20" s="2890">
        <f>项目基本情况!C4</f>
        <v>0</v>
      </c>
      <c r="C20" s="2892"/>
      <c r="D20" s="1798" t="s">
        <v>2704</v>
      </c>
    </row>
    <row r="21" spans="1:4">
      <c r="A21" s="2890" t="str">
        <f>项目基本情况!D4</f>
        <v>土地估价师</v>
      </c>
      <c r="B21" s="2890">
        <f>项目基本情况!E4</f>
        <v>0</v>
      </c>
      <c r="C21" s="2892"/>
      <c r="D21" s="1798" t="s">
        <v>2705</v>
      </c>
    </row>
    <row r="23" spans="1:4">
      <c r="A23" s="3248" t="s">
        <v>2700</v>
      </c>
      <c r="B23" s="3248"/>
      <c r="C23" s="3248"/>
      <c r="D23" s="3248"/>
    </row>
    <row r="24" spans="1:4">
      <c r="A24" s="2890" t="s">
        <v>2696</v>
      </c>
      <c r="B24" s="2890" t="s">
        <v>2701</v>
      </c>
      <c r="C24" s="2890" t="s">
        <v>2698</v>
      </c>
      <c r="D24" s="2890" t="s">
        <v>2699</v>
      </c>
    </row>
    <row r="25" spans="1:4">
      <c r="A25" s="2893" t="s">
        <v>2702</v>
      </c>
      <c r="B25" s="2890" t="s">
        <v>947</v>
      </c>
      <c r="C25" s="2892"/>
      <c r="D25" s="1798" t="s">
        <v>2705</v>
      </c>
    </row>
    <row r="29" spans="1:4">
      <c r="D29" s="2891" t="s">
        <v>2037</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867</v>
      </c>
    </row>
    <row r="13" spans="1:7">
      <c r="A13" s="1168" t="s">
        <v>52</v>
      </c>
    </row>
    <row r="15" spans="1:7" ht="14.25">
      <c r="A15" s="3259" t="s">
        <v>53</v>
      </c>
      <c r="B15" s="3260" t="s">
        <v>841</v>
      </c>
      <c r="C15" s="3256"/>
    </row>
    <row r="16" spans="1:7" ht="14.25">
      <c r="A16" s="3259"/>
      <c r="B16" s="3257" t="s">
        <v>54</v>
      </c>
      <c r="C16" s="1169" t="s">
        <v>53</v>
      </c>
    </row>
    <row r="17" spans="1:3" ht="14.25">
      <c r="A17" s="3259"/>
      <c r="B17" s="3257"/>
      <c r="C17" s="1169" t="s">
        <v>55</v>
      </c>
    </row>
    <row r="18" spans="1:3" ht="14.25">
      <c r="A18" s="3259"/>
      <c r="B18" s="3257"/>
      <c r="C18" s="1169" t="s">
        <v>56</v>
      </c>
    </row>
    <row r="19" spans="1:3" ht="14.25">
      <c r="A19" s="3259"/>
      <c r="B19" s="3255" t="s">
        <v>57</v>
      </c>
      <c r="C19" s="3256"/>
    </row>
    <row r="20" spans="1:3" ht="14.25">
      <c r="A20" s="1170" t="s">
        <v>58</v>
      </c>
      <c r="B20" s="1171"/>
      <c r="C20" s="1172"/>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3" t="s">
        <v>832</v>
      </c>
    </row>
    <row r="25" spans="1:3" ht="14.25">
      <c r="A25" s="3258"/>
      <c r="B25" s="3262"/>
      <c r="C25" s="1173" t="s">
        <v>833</v>
      </c>
    </row>
    <row r="26" spans="1:3" ht="14.25">
      <c r="A26" s="3258"/>
      <c r="B26" s="3262"/>
      <c r="C26" s="1173" t="s">
        <v>834</v>
      </c>
    </row>
    <row r="27" spans="1:3" ht="14.25">
      <c r="A27" s="3258"/>
      <c r="B27" s="3262"/>
      <c r="C27" s="1173" t="s">
        <v>835</v>
      </c>
    </row>
    <row r="28" spans="1:3" ht="14.25">
      <c r="A28" s="3258"/>
      <c r="B28" s="3262"/>
      <c r="C28" s="1173" t="s">
        <v>836</v>
      </c>
    </row>
    <row r="29" spans="1:3" ht="14.25">
      <c r="A29" s="3258"/>
      <c r="B29" s="3262"/>
      <c r="C29" s="1173" t="s">
        <v>837</v>
      </c>
    </row>
    <row r="30" spans="1:3" ht="14.25">
      <c r="A30" s="3258"/>
      <c r="B30" s="3262"/>
      <c r="C30" s="1173" t="s">
        <v>838</v>
      </c>
    </row>
    <row r="31" spans="1:3" ht="14.25">
      <c r="A31" s="3258"/>
      <c r="B31" s="3262"/>
      <c r="C31" s="1173" t="s">
        <v>839</v>
      </c>
    </row>
    <row r="32" spans="1:3" ht="14.25">
      <c r="A32" s="3258"/>
      <c r="B32" s="3262"/>
      <c r="C32" s="1173" t="s">
        <v>1642</v>
      </c>
    </row>
    <row r="33" spans="1:3" ht="14.25">
      <c r="A33" s="3258"/>
      <c r="B33" s="3252" t="s">
        <v>1648</v>
      </c>
      <c r="C33" s="1173" t="s">
        <v>1643</v>
      </c>
    </row>
    <row r="34" spans="1:3" ht="14.25">
      <c r="A34" s="3258"/>
      <c r="B34" s="3253"/>
      <c r="C34" s="1178" t="s">
        <v>1644</v>
      </c>
    </row>
    <row r="35" spans="1:3" ht="14.25">
      <c r="A35" s="3258"/>
      <c r="B35" s="3253"/>
      <c r="C35" s="1179" t="s">
        <v>1645</v>
      </c>
    </row>
    <row r="36" spans="1:3" ht="14.25">
      <c r="A36" s="3258"/>
      <c r="B36" s="3253"/>
      <c r="C36" s="1179" t="s">
        <v>1646</v>
      </c>
    </row>
    <row r="37" spans="1:3" ht="14.25">
      <c r="A37" s="3258"/>
      <c r="B37" s="3254"/>
      <c r="C37" s="1180" t="s">
        <v>1647</v>
      </c>
    </row>
    <row r="38" spans="1:3">
      <c r="A38" s="1174" t="s">
        <v>840</v>
      </c>
    </row>
    <row r="41" spans="1:3">
      <c r="A41" s="1174" t="s">
        <v>68</v>
      </c>
    </row>
    <row r="42" spans="1:3" ht="14.25">
      <c r="A42" s="1175" t="s">
        <v>848</v>
      </c>
    </row>
    <row r="43" spans="1:3" ht="14.25">
      <c r="A43" s="1176" t="s">
        <v>69</v>
      </c>
    </row>
    <row r="44" spans="1:3" ht="14.25">
      <c r="A44" s="1175" t="s">
        <v>847</v>
      </c>
    </row>
    <row r="45" spans="1:3" ht="14.25">
      <c r="A45" s="1177" t="s">
        <v>849</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1903</v>
      </c>
      <c r="B2" s="1654">
        <f ca="1">TODAY()</f>
        <v>43283</v>
      </c>
      <c r="C2" s="2336" t="s">
        <v>1904</v>
      </c>
      <c r="D2" s="2337"/>
    </row>
    <row r="3" spans="1:6" ht="20.25" customHeight="1">
      <c r="A3" s="2339" t="s">
        <v>1905</v>
      </c>
      <c r="B3" s="2340" t="s">
        <v>1906</v>
      </c>
      <c r="C3" s="2340" t="s">
        <v>1907</v>
      </c>
      <c r="D3" s="2341" t="s">
        <v>1908</v>
      </c>
      <c r="E3" s="2340" t="s">
        <v>1909</v>
      </c>
      <c r="F3" s="2340" t="s">
        <v>1907</v>
      </c>
    </row>
    <row r="4" spans="1:6" ht="20.25" customHeight="1">
      <c r="A4" s="2340" t="s">
        <v>1910</v>
      </c>
      <c r="B4" s="2340">
        <f ca="1">IF(C4&lt;B2,"已过期",1119970066)</f>
        <v>1119970066</v>
      </c>
      <c r="C4" s="3028">
        <v>43849</v>
      </c>
      <c r="D4" s="2340" t="s">
        <v>1910</v>
      </c>
      <c r="E4" s="2340">
        <f ca="1">IF(F4&lt;B2,"已过期",96010014)</f>
        <v>96010014</v>
      </c>
      <c r="F4" s="3029">
        <v>47118</v>
      </c>
    </row>
    <row r="5" spans="1:6" ht="20.25" customHeight="1">
      <c r="A5" s="2340" t="s">
        <v>1911</v>
      </c>
      <c r="B5" s="2340">
        <f ca="1">IF(C5&lt;B2,"已过期",1119970074)</f>
        <v>1119970074</v>
      </c>
      <c r="C5" s="3028">
        <v>43849</v>
      </c>
      <c r="D5" s="2340" t="s">
        <v>1911</v>
      </c>
      <c r="E5" s="2340">
        <f ca="1">IF(F5&lt;B2,"已过期",2002110027)</f>
        <v>2002110027</v>
      </c>
      <c r="F5" s="3029">
        <v>46752</v>
      </c>
    </row>
    <row r="6" spans="1:6" ht="20.25" customHeight="1">
      <c r="A6" s="2340" t="s">
        <v>1912</v>
      </c>
      <c r="B6" s="2340">
        <f ca="1">IF(C6&lt;B2,"已过期",1119970111)</f>
        <v>1119970111</v>
      </c>
      <c r="C6" s="3028">
        <v>43849</v>
      </c>
      <c r="D6" s="2340" t="s">
        <v>1912</v>
      </c>
      <c r="E6" s="2340">
        <f ca="1">IF(F6&lt;B2,"已过期",94010078)</f>
        <v>94010078</v>
      </c>
      <c r="F6" s="3029">
        <v>46387</v>
      </c>
    </row>
    <row r="7" spans="1:6" ht="20.25" customHeight="1">
      <c r="A7" s="2340" t="s">
        <v>1913</v>
      </c>
      <c r="B7" s="2340">
        <f ca="1">IF(C7&lt;B2,"已过期",1120050019)</f>
        <v>1120050019</v>
      </c>
      <c r="C7" s="3028">
        <v>43359</v>
      </c>
      <c r="D7" s="2340" t="s">
        <v>1913</v>
      </c>
      <c r="E7" s="2340">
        <f ca="1">IF(F7&lt;B2,"已过期",2002110030)</f>
        <v>2002110030</v>
      </c>
      <c r="F7" s="3029">
        <v>46387</v>
      </c>
    </row>
    <row r="8" spans="1:6" ht="20.25" customHeight="1">
      <c r="A8" s="2340" t="s">
        <v>1914</v>
      </c>
      <c r="B8" s="2340">
        <f ca="1">IF(C8&lt;B2,"已过期",1120000080)</f>
        <v>1120000080</v>
      </c>
      <c r="C8" s="3028">
        <v>43849</v>
      </c>
      <c r="D8" s="2340" t="s">
        <v>1914</v>
      </c>
      <c r="E8" s="2340">
        <f ca="1">IF(F8&lt;B2,"已过期",2000110082)</f>
        <v>2000110082</v>
      </c>
      <c r="F8" s="3029">
        <v>46387</v>
      </c>
    </row>
    <row r="9" spans="1:6" ht="20.25" customHeight="1">
      <c r="A9" s="2340" t="s">
        <v>1915</v>
      </c>
      <c r="B9" s="2340">
        <f ca="1">IF(C9&lt;B2,"已过期",1419970001)</f>
        <v>1419970001</v>
      </c>
      <c r="C9" s="3028">
        <v>43867</v>
      </c>
      <c r="D9" s="2340" t="s">
        <v>1915</v>
      </c>
      <c r="E9" s="2340">
        <f ca="1">IF(F9&lt;B2,"已过期",2002110125)</f>
        <v>2002110125</v>
      </c>
      <c r="F9" s="3029">
        <v>47118</v>
      </c>
    </row>
    <row r="10" spans="1:6" ht="20.25" customHeight="1">
      <c r="A10" s="2340" t="s">
        <v>1916</v>
      </c>
      <c r="B10" s="2340">
        <f ca="1">IF(C10&lt;B2,"已过期",1120060040)</f>
        <v>1120060040</v>
      </c>
      <c r="C10" s="3028">
        <v>43483</v>
      </c>
      <c r="D10" s="2340" t="s">
        <v>1916</v>
      </c>
      <c r="E10" s="2340">
        <f ca="1">IF(F10&lt;B2,"已过期",2004110096)</f>
        <v>2004110096</v>
      </c>
      <c r="F10" s="3029">
        <v>47118</v>
      </c>
    </row>
    <row r="11" spans="1:6" ht="20.25" customHeight="1">
      <c r="A11" s="2340" t="s">
        <v>1917</v>
      </c>
      <c r="B11" s="2340">
        <f ca="1">IF(C11&lt;B2,"已过期",1120100036)</f>
        <v>1120100036</v>
      </c>
      <c r="C11" s="3028">
        <v>43622</v>
      </c>
      <c r="D11" s="2340" t="s">
        <v>1917</v>
      </c>
      <c r="E11" s="2340">
        <f ca="1">IF(F11&lt;B2,"已过期",2010110070)</f>
        <v>2010110070</v>
      </c>
      <c r="F11" s="3029">
        <v>47907</v>
      </c>
    </row>
    <row r="12" spans="1:6" ht="20.25" customHeight="1">
      <c r="A12" s="2340"/>
      <c r="B12" s="2340"/>
      <c r="C12" s="3028"/>
      <c r="D12" s="2340"/>
      <c r="E12" s="2340"/>
      <c r="F12" s="2340"/>
    </row>
    <row r="13" spans="1:6" ht="20.25" customHeight="1">
      <c r="A13" s="2340" t="s">
        <v>1918</v>
      </c>
      <c r="B13" s="2340">
        <f ca="1">IF(C13&lt;B2,"已过期",1120070131)</f>
        <v>1120070131</v>
      </c>
      <c r="C13" s="3028">
        <v>43814</v>
      </c>
      <c r="D13" s="2340" t="s">
        <v>1918</v>
      </c>
      <c r="E13" s="2340">
        <v>2014110011</v>
      </c>
      <c r="F13" s="3029">
        <v>49302</v>
      </c>
    </row>
    <row r="14" spans="1:6" ht="20.25" customHeight="1">
      <c r="A14" s="2340" t="s">
        <v>1919</v>
      </c>
      <c r="B14" s="2340">
        <f ca="1">IF(C14&lt;B2,"已过期",1120130020)</f>
        <v>1120130020</v>
      </c>
      <c r="C14" s="3028">
        <v>43622</v>
      </c>
      <c r="D14" s="2340"/>
      <c r="E14" s="2340"/>
      <c r="F14" s="2340"/>
    </row>
    <row r="15" spans="1:6" ht="20.25" customHeight="1">
      <c r="A15" s="2340" t="s">
        <v>2573</v>
      </c>
      <c r="B15" s="2340">
        <v>1120070085</v>
      </c>
      <c r="C15" s="3028">
        <v>43814</v>
      </c>
      <c r="D15" s="2340" t="s">
        <v>2573</v>
      </c>
      <c r="E15" s="2340">
        <v>2004110128</v>
      </c>
      <c r="F15" s="3029">
        <v>47118</v>
      </c>
    </row>
    <row r="16" spans="1:6" ht="20.25" customHeight="1">
      <c r="A16" s="2340" t="s">
        <v>1920</v>
      </c>
      <c r="B16" s="2340">
        <f ca="1">IF(C16&lt;B2,"已过期",1120140022)</f>
        <v>1120140022</v>
      </c>
      <c r="C16" s="3028">
        <v>44029</v>
      </c>
      <c r="D16" s="2340" t="s">
        <v>1920</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1921</v>
      </c>
      <c r="E21" s="2340">
        <f ca="1">IF(F21&lt;B2,"已过期",2011110090)</f>
        <v>2011110090</v>
      </c>
      <c r="F21" s="3029">
        <v>48302</v>
      </c>
    </row>
    <row r="22" spans="1:7" ht="20.25" customHeight="1">
      <c r="A22" s="2340" t="s">
        <v>1922</v>
      </c>
      <c r="B22" s="2340">
        <f ca="1">IF(C22&lt;B2,"已过期",1120020033)</f>
        <v>1120020033</v>
      </c>
      <c r="C22" s="3028">
        <v>43304</v>
      </c>
      <c r="D22" s="2340" t="s">
        <v>1922</v>
      </c>
      <c r="E22" s="2340">
        <f ca="1">IF(F22&lt;B2,"已过期",2000110137)</f>
        <v>2000110137</v>
      </c>
      <c r="F22" s="3029">
        <v>46387</v>
      </c>
    </row>
    <row r="23" spans="1:7" ht="20.25" customHeight="1">
      <c r="A23" s="2340" t="s">
        <v>1923</v>
      </c>
      <c r="B23" s="2340">
        <f ca="1">IF(C23&lt;B2,"已过期",1120130048)</f>
        <v>1120130048</v>
      </c>
      <c r="C23" s="3028">
        <v>43686</v>
      </c>
      <c r="D23" s="2340"/>
      <c r="E23" s="2340"/>
      <c r="F23" s="2340"/>
    </row>
    <row r="24" spans="1:7" s="2344" customFormat="1" ht="20.25" customHeight="1">
      <c r="A24" s="2342" t="s">
        <v>2051</v>
      </c>
      <c r="B24" s="2342" t="s">
        <v>2051</v>
      </c>
      <c r="C24" s="3028"/>
      <c r="D24" s="3030" t="s">
        <v>2051</v>
      </c>
      <c r="E24" s="2342" t="s">
        <v>2051</v>
      </c>
      <c r="F24" s="2343"/>
    </row>
    <row r="25" spans="1:7" ht="20.25" customHeight="1">
      <c r="A25" s="3263" t="s">
        <v>1924</v>
      </c>
      <c r="B25" s="3263"/>
      <c r="C25" s="3263"/>
      <c r="D25" s="3263"/>
      <c r="E25" s="3263"/>
      <c r="F25" s="3263"/>
      <c r="G25" s="3263"/>
    </row>
    <row r="26" spans="1:7" ht="20.25" customHeight="1">
      <c r="A26" s="3264" t="s">
        <v>1925</v>
      </c>
      <c r="B26" s="3264"/>
      <c r="C26" s="3264"/>
      <c r="D26" s="3264" t="s">
        <v>1926</v>
      </c>
      <c r="E26" s="3264"/>
      <c r="F26" s="3264"/>
    </row>
    <row r="27" spans="1:7" s="2348" customFormat="1" ht="20.25" customHeight="1">
      <c r="A27" s="2345" t="s">
        <v>1927</v>
      </c>
      <c r="B27" s="2346" t="s">
        <v>1928</v>
      </c>
      <c r="C27" s="2346" t="s">
        <v>1929</v>
      </c>
      <c r="D27" s="2347" t="s">
        <v>1927</v>
      </c>
      <c r="E27" s="2346" t="s">
        <v>1928</v>
      </c>
      <c r="F27" s="2346" t="s">
        <v>1929</v>
      </c>
    </row>
    <row r="28" spans="1:7" s="2348" customFormat="1" ht="20.25" customHeight="1">
      <c r="A28" s="2349" t="s">
        <v>1930</v>
      </c>
      <c r="B28" s="2349" t="s">
        <v>1931</v>
      </c>
      <c r="C28" s="2350">
        <v>43725</v>
      </c>
      <c r="D28" s="2349" t="s">
        <v>1932</v>
      </c>
      <c r="E28" s="2349" t="s">
        <v>1933</v>
      </c>
      <c r="F28" s="2351">
        <v>44377</v>
      </c>
    </row>
    <row r="29" spans="1:7" s="2348" customFormat="1" ht="20.25" customHeight="1">
      <c r="A29" s="2349"/>
      <c r="B29" s="2349"/>
      <c r="C29" s="2352"/>
      <c r="D29" s="2349" t="s">
        <v>1934</v>
      </c>
      <c r="E29" s="2353" t="s">
        <v>2947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851</v>
      </c>
      <c r="B1" s="5" t="s">
        <v>132</v>
      </c>
      <c r="C1" s="1547"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2544</v>
      </c>
      <c r="R1" s="2602" t="s">
        <v>2538</v>
      </c>
      <c r="S1" s="6" t="s">
        <v>146</v>
      </c>
      <c r="T1" s="7" t="s">
        <v>147</v>
      </c>
      <c r="U1" s="6" t="s">
        <v>148</v>
      </c>
      <c r="V1" s="6" t="s">
        <v>149</v>
      </c>
      <c r="W1" s="1001" t="s">
        <v>869</v>
      </c>
    </row>
    <row r="2" spans="1:23">
      <c r="A2" s="8" t="s">
        <v>73</v>
      </c>
      <c r="B2" s="8" t="s">
        <v>150</v>
      </c>
      <c r="C2" s="1548" t="s">
        <v>1705</v>
      </c>
      <c r="D2" s="9" t="s">
        <v>74</v>
      </c>
      <c r="E2" s="9" t="s">
        <v>127</v>
      </c>
      <c r="F2" s="9" t="s">
        <v>128</v>
      </c>
      <c r="G2" s="9">
        <v>40</v>
      </c>
      <c r="H2" s="9" t="s">
        <v>129</v>
      </c>
      <c r="I2" s="9" t="s">
        <v>130</v>
      </c>
      <c r="J2" s="9" t="s">
        <v>131</v>
      </c>
      <c r="K2" s="9" t="s">
        <v>75</v>
      </c>
      <c r="L2" s="9" t="s">
        <v>75</v>
      </c>
      <c r="M2" s="9" t="s">
        <v>75</v>
      </c>
      <c r="N2" s="9" t="s">
        <v>75</v>
      </c>
      <c r="O2" s="9" t="s">
        <v>75</v>
      </c>
      <c r="P2" s="1003" t="s">
        <v>875</v>
      </c>
      <c r="Q2" s="9" t="s">
        <v>75</v>
      </c>
      <c r="R2" s="1003" t="s">
        <v>2539</v>
      </c>
      <c r="S2" s="9" t="s">
        <v>75</v>
      </c>
      <c r="T2" s="9" t="s">
        <v>76</v>
      </c>
      <c r="U2" s="9" t="s">
        <v>75</v>
      </c>
      <c r="V2" s="9" t="s">
        <v>77</v>
      </c>
      <c r="W2" s="9" t="s">
        <v>870</v>
      </c>
    </row>
    <row r="3" spans="1:23">
      <c r="A3" s="8" t="s">
        <v>78</v>
      </c>
      <c r="B3" s="10" t="s">
        <v>151</v>
      </c>
      <c r="C3" s="1549" t="s">
        <v>1706</v>
      </c>
      <c r="D3" s="9" t="s">
        <v>79</v>
      </c>
      <c r="E3" s="9" t="s">
        <v>6</v>
      </c>
      <c r="F3" s="9" t="s">
        <v>80</v>
      </c>
      <c r="G3" s="9">
        <v>50</v>
      </c>
      <c r="H3" s="9" t="s">
        <v>81</v>
      </c>
      <c r="I3" s="9" t="s">
        <v>82</v>
      </c>
      <c r="J3" s="9" t="s">
        <v>83</v>
      </c>
      <c r="K3" s="9" t="s">
        <v>84</v>
      </c>
      <c r="L3" s="9" t="s">
        <v>84</v>
      </c>
      <c r="M3" s="9" t="s">
        <v>84</v>
      </c>
      <c r="N3" s="9" t="s">
        <v>84</v>
      </c>
      <c r="O3" s="9" t="s">
        <v>84</v>
      </c>
      <c r="P3" s="1003" t="s">
        <v>598</v>
      </c>
      <c r="Q3" s="9" t="s">
        <v>84</v>
      </c>
      <c r="R3" s="1003" t="s">
        <v>2540</v>
      </c>
      <c r="S3" s="9" t="s">
        <v>84</v>
      </c>
      <c r="T3" s="9" t="s">
        <v>85</v>
      </c>
      <c r="U3" s="9" t="s">
        <v>84</v>
      </c>
      <c r="V3" s="9" t="s">
        <v>86</v>
      </c>
      <c r="W3" s="9" t="s">
        <v>871</v>
      </c>
    </row>
    <row r="4" spans="1:23">
      <c r="A4" s="8" t="s">
        <v>87</v>
      </c>
      <c r="B4" s="8" t="s">
        <v>152</v>
      </c>
      <c r="C4" s="1548" t="s">
        <v>1707</v>
      </c>
      <c r="D4" s="9" t="s">
        <v>1992</v>
      </c>
      <c r="E4" s="9" t="s">
        <v>88</v>
      </c>
      <c r="F4" s="9" t="s">
        <v>89</v>
      </c>
      <c r="G4" s="9">
        <v>70</v>
      </c>
      <c r="H4" s="9" t="s">
        <v>90</v>
      </c>
      <c r="I4" s="9" t="s">
        <v>91</v>
      </c>
      <c r="K4" s="9" t="s">
        <v>92</v>
      </c>
      <c r="L4" s="9" t="s">
        <v>92</v>
      </c>
      <c r="M4" s="9" t="s">
        <v>92</v>
      </c>
      <c r="N4" s="9" t="s">
        <v>92</v>
      </c>
      <c r="O4" s="9" t="s">
        <v>92</v>
      </c>
      <c r="P4" s="1003" t="s">
        <v>758</v>
      </c>
      <c r="Q4" s="9" t="s">
        <v>92</v>
      </c>
      <c r="R4" s="1003" t="s">
        <v>2541</v>
      </c>
      <c r="S4" s="9" t="s">
        <v>92</v>
      </c>
      <c r="T4" s="9" t="s">
        <v>93</v>
      </c>
      <c r="U4" s="9" t="s">
        <v>92</v>
      </c>
      <c r="W4" s="9" t="s">
        <v>872</v>
      </c>
    </row>
    <row r="5" spans="1:23">
      <c r="A5" s="8" t="s">
        <v>94</v>
      </c>
      <c r="B5" s="8" t="s">
        <v>153</v>
      </c>
      <c r="C5" s="1548" t="s">
        <v>1708</v>
      </c>
      <c r="F5" s="9" t="s">
        <v>95</v>
      </c>
      <c r="H5" s="9" t="s">
        <v>70</v>
      </c>
      <c r="I5" s="9" t="s">
        <v>96</v>
      </c>
      <c r="K5" s="9" t="s">
        <v>97</v>
      </c>
      <c r="L5" s="9" t="s">
        <v>97</v>
      </c>
      <c r="M5" s="9" t="s">
        <v>97</v>
      </c>
      <c r="N5" s="9" t="s">
        <v>97</v>
      </c>
      <c r="O5" s="9" t="s">
        <v>97</v>
      </c>
      <c r="P5" s="1003" t="s">
        <v>544</v>
      </c>
      <c r="Q5" s="9" t="s">
        <v>97</v>
      </c>
      <c r="R5" s="1003" t="s">
        <v>2542</v>
      </c>
      <c r="S5" s="9" t="s">
        <v>97</v>
      </c>
      <c r="T5" s="9" t="s">
        <v>98</v>
      </c>
      <c r="U5" s="9" t="s">
        <v>97</v>
      </c>
      <c r="W5" s="9" t="s">
        <v>873</v>
      </c>
    </row>
    <row r="6" spans="1:23">
      <c r="A6" s="8" t="s">
        <v>99</v>
      </c>
      <c r="B6" s="1146" t="s">
        <v>1636</v>
      </c>
      <c r="C6" s="1550" t="s">
        <v>1709</v>
      </c>
      <c r="F6" s="9" t="s">
        <v>71</v>
      </c>
      <c r="H6" s="9" t="s">
        <v>72</v>
      </c>
      <c r="I6" s="9" t="s">
        <v>100</v>
      </c>
      <c r="K6" s="9" t="s">
        <v>101</v>
      </c>
      <c r="L6" s="9" t="s">
        <v>101</v>
      </c>
      <c r="M6" s="9" t="s">
        <v>101</v>
      </c>
      <c r="N6" s="9" t="s">
        <v>101</v>
      </c>
      <c r="O6" s="9" t="s">
        <v>101</v>
      </c>
      <c r="P6" s="1003" t="s">
        <v>876</v>
      </c>
      <c r="Q6" s="9" t="s">
        <v>101</v>
      </c>
      <c r="R6" s="1003" t="s">
        <v>2543</v>
      </c>
      <c r="S6" s="9" t="s">
        <v>101</v>
      </c>
      <c r="T6" s="9"/>
      <c r="U6" s="9" t="s">
        <v>101</v>
      </c>
      <c r="W6" s="9" t="s">
        <v>874</v>
      </c>
    </row>
    <row r="7" spans="1:23">
      <c r="A7" s="8" t="s">
        <v>102</v>
      </c>
      <c r="B7" s="8" t="s">
        <v>103</v>
      </c>
      <c r="C7" s="1548" t="s">
        <v>1710</v>
      </c>
      <c r="F7" s="9" t="s">
        <v>154</v>
      </c>
      <c r="H7" s="9" t="s">
        <v>104</v>
      </c>
      <c r="I7" s="9" t="s">
        <v>105</v>
      </c>
    </row>
    <row r="8" spans="1:23">
      <c r="A8" s="8" t="s">
        <v>106</v>
      </c>
      <c r="B8" s="8" t="s">
        <v>107</v>
      </c>
      <c r="C8" s="1548" t="s">
        <v>1711</v>
      </c>
      <c r="F8" s="9" t="s">
        <v>155</v>
      </c>
      <c r="H8" s="9"/>
      <c r="I8" s="9" t="s">
        <v>108</v>
      </c>
    </row>
    <row r="9" spans="1:23">
      <c r="A9" s="8" t="s">
        <v>109</v>
      </c>
      <c r="B9" s="8" t="s">
        <v>156</v>
      </c>
      <c r="C9" s="1548" t="s">
        <v>1712</v>
      </c>
      <c r="F9" s="9" t="s">
        <v>110</v>
      </c>
      <c r="H9" s="9"/>
    </row>
    <row r="10" spans="1:23">
      <c r="A10" s="8" t="s">
        <v>111</v>
      </c>
      <c r="B10" s="8" t="s">
        <v>157</v>
      </c>
      <c r="C10" s="1548" t="s">
        <v>1713</v>
      </c>
      <c r="F10" s="9" t="s">
        <v>6</v>
      </c>
    </row>
    <row r="11" spans="1:23">
      <c r="A11" s="8" t="s">
        <v>112</v>
      </c>
      <c r="B11" s="8" t="s">
        <v>158</v>
      </c>
      <c r="C11" s="1548" t="s">
        <v>1714</v>
      </c>
    </row>
    <row r="12" spans="1:23">
      <c r="A12" s="8" t="s">
        <v>113</v>
      </c>
      <c r="B12" s="8" t="s">
        <v>159</v>
      </c>
      <c r="C12" s="1548" t="s">
        <v>1715</v>
      </c>
    </row>
    <row r="13" spans="1:23">
      <c r="A13" s="8" t="s">
        <v>114</v>
      </c>
      <c r="B13" s="8" t="s">
        <v>160</v>
      </c>
      <c r="C13" s="1548" t="s">
        <v>1716</v>
      </c>
    </row>
    <row r="14" spans="1:23">
      <c r="A14" s="8" t="s">
        <v>115</v>
      </c>
      <c r="B14" s="8" t="s">
        <v>161</v>
      </c>
      <c r="C14" s="1551" t="s">
        <v>1892</v>
      </c>
    </row>
    <row r="15" spans="1:23">
      <c r="A15" s="8" t="s">
        <v>116</v>
      </c>
      <c r="B15" s="8" t="s">
        <v>1677</v>
      </c>
      <c r="C15" s="1551"/>
    </row>
    <row r="16" spans="1:23">
      <c r="A16" s="8" t="s">
        <v>117</v>
      </c>
      <c r="B16" s="8" t="s">
        <v>1678</v>
      </c>
      <c r="C16" s="1551"/>
    </row>
    <row r="17" spans="1:3">
      <c r="A17" s="8" t="s">
        <v>118</v>
      </c>
      <c r="B17" s="8" t="s">
        <v>1679</v>
      </c>
      <c r="C17" s="1551"/>
    </row>
    <row r="18" spans="1:3">
      <c r="A18" s="8" t="s">
        <v>119</v>
      </c>
      <c r="B18" s="3139" t="s">
        <v>2960</v>
      </c>
      <c r="C18" s="1551"/>
    </row>
    <row r="19" spans="1:3">
      <c r="A19" s="8" t="s">
        <v>120</v>
      </c>
      <c r="B19" s="3139" t="s">
        <v>2968</v>
      </c>
      <c r="C19" s="1551"/>
    </row>
    <row r="20" spans="1:3">
      <c r="A20" s="8" t="s">
        <v>121</v>
      </c>
      <c r="B20" s="8" t="s">
        <v>1637</v>
      </c>
      <c r="C20" s="1551"/>
    </row>
    <row r="21" spans="1:3">
      <c r="A21" s="8" t="s">
        <v>122</v>
      </c>
      <c r="B21" s="8" t="s">
        <v>1637</v>
      </c>
      <c r="C21" s="1551"/>
    </row>
    <row r="22" spans="1:3">
      <c r="A22" s="8" t="s">
        <v>123</v>
      </c>
      <c r="B22" s="8" t="s">
        <v>1637</v>
      </c>
      <c r="C22" s="1551"/>
    </row>
    <row r="23" spans="1:3">
      <c r="A23" s="8" t="s">
        <v>124</v>
      </c>
      <c r="B23" s="8" t="s">
        <v>1637</v>
      </c>
      <c r="C23" s="1551"/>
    </row>
    <row r="24" spans="1:3">
      <c r="A24" s="8" t="s">
        <v>12</v>
      </c>
      <c r="B24" s="8" t="s">
        <v>1637</v>
      </c>
      <c r="C24" s="1551"/>
    </row>
    <row r="25" spans="1:3">
      <c r="A25" s="8" t="s">
        <v>125</v>
      </c>
      <c r="B25" s="8" t="s">
        <v>1637</v>
      </c>
      <c r="C25" s="1551"/>
    </row>
    <row r="26" spans="1:3">
      <c r="A26" s="8" t="s">
        <v>126</v>
      </c>
      <c r="B26" s="8" t="s">
        <v>1637</v>
      </c>
      <c r="C26" s="1551"/>
    </row>
    <row r="27" spans="1:3">
      <c r="A27" s="8" t="s">
        <v>1637</v>
      </c>
      <c r="B27" s="8" t="s">
        <v>1637</v>
      </c>
      <c r="C27" s="1551"/>
    </row>
    <row r="28" spans="1:3">
      <c r="A28" s="8" t="s">
        <v>1637</v>
      </c>
      <c r="B28" s="8" t="s">
        <v>1637</v>
      </c>
      <c r="C28" s="1551"/>
    </row>
    <row r="29" spans="1:3">
      <c r="A29" s="8" t="s">
        <v>1637</v>
      </c>
      <c r="B29" s="8" t="s">
        <v>1637</v>
      </c>
      <c r="C29" s="1551"/>
    </row>
    <row r="30" spans="1:3">
      <c r="A30" s="8" t="s">
        <v>1637</v>
      </c>
      <c r="B30" s="8" t="s">
        <v>1637</v>
      </c>
      <c r="C30" s="1551"/>
    </row>
    <row r="31" spans="1:3">
      <c r="A31" s="8" t="s">
        <v>1637</v>
      </c>
      <c r="B31" s="8" t="s">
        <v>1637</v>
      </c>
      <c r="C31" s="1551"/>
    </row>
    <row r="32" spans="1:3">
      <c r="A32" s="8" t="s">
        <v>1637</v>
      </c>
      <c r="B32" s="8" t="s">
        <v>1637</v>
      </c>
      <c r="C32" s="1551"/>
    </row>
    <row r="33" spans="1:3">
      <c r="A33" s="8" t="s">
        <v>1637</v>
      </c>
      <c r="B33" s="8" t="s">
        <v>1637</v>
      </c>
      <c r="C33" s="1551"/>
    </row>
    <row r="34" spans="1:3">
      <c r="A34" s="8" t="s">
        <v>1637</v>
      </c>
      <c r="B34" s="8" t="s">
        <v>1637</v>
      </c>
      <c r="C34" s="1551"/>
    </row>
    <row r="35" spans="1:3">
      <c r="A35" s="8" t="s">
        <v>1637</v>
      </c>
      <c r="B35" s="8" t="s">
        <v>1637</v>
      </c>
      <c r="C35" s="1551"/>
    </row>
    <row r="36" spans="1:3">
      <c r="A36" s="8" t="s">
        <v>1637</v>
      </c>
      <c r="B36" s="8" t="s">
        <v>1637</v>
      </c>
      <c r="C36" s="1551"/>
    </row>
    <row r="37" spans="1:3">
      <c r="A37" s="8" t="s">
        <v>1637</v>
      </c>
      <c r="B37" s="8" t="s">
        <v>1637</v>
      </c>
      <c r="C37" s="1551"/>
    </row>
    <row r="38" spans="1:3">
      <c r="A38" s="8" t="s">
        <v>1637</v>
      </c>
      <c r="B38" s="8" t="s">
        <v>1637</v>
      </c>
      <c r="C38" s="1551"/>
    </row>
    <row r="39" spans="1:3">
      <c r="A39" s="8" t="s">
        <v>1637</v>
      </c>
      <c r="B39" s="8" t="s">
        <v>1637</v>
      </c>
      <c r="C39" s="1551"/>
    </row>
    <row r="40" spans="1:3">
      <c r="A40" s="8" t="s">
        <v>1637</v>
      </c>
      <c r="B40" s="8" t="s">
        <v>1637</v>
      </c>
      <c r="C40" s="1551"/>
    </row>
    <row r="41" spans="1:3">
      <c r="A41" s="8" t="s">
        <v>1637</v>
      </c>
      <c r="B41" s="8" t="s">
        <v>1637</v>
      </c>
      <c r="C41" s="1551"/>
    </row>
    <row r="42" spans="1:3">
      <c r="A42" s="8" t="s">
        <v>1637</v>
      </c>
      <c r="B42" s="8" t="s">
        <v>1637</v>
      </c>
      <c r="C42" s="1551"/>
    </row>
    <row r="43" spans="1:3">
      <c r="A43" s="8" t="s">
        <v>1637</v>
      </c>
      <c r="B43" s="8" t="s">
        <v>1637</v>
      </c>
      <c r="C43" s="1551"/>
    </row>
    <row r="44" spans="1:3">
      <c r="A44" s="8" t="s">
        <v>1637</v>
      </c>
      <c r="B44" s="8" t="s">
        <v>1637</v>
      </c>
      <c r="C44" s="1551"/>
    </row>
    <row r="45" spans="1:3">
      <c r="A45" s="8" t="s">
        <v>1637</v>
      </c>
      <c r="B45" s="8" t="s">
        <v>1637</v>
      </c>
      <c r="C45" s="1551"/>
    </row>
    <row r="46" spans="1:3">
      <c r="A46" s="8" t="s">
        <v>1637</v>
      </c>
      <c r="B46" s="8" t="s">
        <v>1637</v>
      </c>
      <c r="C46" s="1551"/>
    </row>
    <row r="47" spans="1:3">
      <c r="A47" s="8" t="s">
        <v>1637</v>
      </c>
      <c r="B47" s="8" t="s">
        <v>1637</v>
      </c>
      <c r="C47" s="1551"/>
    </row>
    <row r="48" spans="1:3">
      <c r="A48" s="8" t="s">
        <v>1637</v>
      </c>
      <c r="B48" s="8" t="s">
        <v>1637</v>
      </c>
      <c r="C48" s="1551"/>
    </row>
    <row r="49" spans="1:5">
      <c r="A49" s="8" t="s">
        <v>1637</v>
      </c>
      <c r="B49" s="8" t="s">
        <v>1637</v>
      </c>
      <c r="C49" s="1551"/>
    </row>
    <row r="50" spans="1:5">
      <c r="A50" s="8" t="s">
        <v>1637</v>
      </c>
      <c r="B50" s="8" t="s">
        <v>1637</v>
      </c>
      <c r="C50" s="1551"/>
    </row>
    <row r="51" spans="1:5">
      <c r="A51" s="1763" t="s">
        <v>1940</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1984</v>
      </c>
      <c r="B52" s="1766" t="s">
        <v>1985</v>
      </c>
      <c r="C52" s="1764" t="s">
        <v>1986</v>
      </c>
      <c r="D52" s="1764" t="s">
        <v>1987</v>
      </c>
      <c r="E52" s="1765"/>
    </row>
    <row r="53" spans="1:5">
      <c r="A53" s="3265" t="s">
        <v>1988</v>
      </c>
      <c r="B53" s="1764" t="s">
        <v>1994</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5"/>
      <c r="E53" s="1765"/>
    </row>
    <row r="54" spans="1:5">
      <c r="A54" s="3265"/>
      <c r="B54" s="1764" t="s">
        <v>1995</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65"/>
      <c r="B55" s="1764" t="s">
        <v>1989</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65"/>
      <c r="B56" s="1764" t="s">
        <v>1990</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65"/>
      <c r="B57" s="1764" t="s">
        <v>1991</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2018-07-03T01:42:45Z</dcterms:modified>
</cp:coreProperties>
</file>