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利用中心\科研\"/>
    </mc:Choice>
  </mc:AlternateContent>
  <xr:revisionPtr revIDLastSave="0" documentId="13_ncr:1_{DBAEFF5F-0035-49EB-9A73-B562B4F34590}" xr6:coauthVersionLast="45" xr6:coauthVersionMax="45" xr10:uidLastSave="{00000000-0000-0000-0000-000000000000}"/>
  <bookViews>
    <workbookView xWindow="-75" yWindow="270" windowWidth="20340" windowHeight="10860" tabRatio="875" firstSheet="10"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3" i="85" l="1"/>
  <c r="P15" i="85" s="1"/>
  <c r="N13" i="85"/>
  <c r="M13" i="85"/>
  <c r="L13" i="85"/>
  <c r="K13" i="85"/>
  <c r="AN13" i="3" l="1"/>
  <c r="C41" i="83"/>
  <c r="J10" i="85" l="1"/>
  <c r="G44" i="83"/>
  <c r="F21" i="34" l="1"/>
  <c r="AA21" i="34" s="1"/>
  <c r="D86" i="34"/>
  <c r="F23" i="34" s="1"/>
  <c r="AA23" i="34" s="1"/>
  <c r="F38" i="34"/>
  <c r="AA38" i="34" s="1"/>
  <c r="F39" i="34"/>
  <c r="AA39" i="34" s="1"/>
  <c r="F36" i="34"/>
  <c r="AA36" i="34" s="1"/>
  <c r="F43" i="34"/>
  <c r="AA43" i="34" s="1"/>
  <c r="F33" i="34"/>
  <c r="AA33" i="34" s="1"/>
  <c r="F35" i="34"/>
  <c r="AA35" i="34" s="1"/>
  <c r="F40" i="34"/>
  <c r="AA40" i="34" s="1"/>
  <c r="D80" i="34"/>
  <c r="E80" i="34" s="1"/>
  <c r="F17" i="34" s="1"/>
  <c r="AA17" i="34" s="1"/>
  <c r="D78" i="34"/>
  <c r="E78" i="34"/>
  <c r="J15" i="34" s="1"/>
  <c r="AC15" i="34" s="1"/>
  <c r="F25" i="34"/>
  <c r="AA25" i="34"/>
  <c r="C64" i="34"/>
  <c r="H21" i="34"/>
  <c r="AB21" i="34" s="1"/>
  <c r="H38" i="34"/>
  <c r="AB38" i="34"/>
  <c r="H39" i="34"/>
  <c r="AB39" i="34"/>
  <c r="H36" i="34"/>
  <c r="AB36" i="34"/>
  <c r="H43" i="34"/>
  <c r="AB43" i="34"/>
  <c r="H33" i="34"/>
  <c r="AB33" i="34"/>
  <c r="H35" i="34"/>
  <c r="AB35" i="34"/>
  <c r="H40" i="34"/>
  <c r="AB40" i="34"/>
  <c r="H25" i="34"/>
  <c r="AB25" i="34"/>
  <c r="J21" i="34"/>
  <c r="AC21" i="34" s="1"/>
  <c r="J38" i="34"/>
  <c r="AC38" i="34" s="1"/>
  <c r="J39" i="34"/>
  <c r="AC39" i="34" s="1"/>
  <c r="J36" i="34"/>
  <c r="AC36" i="34" s="1"/>
  <c r="J43" i="34"/>
  <c r="AC43" i="34" s="1"/>
  <c r="J33" i="34"/>
  <c r="AC33" i="34" s="1"/>
  <c r="J35" i="34"/>
  <c r="AC35" i="34" s="1"/>
  <c r="J40" i="34"/>
  <c r="AC40" i="34" s="1"/>
  <c r="J17" i="34"/>
  <c r="AC17" i="34" s="1"/>
  <c r="J25" i="34"/>
  <c r="AC25" i="34" s="1"/>
  <c r="J9" i="34"/>
  <c r="AC9" i="34" s="1"/>
  <c r="L19" i="6"/>
  <c r="B22" i="1"/>
  <c r="C2" i="65" s="1"/>
  <c r="I1" i="65" s="1"/>
  <c r="F23" i="76"/>
  <c r="B24" i="1"/>
  <c r="G2" i="83"/>
  <c r="I21" i="83" s="1"/>
  <c r="O21" i="83"/>
  <c r="C17" i="83"/>
  <c r="I2" i="83"/>
  <c r="D93" i="83"/>
  <c r="D99" i="83"/>
  <c r="D13" i="85"/>
  <c r="D11" i="85"/>
  <c r="D14" i="85" s="1"/>
  <c r="B15" i="85"/>
  <c r="C3" i="85"/>
  <c r="C4" i="85"/>
  <c r="D4" i="85"/>
  <c r="C6" i="85"/>
  <c r="C8" i="85"/>
  <c r="C9" i="85"/>
  <c r="C18" i="85" s="1"/>
  <c r="C16" i="85"/>
  <c r="C17" i="85"/>
  <c r="D18" i="85"/>
  <c r="C19" i="85"/>
  <c r="D20" i="85"/>
  <c r="C22" i="85"/>
  <c r="D22" i="85"/>
  <c r="C23" i="85"/>
  <c r="D23" i="85"/>
  <c r="D24" i="85"/>
  <c r="C25" i="85"/>
  <c r="J52" i="76"/>
  <c r="L52" i="76"/>
  <c r="F20" i="76"/>
  <c r="F117" i="83"/>
  <c r="N112" i="83"/>
  <c r="N113" i="83" s="1"/>
  <c r="M112" i="83"/>
  <c r="M113" i="83" s="1"/>
  <c r="L112" i="83"/>
  <c r="L113" i="83" s="1"/>
  <c r="K112" i="83"/>
  <c r="K113" i="83" s="1"/>
  <c r="J112" i="83"/>
  <c r="J113" i="83" s="1"/>
  <c r="I112" i="83"/>
  <c r="I113" i="83" s="1"/>
  <c r="H112" i="83"/>
  <c r="H113" i="83" s="1"/>
  <c r="G112" i="83"/>
  <c r="G113" i="83" s="1"/>
  <c r="F112" i="83"/>
  <c r="F113" i="83" s="1"/>
  <c r="E112" i="83"/>
  <c r="E113" i="83" s="1"/>
  <c r="D112" i="83"/>
  <c r="D113" i="83" s="1"/>
  <c r="C112" i="83"/>
  <c r="C113" i="83" s="1"/>
  <c r="B97" i="83"/>
  <c r="B95" i="83"/>
  <c r="M90" i="83"/>
  <c r="N90" i="83" s="1"/>
  <c r="K90" i="83"/>
  <c r="J90" i="83" s="1"/>
  <c r="F83" i="83"/>
  <c r="H84" i="83" s="1"/>
  <c r="D90" i="83"/>
  <c r="M89" i="83"/>
  <c r="N89" i="83" s="1"/>
  <c r="K89" i="83"/>
  <c r="J89" i="83" s="1"/>
  <c r="H89" i="83"/>
  <c r="D89" i="83"/>
  <c r="M88" i="83"/>
  <c r="N88" i="83" s="1"/>
  <c r="K88" i="83"/>
  <c r="J88" i="83" s="1"/>
  <c r="H88" i="83"/>
  <c r="D88" i="83"/>
  <c r="M87" i="83"/>
  <c r="N87" i="83" s="1"/>
  <c r="K87" i="83"/>
  <c r="J87" i="83" s="1"/>
  <c r="D87" i="83"/>
  <c r="M86" i="83"/>
  <c r="N86" i="83" s="1"/>
  <c r="K86" i="83"/>
  <c r="J86" i="83" s="1"/>
  <c r="D86" i="83"/>
  <c r="B86" i="83"/>
  <c r="M85" i="83"/>
  <c r="N85" i="83" s="1"/>
  <c r="K85" i="83"/>
  <c r="J85" i="83" s="1"/>
  <c r="D85" i="83"/>
  <c r="B85" i="83"/>
  <c r="M84" i="83"/>
  <c r="N84" i="83" s="1"/>
  <c r="K84" i="83"/>
  <c r="J84" i="83" s="1"/>
  <c r="D84" i="83"/>
  <c r="M83" i="83"/>
  <c r="N83" i="83"/>
  <c r="K83" i="83"/>
  <c r="J83" i="83"/>
  <c r="D83" i="83"/>
  <c r="M80" i="83"/>
  <c r="N80" i="83" s="1"/>
  <c r="K80" i="83"/>
  <c r="J80" i="83" s="1"/>
  <c r="F72" i="83"/>
  <c r="H78" i="83" s="1"/>
  <c r="D80" i="83"/>
  <c r="M79" i="83"/>
  <c r="N79" i="83" s="1"/>
  <c r="K79" i="83"/>
  <c r="J79" i="83" s="1"/>
  <c r="D79" i="83"/>
  <c r="M78" i="83"/>
  <c r="N78" i="83" s="1"/>
  <c r="K78" i="83"/>
  <c r="J78" i="83" s="1"/>
  <c r="D78" i="83"/>
  <c r="M77" i="83"/>
  <c r="N77" i="83" s="1"/>
  <c r="K77" i="83"/>
  <c r="J77" i="83" s="1"/>
  <c r="D77" i="83"/>
  <c r="M76" i="83"/>
  <c r="N76" i="83"/>
  <c r="K76" i="83"/>
  <c r="J76" i="83"/>
  <c r="D76" i="83"/>
  <c r="M75" i="83"/>
  <c r="N75" i="83" s="1"/>
  <c r="K75" i="83"/>
  <c r="J75" i="83" s="1"/>
  <c r="D75" i="83"/>
  <c r="M74" i="83"/>
  <c r="N74" i="83"/>
  <c r="K74" i="83"/>
  <c r="J74" i="83"/>
  <c r="D74" i="83"/>
  <c r="B74" i="83"/>
  <c r="M73" i="83"/>
  <c r="N73" i="83" s="1"/>
  <c r="K73" i="83"/>
  <c r="J73" i="83" s="1"/>
  <c r="D73" i="83"/>
  <c r="M72" i="83"/>
  <c r="N72" i="83"/>
  <c r="K72" i="83"/>
  <c r="J72" i="83"/>
  <c r="D72" i="83"/>
  <c r="M69" i="83"/>
  <c r="N69" i="83" s="1"/>
  <c r="K69" i="83"/>
  <c r="J69" i="83" s="1"/>
  <c r="F61" i="83"/>
  <c r="H66" i="83" s="1"/>
  <c r="D69" i="83"/>
  <c r="M68" i="83"/>
  <c r="N68" i="83" s="1"/>
  <c r="K68" i="83"/>
  <c r="J68" i="83" s="1"/>
  <c r="H68" i="83"/>
  <c r="D68" i="83"/>
  <c r="M67" i="83"/>
  <c r="N67" i="83" s="1"/>
  <c r="K67" i="83"/>
  <c r="J67" i="83" s="1"/>
  <c r="D67" i="83"/>
  <c r="M66" i="83"/>
  <c r="N66" i="83" s="1"/>
  <c r="K66" i="83"/>
  <c r="J66" i="83" s="1"/>
  <c r="D66" i="83"/>
  <c r="M65" i="83"/>
  <c r="N65" i="83" s="1"/>
  <c r="K65" i="83"/>
  <c r="J65" i="83" s="1"/>
  <c r="D65" i="83"/>
  <c r="M64" i="83"/>
  <c r="N64" i="83"/>
  <c r="K64" i="83"/>
  <c r="J64" i="83"/>
  <c r="D64" i="83"/>
  <c r="M63" i="83"/>
  <c r="N63" i="83" s="1"/>
  <c r="K63" i="83"/>
  <c r="J63" i="83" s="1"/>
  <c r="D63" i="83"/>
  <c r="B63" i="83"/>
  <c r="M62" i="83"/>
  <c r="N62" i="83" s="1"/>
  <c r="K62" i="83"/>
  <c r="J62" i="83" s="1"/>
  <c r="H62" i="83"/>
  <c r="D62" i="83"/>
  <c r="M61" i="83"/>
  <c r="N61" i="83" s="1"/>
  <c r="K61" i="83"/>
  <c r="J61" i="83" s="1"/>
  <c r="D61" i="83"/>
  <c r="E61" i="83" s="1"/>
  <c r="B59" i="83" s="1"/>
  <c r="F50" i="83"/>
  <c r="H58" i="83" s="1"/>
  <c r="G58" i="83" s="1"/>
  <c r="D58" i="83"/>
  <c r="D57" i="83"/>
  <c r="D56" i="83"/>
  <c r="H54" i="83"/>
  <c r="G54" i="83" s="1"/>
  <c r="D54" i="83"/>
  <c r="H53" i="83"/>
  <c r="G53" i="83" s="1"/>
  <c r="B52" i="83"/>
  <c r="D50" i="83"/>
  <c r="G24" i="83"/>
  <c r="E44" i="83" s="1"/>
  <c r="C44" i="83" s="1"/>
  <c r="C22" i="83"/>
  <c r="F42" i="83"/>
  <c r="H42" i="83"/>
  <c r="F41" i="83"/>
  <c r="H41" i="83"/>
  <c r="J24" i="83"/>
  <c r="H40" i="83"/>
  <c r="F39" i="83"/>
  <c r="H39" i="83"/>
  <c r="F38" i="83"/>
  <c r="H38" i="83"/>
  <c r="F37" i="83"/>
  <c r="H37" i="83"/>
  <c r="C10" i="83"/>
  <c r="C11" i="83" s="1"/>
  <c r="C9" i="83"/>
  <c r="E24" i="83"/>
  <c r="P32" i="83"/>
  <c r="N32" i="83"/>
  <c r="C27" i="83"/>
  <c r="M23" i="83"/>
  <c r="I23" i="83"/>
  <c r="D21" i="83"/>
  <c r="G18" i="83"/>
  <c r="C13" i="83"/>
  <c r="N12" i="83"/>
  <c r="M12" i="83"/>
  <c r="N11" i="83"/>
  <c r="M11" i="83"/>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Y10" i="83"/>
  <c r="N10" i="83"/>
  <c r="M10" i="83"/>
  <c r="N9" i="83"/>
  <c r="M9" i="83"/>
  <c r="N8" i="83"/>
  <c r="M8" i="83"/>
  <c r="X7" i="83"/>
  <c r="S6" i="83"/>
  <c r="N6" i="83"/>
  <c r="M6" i="83"/>
  <c r="S5" i="83"/>
  <c r="N5" i="83"/>
  <c r="M5" i="83"/>
  <c r="S4" i="83"/>
  <c r="N4" i="83"/>
  <c r="M4" i="83"/>
  <c r="S3" i="83"/>
  <c r="N3" i="83"/>
  <c r="M3" i="83"/>
  <c r="S2" i="83"/>
  <c r="N2" i="83"/>
  <c r="M2" i="83"/>
  <c r="N1" i="83"/>
  <c r="M1" i="83"/>
  <c r="A3" i="3"/>
  <c r="I17" i="4"/>
  <c r="H17" i="4"/>
  <c r="D3" i="4"/>
  <c r="B2" i="1" s="1"/>
  <c r="C44" i="82"/>
  <c r="E44" i="82"/>
  <c r="F44" i="82" s="1"/>
  <c r="D33" i="82"/>
  <c r="D41" i="82"/>
  <c r="D42" i="82" s="1"/>
  <c r="C33" i="82"/>
  <c r="E25" i="82" s="1"/>
  <c r="E26" i="82" s="1"/>
  <c r="C41" i="82"/>
  <c r="B41" i="82"/>
  <c r="E34" i="82"/>
  <c r="F21" i="82"/>
  <c r="F16" i="82" s="1"/>
  <c r="F25" i="82"/>
  <c r="G25" i="82" s="1"/>
  <c r="H25" i="82" s="1"/>
  <c r="E18" i="82"/>
  <c r="E21" i="82"/>
  <c r="E16" i="82" s="1"/>
  <c r="E22" i="82"/>
  <c r="E24" i="82"/>
  <c r="C25" i="82"/>
  <c r="G23" i="82"/>
  <c r="C23" i="82"/>
  <c r="G22" i="82"/>
  <c r="H22" i="82" s="1"/>
  <c r="C22" i="82"/>
  <c r="G20" i="82"/>
  <c r="G19" i="82"/>
  <c r="H19" i="82"/>
  <c r="G18" i="82"/>
  <c r="H18" i="82"/>
  <c r="E7" i="82"/>
  <c r="E10" i="82"/>
  <c r="E12" i="82"/>
  <c r="C11" i="82"/>
  <c r="F9" i="82"/>
  <c r="G9" i="82"/>
  <c r="C9" i="82"/>
  <c r="F8" i="82"/>
  <c r="C8" i="82"/>
  <c r="F6" i="82"/>
  <c r="G6" i="82" s="1"/>
  <c r="F5" i="82"/>
  <c r="G5" i="82" s="1"/>
  <c r="F4" i="82"/>
  <c r="G4" i="82" s="1"/>
  <c r="R48" i="34"/>
  <c r="F8" i="34"/>
  <c r="AA8" i="34"/>
  <c r="D70" i="34"/>
  <c r="E70" i="34"/>
  <c r="F10" i="34"/>
  <c r="AA10" i="34" s="1"/>
  <c r="B71" i="34"/>
  <c r="F12" i="34" s="1"/>
  <c r="AA12" i="34" s="1"/>
  <c r="B73" i="34"/>
  <c r="F13" i="34"/>
  <c r="AA13" i="34" s="1"/>
  <c r="B75" i="34"/>
  <c r="F14" i="34" s="1"/>
  <c r="AA14" i="34" s="1"/>
  <c r="B91" i="34"/>
  <c r="F28" i="34" s="1"/>
  <c r="AA28" i="34" s="1"/>
  <c r="B93" i="34"/>
  <c r="F29" i="34" s="1"/>
  <c r="AA29" i="34" s="1"/>
  <c r="B95" i="34"/>
  <c r="F30" i="34"/>
  <c r="AA30" i="34" s="1"/>
  <c r="B97" i="34"/>
  <c r="F31" i="34" s="1"/>
  <c r="AA31" i="34" s="1"/>
  <c r="B99" i="34"/>
  <c r="F32" i="34" s="1"/>
  <c r="AA32" i="34" s="1"/>
  <c r="E20" i="6"/>
  <c r="C33" i="33" s="1"/>
  <c r="C24" i="33"/>
  <c r="C20" i="33"/>
  <c r="C18" i="33"/>
  <c r="C16" i="33"/>
  <c r="BC13" i="3"/>
  <c r="B5" i="68"/>
  <c r="L4" i="68" s="1"/>
  <c r="Q4" i="68" s="1"/>
  <c r="Q7" i="77"/>
  <c r="R7" i="77" s="1"/>
  <c r="Q6" i="77"/>
  <c r="R6" i="77" s="1"/>
  <c r="Q5" i="77"/>
  <c r="R5" i="77" s="1"/>
  <c r="L4" i="77"/>
  <c r="C14" i="66"/>
  <c r="E21" i="6"/>
  <c r="E19" i="73" s="1"/>
  <c r="F8" i="1"/>
  <c r="I24" i="73"/>
  <c r="G24" i="73"/>
  <c r="F7" i="1"/>
  <c r="I24" i="46"/>
  <c r="G24" i="46"/>
  <c r="G2" i="73"/>
  <c r="I2" i="73"/>
  <c r="M7" i="73" s="1"/>
  <c r="C6" i="73" s="1"/>
  <c r="G2" i="46"/>
  <c r="C6" i="46" s="1"/>
  <c r="B4" i="78" s="1"/>
  <c r="I2" i="46"/>
  <c r="M7" i="46" s="1"/>
  <c r="A17" i="78"/>
  <c r="A10" i="78"/>
  <c r="A18" i="78" s="1"/>
  <c r="A9" i="78"/>
  <c r="H18" i="78"/>
  <c r="E18" i="78"/>
  <c r="E17" i="78"/>
  <c r="E16" i="78"/>
  <c r="J14" i="78"/>
  <c r="K14" i="78" s="1"/>
  <c r="H14" i="78"/>
  <c r="C14" i="78" s="1"/>
  <c r="B14" i="78"/>
  <c r="I14" i="78" s="1"/>
  <c r="J13" i="78"/>
  <c r="K13" i="78" s="1"/>
  <c r="B13" i="78"/>
  <c r="I13" i="78" s="1"/>
  <c r="J12" i="78"/>
  <c r="K12" i="78" s="1"/>
  <c r="B12" i="78"/>
  <c r="I12" i="78" s="1"/>
  <c r="H8" i="78"/>
  <c r="H16" i="78" s="1"/>
  <c r="B8" i="78"/>
  <c r="I8" i="78" s="1"/>
  <c r="I3" i="78"/>
  <c r="H3" i="78"/>
  <c r="G3" i="78"/>
  <c r="F3" i="78"/>
  <c r="E3" i="78"/>
  <c r="D3" i="78"/>
  <c r="C3" i="78"/>
  <c r="B3" i="78"/>
  <c r="J52" i="75"/>
  <c r="F33" i="76"/>
  <c r="F60" i="76" s="1"/>
  <c r="D60" i="76"/>
  <c r="Q59" i="76"/>
  <c r="K59" i="76"/>
  <c r="P75" i="76" s="1"/>
  <c r="F58" i="76"/>
  <c r="Q52" i="76"/>
  <c r="J50" i="76"/>
  <c r="M47" i="76"/>
  <c r="B59" i="1"/>
  <c r="B52" i="1"/>
  <c r="F34" i="76" s="1"/>
  <c r="F61" i="76" s="1"/>
  <c r="B43" i="1"/>
  <c r="B41" i="1"/>
  <c r="F32" i="76" s="1"/>
  <c r="F59" i="76" s="1"/>
  <c r="F31" i="76"/>
  <c r="F28" i="76"/>
  <c r="F21" i="76"/>
  <c r="M20" i="76"/>
  <c r="M19" i="76"/>
  <c r="M18" i="76"/>
  <c r="F18" i="76"/>
  <c r="M17" i="76"/>
  <c r="F17" i="76"/>
  <c r="F15" i="76"/>
  <c r="A6" i="1"/>
  <c r="A8" i="1"/>
  <c r="S8" i="1" s="1"/>
  <c r="A7" i="1"/>
  <c r="S7" i="1" s="1"/>
  <c r="A9" i="1"/>
  <c r="S9" i="1" s="1"/>
  <c r="A10" i="1"/>
  <c r="S10" i="1" s="1"/>
  <c r="A11" i="1"/>
  <c r="S11" i="1" s="1"/>
  <c r="A12" i="1"/>
  <c r="S12" i="1" s="1"/>
  <c r="A13" i="1"/>
  <c r="S13" i="1" s="1"/>
  <c r="G1" i="76"/>
  <c r="D60" i="75"/>
  <c r="Q59" i="75"/>
  <c r="K59" i="75"/>
  <c r="F58" i="75"/>
  <c r="Q52" i="75"/>
  <c r="J50" i="75"/>
  <c r="M47" i="75"/>
  <c r="F33" i="75"/>
  <c r="F60" i="75" s="1"/>
  <c r="F32" i="75"/>
  <c r="F59" i="75" s="1"/>
  <c r="F31" i="75"/>
  <c r="F23" i="75"/>
  <c r="D24" i="75" s="1"/>
  <c r="F21" i="75"/>
  <c r="M20" i="75"/>
  <c r="F20" i="75"/>
  <c r="M19" i="75"/>
  <c r="F18" i="75"/>
  <c r="M17" i="75"/>
  <c r="F17" i="75"/>
  <c r="F15" i="75"/>
  <c r="G1" i="75"/>
  <c r="C29" i="74"/>
  <c r="C25" i="74"/>
  <c r="F24" i="74"/>
  <c r="F23" i="74"/>
  <c r="E22" i="74"/>
  <c r="E21" i="74"/>
  <c r="E19" i="74"/>
  <c r="F17" i="74"/>
  <c r="E16" i="74"/>
  <c r="F15" i="74"/>
  <c r="F14" i="74"/>
  <c r="K9" i="74"/>
  <c r="J9" i="74"/>
  <c r="I9" i="74"/>
  <c r="H9" i="74"/>
  <c r="G9" i="74"/>
  <c r="F9" i="74"/>
  <c r="E9" i="74"/>
  <c r="D9" i="74"/>
  <c r="K1" i="74"/>
  <c r="C69" i="73"/>
  <c r="D69" i="73" s="1"/>
  <c r="C68" i="73"/>
  <c r="C67" i="73"/>
  <c r="D67" i="73" s="1"/>
  <c r="C66" i="73"/>
  <c r="N7" i="73"/>
  <c r="F61" i="73" s="1"/>
  <c r="C65" i="73"/>
  <c r="C64" i="73"/>
  <c r="C63" i="73"/>
  <c r="C62" i="73"/>
  <c r="D33" i="4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M99" i="73"/>
  <c r="N99" i="73" s="1"/>
  <c r="K99" i="73"/>
  <c r="J99" i="73" s="1"/>
  <c r="D99" i="73"/>
  <c r="M98" i="73"/>
  <c r="N98" i="73" s="1"/>
  <c r="K98" i="73"/>
  <c r="J98" i="73" s="1"/>
  <c r="D98" i="73"/>
  <c r="M97" i="73"/>
  <c r="N97" i="73" s="1"/>
  <c r="K97" i="73"/>
  <c r="J97" i="73" s="1"/>
  <c r="D97" i="73"/>
  <c r="B97" i="73"/>
  <c r="M96" i="73"/>
  <c r="N96" i="73" s="1"/>
  <c r="K96" i="73"/>
  <c r="J96" i="73"/>
  <c r="D96" i="73"/>
  <c r="N95" i="73"/>
  <c r="M95" i="73"/>
  <c r="K95" i="73"/>
  <c r="J95" i="73" s="1"/>
  <c r="D95" i="73"/>
  <c r="B95" i="73"/>
  <c r="M94" i="73"/>
  <c r="N94" i="73" s="1"/>
  <c r="K94" i="73"/>
  <c r="J94" i="73" s="1"/>
  <c r="D94" i="73"/>
  <c r="N93" i="73"/>
  <c r="M93" i="73"/>
  <c r="K93" i="73"/>
  <c r="J93" i="73" s="1"/>
  <c r="F93" i="73"/>
  <c r="H101" i="73" s="1"/>
  <c r="E93" i="73"/>
  <c r="D93" i="73"/>
  <c r="B91" i="73"/>
  <c r="M90" i="73"/>
  <c r="N90" i="73"/>
  <c r="K90" i="73"/>
  <c r="J90" i="73"/>
  <c r="D90" i="73"/>
  <c r="M89" i="73"/>
  <c r="N89" i="73" s="1"/>
  <c r="K89" i="73"/>
  <c r="J89" i="73"/>
  <c r="D89" i="73"/>
  <c r="N88" i="73"/>
  <c r="M88" i="73"/>
  <c r="K88" i="73"/>
  <c r="J88" i="73" s="1"/>
  <c r="D88" i="73"/>
  <c r="M87" i="73"/>
  <c r="N87" i="73" s="1"/>
  <c r="K87" i="73"/>
  <c r="J87" i="73" s="1"/>
  <c r="D87" i="73"/>
  <c r="M86" i="73"/>
  <c r="N86" i="73" s="1"/>
  <c r="K86" i="73"/>
  <c r="J86" i="73" s="1"/>
  <c r="D86" i="73"/>
  <c r="B86" i="73"/>
  <c r="M85" i="73"/>
  <c r="N85" i="73" s="1"/>
  <c r="K85" i="73"/>
  <c r="J85" i="73" s="1"/>
  <c r="D85" i="73"/>
  <c r="B85" i="73"/>
  <c r="N84" i="73"/>
  <c r="M84" i="73"/>
  <c r="K84" i="73"/>
  <c r="J84" i="73" s="1"/>
  <c r="D84" i="73"/>
  <c r="M83" i="73"/>
  <c r="N83" i="73" s="1"/>
  <c r="K83" i="73"/>
  <c r="J83" i="73" s="1"/>
  <c r="F83" i="73"/>
  <c r="H89" i="73" s="1"/>
  <c r="D83" i="73"/>
  <c r="M80" i="73"/>
  <c r="N80" i="73" s="1"/>
  <c r="K80" i="73"/>
  <c r="J80" i="73" s="1"/>
  <c r="D80" i="73"/>
  <c r="M79" i="73"/>
  <c r="N79" i="73"/>
  <c r="K79" i="73"/>
  <c r="J79" i="73"/>
  <c r="D79" i="73"/>
  <c r="M78" i="73"/>
  <c r="N78" i="73" s="1"/>
  <c r="K78" i="73"/>
  <c r="J78" i="73"/>
  <c r="D78" i="73"/>
  <c r="N77" i="73"/>
  <c r="M77" i="73"/>
  <c r="K77" i="73"/>
  <c r="J77" i="73" s="1"/>
  <c r="D77" i="73"/>
  <c r="M76" i="73"/>
  <c r="N76" i="73" s="1"/>
  <c r="K76" i="73"/>
  <c r="J76" i="73" s="1"/>
  <c r="D76" i="73"/>
  <c r="M75" i="73"/>
  <c r="N75" i="73" s="1"/>
  <c r="K75" i="73"/>
  <c r="J75" i="73" s="1"/>
  <c r="D75" i="73"/>
  <c r="M74" i="73"/>
  <c r="N74" i="73" s="1"/>
  <c r="K74" i="73"/>
  <c r="J74" i="73" s="1"/>
  <c r="D74" i="73"/>
  <c r="B74" i="73"/>
  <c r="M73" i="73"/>
  <c r="N73" i="73" s="1"/>
  <c r="K73" i="73"/>
  <c r="J73" i="73" s="1"/>
  <c r="D73" i="73"/>
  <c r="M72" i="73"/>
  <c r="N72" i="73" s="1"/>
  <c r="K72" i="73"/>
  <c r="J72" i="73" s="1"/>
  <c r="F72" i="73"/>
  <c r="H78" i="73" s="1"/>
  <c r="D72" i="73"/>
  <c r="E72" i="73" s="1"/>
  <c r="B70" i="73" s="1"/>
  <c r="D68" i="73"/>
  <c r="D65" i="73"/>
  <c r="B63" i="73"/>
  <c r="D61" i="73"/>
  <c r="M58" i="73"/>
  <c r="N58" i="73" s="1"/>
  <c r="K58" i="73"/>
  <c r="J58" i="73" s="1"/>
  <c r="D58" i="73"/>
  <c r="N57" i="73"/>
  <c r="M57" i="73"/>
  <c r="K57" i="73"/>
  <c r="J57" i="73" s="1"/>
  <c r="D57" i="73"/>
  <c r="M56" i="73"/>
  <c r="N56" i="73" s="1"/>
  <c r="K56" i="73"/>
  <c r="J56" i="73" s="1"/>
  <c r="D56" i="73"/>
  <c r="M55" i="73"/>
  <c r="N55" i="73" s="1"/>
  <c r="K55" i="73"/>
  <c r="J55" i="73" s="1"/>
  <c r="D55" i="73"/>
  <c r="M54" i="73"/>
  <c r="N54" i="73" s="1"/>
  <c r="K54" i="73"/>
  <c r="J54" i="73" s="1"/>
  <c r="D54" i="73"/>
  <c r="M53" i="73"/>
  <c r="N53" i="73" s="1"/>
  <c r="K53" i="73"/>
  <c r="J53" i="73" s="1"/>
  <c r="D53" i="73"/>
  <c r="M52" i="73"/>
  <c r="N52" i="73" s="1"/>
  <c r="K52" i="73"/>
  <c r="J52" i="73" s="1"/>
  <c r="D52" i="73"/>
  <c r="B52" i="73"/>
  <c r="M51" i="73"/>
  <c r="N51" i="73" s="1"/>
  <c r="K51" i="73"/>
  <c r="J51" i="73" s="1"/>
  <c r="D51" i="73"/>
  <c r="M50" i="73"/>
  <c r="N50" i="73" s="1"/>
  <c r="K50" i="73"/>
  <c r="J50" i="73" s="1"/>
  <c r="F50" i="73"/>
  <c r="H57" i="73" s="1"/>
  <c r="D50" i="73"/>
  <c r="E50" i="73" s="1"/>
  <c r="H42" i="73"/>
  <c r="H41" i="73"/>
  <c r="H40" i="73"/>
  <c r="H39" i="73"/>
  <c r="H38" i="73"/>
  <c r="H37" i="73"/>
  <c r="J24" i="73"/>
  <c r="E44" i="73"/>
  <c r="C44" i="73" s="1"/>
  <c r="E24" i="73"/>
  <c r="P32" i="73" s="1"/>
  <c r="I23" i="73"/>
  <c r="C22" i="73"/>
  <c r="E5" i="78" s="1"/>
  <c r="I18" i="73"/>
  <c r="E17" i="73" s="1"/>
  <c r="G18" i="73"/>
  <c r="C13" i="73"/>
  <c r="Y10" i="73"/>
  <c r="C10" i="73"/>
  <c r="C11" i="73" s="1"/>
  <c r="E9"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M12" i="73"/>
  <c r="H117" i="73"/>
  <c r="N1" i="73"/>
  <c r="K8" i="1"/>
  <c r="M8" i="1" s="1"/>
  <c r="T4" i="1"/>
  <c r="D7" i="1"/>
  <c r="K7" i="1"/>
  <c r="D23" i="75"/>
  <c r="D23" i="76"/>
  <c r="D22" i="76"/>
  <c r="D24" i="76"/>
  <c r="P75" i="75"/>
  <c r="P62" i="75"/>
  <c r="J51" i="75"/>
  <c r="B48" i="73"/>
  <c r="H96" i="73"/>
  <c r="H93" i="73"/>
  <c r="M4" i="73"/>
  <c r="M6" i="73"/>
  <c r="N8" i="73"/>
  <c r="N9" i="73"/>
  <c r="M1" i="73"/>
  <c r="M2" i="73"/>
  <c r="N3" i="73"/>
  <c r="M5" i="73"/>
  <c r="H95" i="73"/>
  <c r="E11" i="73"/>
  <c r="S2" i="73"/>
  <c r="S4" i="73"/>
  <c r="S5" i="73"/>
  <c r="S6" i="73"/>
  <c r="X7" i="73"/>
  <c r="N2" i="73"/>
  <c r="M3" i="73"/>
  <c r="S3" i="73"/>
  <c r="N4" i="73"/>
  <c r="N5" i="73"/>
  <c r="N6" i="73"/>
  <c r="M8" i="73"/>
  <c r="M9" i="73"/>
  <c r="N10" i="73"/>
  <c r="N11" i="73"/>
  <c r="N12" i="73"/>
  <c r="C21" i="73"/>
  <c r="H21" i="73"/>
  <c r="J21" i="73"/>
  <c r="L21" i="73"/>
  <c r="N21" i="73"/>
  <c r="M32" i="73"/>
  <c r="O32" i="73"/>
  <c r="Q32" i="73"/>
  <c r="H50" i="73"/>
  <c r="H52" i="73"/>
  <c r="H53" i="73"/>
  <c r="H56" i="73"/>
  <c r="H58" i="73"/>
  <c r="M10" i="73"/>
  <c r="M11" i="73"/>
  <c r="D21" i="73"/>
  <c r="I21" i="73"/>
  <c r="K21" i="73"/>
  <c r="M21" i="73"/>
  <c r="O21"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M7" i="1"/>
  <c r="Q73" i="76"/>
  <c r="Q60" i="76"/>
  <c r="R43" i="68"/>
  <c r="R27" i="68"/>
  <c r="R23" i="68"/>
  <c r="R22" i="68"/>
  <c r="R21" i="68"/>
  <c r="R17" i="68"/>
  <c r="R18" i="68"/>
  <c r="R16" i="68"/>
  <c r="R8" i="68"/>
  <c r="R9" i="68"/>
  <c r="R11" i="68"/>
  <c r="R12" i="68"/>
  <c r="R13" i="68"/>
  <c r="R7" i="68"/>
  <c r="D14" i="68"/>
  <c r="C29" i="1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s="1"/>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J8" i="78"/>
  <c r="K8" i="78" s="1"/>
  <c r="B3" i="6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E4" i="78" s="1"/>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H95" i="46" s="1"/>
  <c r="N6" i="46"/>
  <c r="N7" i="46"/>
  <c r="N8" i="46"/>
  <c r="N9" i="46"/>
  <c r="N10" i="46"/>
  <c r="N11" i="46"/>
  <c r="N12" i="46"/>
  <c r="C21"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S28" i="70" s="1"/>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s="1"/>
  <c r="L30" i="70"/>
  <c r="I30" i="70"/>
  <c r="AD30" i="70" s="1"/>
  <c r="N29" i="70"/>
  <c r="M29" i="70"/>
  <c r="P29" i="70" s="1"/>
  <c r="L29" i="70"/>
  <c r="I29" i="70"/>
  <c r="AD29" i="70" s="1"/>
  <c r="N25" i="70"/>
  <c r="M25" i="70"/>
  <c r="P25" i="70" s="1"/>
  <c r="L25" i="70"/>
  <c r="I25" i="70"/>
  <c r="AD25" i="70" s="1"/>
  <c r="N23" i="70"/>
  <c r="G23" i="70"/>
  <c r="F23" i="70"/>
  <c r="I23" i="70" s="1"/>
  <c r="E23" i="70"/>
  <c r="O16" i="70"/>
  <c r="N16" i="70"/>
  <c r="M16" i="70"/>
  <c r="P16" i="70" s="1"/>
  <c r="L16" i="70"/>
  <c r="K16" i="70"/>
  <c r="I16" i="70"/>
  <c r="O15" i="70"/>
  <c r="V15" i="70" s="1"/>
  <c r="N15" i="70"/>
  <c r="U15" i="70" s="1"/>
  <c r="M15" i="70"/>
  <c r="P15" i="70" s="1"/>
  <c r="L15" i="70"/>
  <c r="S15" i="70" s="1"/>
  <c r="K15" i="70"/>
  <c r="R15" i="70" s="1"/>
  <c r="I15" i="70"/>
  <c r="O14" i="70"/>
  <c r="V14" i="70" s="1"/>
  <c r="N14" i="70"/>
  <c r="U14" i="70" s="1"/>
  <c r="M14" i="70"/>
  <c r="P14" i="70" s="1"/>
  <c r="L14" i="70"/>
  <c r="S14" i="70" s="1"/>
  <c r="K14" i="70"/>
  <c r="I14" i="70"/>
  <c r="O13" i="70"/>
  <c r="V13" i="70"/>
  <c r="N13" i="70"/>
  <c r="U13" i="70"/>
  <c r="M13" i="70"/>
  <c r="T13" i="70"/>
  <c r="W13" i="70" s="1"/>
  <c r="L13" i="70"/>
  <c r="K13" i="70"/>
  <c r="I13" i="70"/>
  <c r="O12" i="70"/>
  <c r="V12" i="70" s="1"/>
  <c r="N12" i="70"/>
  <c r="U12" i="70" s="1"/>
  <c r="M12" i="70"/>
  <c r="P12" i="70" s="1"/>
  <c r="L12" i="70"/>
  <c r="S12" i="70" s="1"/>
  <c r="K12" i="70"/>
  <c r="I12" i="70"/>
  <c r="O11" i="70"/>
  <c r="N11" i="70"/>
  <c r="M11" i="70"/>
  <c r="P11" i="70" s="1"/>
  <c r="L11" i="70"/>
  <c r="S8" i="70" s="1"/>
  <c r="K11" i="70"/>
  <c r="I11" i="70"/>
  <c r="O10" i="70"/>
  <c r="N10" i="70"/>
  <c r="M10" i="70"/>
  <c r="P10" i="70"/>
  <c r="L10" i="70"/>
  <c r="K10" i="70"/>
  <c r="R10" i="70" s="1"/>
  <c r="I10" i="70"/>
  <c r="O9" i="70"/>
  <c r="V7" i="70" s="1"/>
  <c r="N9" i="70"/>
  <c r="M9" i="70"/>
  <c r="L9" i="70"/>
  <c r="K9" i="70"/>
  <c r="I9" i="70"/>
  <c r="O5" i="70"/>
  <c r="N5" i="70"/>
  <c r="M5" i="70"/>
  <c r="P5" i="70" s="1"/>
  <c r="L5" i="70"/>
  <c r="K5"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S26" i="70"/>
  <c r="U26" i="70"/>
  <c r="R6" i="70"/>
  <c r="V8" i="70"/>
  <c r="S7" i="70"/>
  <c r="U6" i="70"/>
  <c r="T5" i="70"/>
  <c r="W5" i="70" s="1"/>
  <c r="T7" i="70"/>
  <c r="W7" i="70" s="1"/>
  <c r="AB23" i="70"/>
  <c r="Z23" i="70"/>
  <c r="AC3" i="70"/>
  <c r="U10" i="70"/>
  <c r="T31" i="70"/>
  <c r="W31" i="70" s="1"/>
  <c r="T32" i="70"/>
  <c r="W32" i="70" s="1"/>
  <c r="T34" i="70"/>
  <c r="W34" i="70" s="1"/>
  <c r="U25" i="70"/>
  <c r="T33" i="70"/>
  <c r="W33" i="70"/>
  <c r="T35" i="70"/>
  <c r="W35" i="70"/>
  <c r="V10" i="70"/>
  <c r="T11" i="70"/>
  <c r="W11" i="70" s="1"/>
  <c r="V11" i="70"/>
  <c r="P13" i="70"/>
  <c r="T12" i="70"/>
  <c r="W12" i="70" s="1"/>
  <c r="T14" i="70"/>
  <c r="W14" i="70" s="1"/>
  <c r="AA23" i="70"/>
  <c r="AD23" i="70" s="1"/>
  <c r="L3" i="70"/>
  <c r="Y3" i="70"/>
  <c r="U23" i="70"/>
  <c r="T30" i="70"/>
  <c r="W30" i="70" s="1"/>
  <c r="S25" i="70"/>
  <c r="U30" i="70"/>
  <c r="S23" i="70"/>
  <c r="S9" i="70"/>
  <c r="AA3" i="70"/>
  <c r="AD3" i="70"/>
  <c r="S3" i="70"/>
  <c r="T3" i="70"/>
  <c r="W3" i="70" s="1"/>
  <c r="U9" i="70"/>
  <c r="R9" i="70"/>
  <c r="R3" i="70"/>
  <c r="M3" i="70"/>
  <c r="P3" i="70" s="1"/>
  <c r="E25" i="69"/>
  <c r="E24" i="69"/>
  <c r="F23" i="69"/>
  <c r="F24" i="69" s="1"/>
  <c r="F25" i="69"/>
  <c r="E23" i="69"/>
  <c r="G23" i="69" s="1"/>
  <c r="E22" i="69"/>
  <c r="G22" i="69" s="1"/>
  <c r="F12" i="69"/>
  <c r="C15" i="69" s="1"/>
  <c r="F11" i="69"/>
  <c r="C18" i="69" s="1"/>
  <c r="G24" i="69"/>
  <c r="B18" i="69"/>
  <c r="G14" i="65"/>
  <c r="F14" i="65"/>
  <c r="E14" i="65"/>
  <c r="G15" i="65"/>
  <c r="F15" i="65"/>
  <c r="E15"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s="1"/>
  <c r="AD8" i="59"/>
  <c r="Q8" i="59"/>
  <c r="P8" i="59"/>
  <c r="O8" i="59"/>
  <c r="N8" i="59"/>
  <c r="G16" i="65"/>
  <c r="F16" i="65"/>
  <c r="E16" i="65"/>
  <c r="G13" i="65"/>
  <c r="F13" i="65"/>
  <c r="E13" i="65"/>
  <c r="AH9" i="59"/>
  <c r="AG9" i="59"/>
  <c r="AE9" i="59"/>
  <c r="AF9" i="59" s="1"/>
  <c r="AD9" i="59"/>
  <c r="Q9" i="59"/>
  <c r="P9" i="59"/>
  <c r="O9" i="59"/>
  <c r="N9" i="59"/>
  <c r="R40" i="68"/>
  <c r="R41" i="68"/>
  <c r="F36" i="68"/>
  <c r="R34" i="68"/>
  <c r="R33" i="68"/>
  <c r="C30" i="68"/>
  <c r="M24" i="68"/>
  <c r="N19" i="68"/>
  <c r="R4" i="68"/>
  <c r="R35" i="68"/>
  <c r="U34" i="68" s="1"/>
  <c r="F26" i="43"/>
  <c r="AH10" i="59"/>
  <c r="AG10" i="59"/>
  <c r="AE10" i="59"/>
  <c r="AF10" i="59" s="1"/>
  <c r="AD10" i="59"/>
  <c r="Q10" i="59"/>
  <c r="P10" i="59"/>
  <c r="O10" i="59"/>
  <c r="N10" i="59"/>
  <c r="AH11" i="59"/>
  <c r="AG11" i="59"/>
  <c r="AE11" i="59"/>
  <c r="AF11" i="59"/>
  <c r="AD11" i="59"/>
  <c r="Q11" i="59"/>
  <c r="P11" i="59"/>
  <c r="O11" i="59"/>
  <c r="N11" i="59"/>
  <c r="AH12" i="59"/>
  <c r="AG12" i="59"/>
  <c r="AE12" i="59"/>
  <c r="AF12" i="59" s="1"/>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s="1"/>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C25" i="12" s="1"/>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D26" i="59"/>
  <c r="AH24" i="59"/>
  <c r="AG24" i="59"/>
  <c r="AE24" i="59"/>
  <c r="AF24" i="59" s="1"/>
  <c r="AD24" i="59"/>
  <c r="AE25" i="59"/>
  <c r="AF25" i="59" s="1"/>
  <c r="AG25" i="59"/>
  <c r="AH25" i="59"/>
  <c r="AD25" i="59"/>
  <c r="Q25" i="59"/>
  <c r="P25" i="59"/>
  <c r="O25" i="59"/>
  <c r="N25" i="59"/>
  <c r="B25" i="59" s="1"/>
  <c r="B24" i="59" s="1"/>
  <c r="B23" i="59" s="1"/>
  <c r="N26" i="59"/>
  <c r="Q26" i="59"/>
  <c r="P26" i="59"/>
  <c r="O26" i="59"/>
  <c r="Q74" i="44"/>
  <c r="Q61" i="44"/>
  <c r="Q60" i="44"/>
  <c r="Q53" i="44"/>
  <c r="J51" i="44"/>
  <c r="J52" i="44" s="1"/>
  <c r="M48" i="44"/>
  <c r="A16" i="55"/>
  <c r="B67" i="63" s="1"/>
  <c r="A15" i="55"/>
  <c r="B66" i="63" s="1"/>
  <c r="A10" i="55"/>
  <c r="B61" i="63" s="1"/>
  <c r="A9" i="55"/>
  <c r="B60" i="63" s="1"/>
  <c r="A8" i="55"/>
  <c r="A6" i="54"/>
  <c r="B49" i="63" s="1"/>
  <c r="A8" i="54"/>
  <c r="B53" i="63" s="1"/>
  <c r="A7" i="54"/>
  <c r="B51" i="63"/>
  <c r="A27" i="51"/>
  <c r="B20" i="63"/>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c r="D25" i="59"/>
  <c r="B76" i="63"/>
  <c r="M5" i="54"/>
  <c r="B41" i="63" s="1"/>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A44" i="9"/>
  <c r="C57" i="10"/>
  <c r="A28" i="51"/>
  <c r="C56" i="10"/>
  <c r="A26" i="64" s="1"/>
  <c r="A26" i="51"/>
  <c r="B19" i="63" s="1"/>
  <c r="C55" i="10"/>
  <c r="C54" i="10"/>
  <c r="B44" i="63"/>
  <c r="B40" i="63"/>
  <c r="B30" i="63"/>
  <c r="B27" i="63"/>
  <c r="B25" i="63"/>
  <c r="A11" i="51"/>
  <c r="B10" i="63"/>
  <c r="K39" i="9"/>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c r="B49" i="50"/>
  <c r="B5" i="63"/>
  <c r="B40" i="50"/>
  <c r="B3" i="63"/>
  <c r="Q29" i="59"/>
  <c r="F29" i="59" s="1"/>
  <c r="P29" i="59"/>
  <c r="E29" i="59" s="1"/>
  <c r="O29" i="59"/>
  <c r="C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O36" i="59"/>
  <c r="N36" i="59"/>
  <c r="X36" i="59"/>
  <c r="Q35" i="59"/>
  <c r="P35" i="59"/>
  <c r="AA35" i="59" s="1"/>
  <c r="O35" i="59"/>
  <c r="N35" i="59"/>
  <c r="X35" i="59" s="1"/>
  <c r="Q34" i="59"/>
  <c r="F35" i="59" s="1"/>
  <c r="F36" i="59" s="1"/>
  <c r="F37" i="59" s="1"/>
  <c r="V37" i="59" s="1"/>
  <c r="P34" i="59"/>
  <c r="E35" i="59" s="1"/>
  <c r="E36" i="59" s="1"/>
  <c r="E37" i="59" s="1"/>
  <c r="U37" i="59" s="1"/>
  <c r="O34" i="59"/>
  <c r="Y34" i="59" s="1"/>
  <c r="Z34" i="59" s="1"/>
  <c r="N34" i="59"/>
  <c r="X34" i="59"/>
  <c r="D34" i="59"/>
  <c r="Q33" i="59"/>
  <c r="AB33" i="59" s="1"/>
  <c r="P33" i="59"/>
  <c r="O33" i="59"/>
  <c r="Y33" i="59" s="1"/>
  <c r="Z33" i="59" s="1"/>
  <c r="N33" i="59"/>
  <c r="Q32" i="59"/>
  <c r="AB32" i="59"/>
  <c r="P32" i="59"/>
  <c r="O32" i="59"/>
  <c r="Y32" i="59" s="1"/>
  <c r="Z32" i="59" s="1"/>
  <c r="N32" i="59"/>
  <c r="Q31" i="59"/>
  <c r="AB31" i="59" s="1"/>
  <c r="P31" i="59"/>
  <c r="O31" i="59"/>
  <c r="Y31" i="59" s="1"/>
  <c r="Z31" i="59" s="1"/>
  <c r="N31" i="59"/>
  <c r="X28" i="59" s="1"/>
  <c r="Q30" i="59"/>
  <c r="P30" i="59"/>
  <c r="AA28" i="59" s="1"/>
  <c r="O30" i="59"/>
  <c r="C31" i="59"/>
  <c r="C32" i="59" s="1"/>
  <c r="N30" i="59"/>
  <c r="B31" i="59"/>
  <c r="B32" i="59" s="1"/>
  <c r="B33" i="59" s="1"/>
  <c r="S33" i="59" s="1"/>
  <c r="D30" i="59"/>
  <c r="X3" i="59"/>
  <c r="AA26" i="59"/>
  <c r="Y26" i="59"/>
  <c r="Z26" i="59" s="1"/>
  <c r="Y28" i="59"/>
  <c r="Z28" i="59" s="1"/>
  <c r="AB29" i="59"/>
  <c r="AB28" i="59"/>
  <c r="S69" i="59"/>
  <c r="AA40" i="59"/>
  <c r="D31" i="59"/>
  <c r="E67" i="59"/>
  <c r="P67"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C87" i="59"/>
  <c r="D87" i="59" s="1"/>
  <c r="D76" i="59"/>
  <c r="C75" i="59"/>
  <c r="D75" i="59" s="1"/>
  <c r="N6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c r="F21" i="37"/>
  <c r="AA21" i="37" s="1"/>
  <c r="C21" i="37"/>
  <c r="D77" i="37"/>
  <c r="E77" i="37" s="1"/>
  <c r="F77" i="37" s="1"/>
  <c r="G77" i="37" s="1"/>
  <c r="Q21" i="34"/>
  <c r="Z21" i="34" s="1"/>
  <c r="C21" i="34"/>
  <c r="D84"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S18" i="35"/>
  <c r="S21" i="37"/>
  <c r="S21" i="34"/>
  <c r="S31" i="39"/>
  <c r="B77" i="46"/>
  <c r="E66" i="36"/>
  <c r="H18" i="35"/>
  <c r="J18" i="35"/>
  <c r="H21" i="37"/>
  <c r="J21" i="37"/>
  <c r="E84" i="34"/>
  <c r="F84" i="34" s="1"/>
  <c r="G84" i="34" s="1"/>
  <c r="F21" i="33"/>
  <c r="AA21" i="33"/>
  <c r="H21" i="33"/>
  <c r="J21" i="33"/>
  <c r="H21" i="21"/>
  <c r="J21" i="21"/>
  <c r="H27" i="40"/>
  <c r="H31" i="39"/>
  <c r="G17" i="1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s="1"/>
  <c r="K90" i="46"/>
  <c r="J90" i="46" s="1"/>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D58" i="46"/>
  <c r="D84"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13" i="1"/>
  <c r="E13" i="1" s="1"/>
  <c r="G79" i="36"/>
  <c r="G85" i="35"/>
  <c r="G97" i="37"/>
  <c r="G110" i="34"/>
  <c r="G109" i="33"/>
  <c r="L2" i="31"/>
  <c r="K2" i="31"/>
  <c r="J2" i="31"/>
  <c r="I2" i="31"/>
  <c r="H2" i="31"/>
  <c r="G2" i="31"/>
  <c r="F2" i="31"/>
  <c r="E2" i="31"/>
  <c r="D2" i="31"/>
  <c r="C2" i="31"/>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c r="C56" i="40" s="1"/>
  <c r="H55" i="40"/>
  <c r="I55" i="40" s="1"/>
  <c r="C55" i="40" s="1"/>
  <c r="H54" i="40"/>
  <c r="I54" i="40" s="1"/>
  <c r="C54" i="40" s="1"/>
  <c r="H62" i="39"/>
  <c r="I62" i="39" s="1"/>
  <c r="C62" i="39" s="1"/>
  <c r="H59" i="39"/>
  <c r="I59" i="39"/>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s="1"/>
  <c r="T16" i="4"/>
  <c r="D14" i="4"/>
  <c r="M4" i="9"/>
  <c r="L4" i="9"/>
  <c r="G36" i="4"/>
  <c r="K2" i="54"/>
  <c r="B23" i="63" s="1"/>
  <c r="A3" i="51"/>
  <c r="R41" i="4"/>
  <c r="Q41" i="4"/>
  <c r="P41" i="4"/>
  <c r="O41" i="4"/>
  <c r="N41" i="4"/>
  <c r="M41" i="4"/>
  <c r="L41" i="4"/>
  <c r="K40" i="4"/>
  <c r="T40" i="4" s="1"/>
  <c r="A18" i="64" s="1"/>
  <c r="B74" i="63" s="1"/>
  <c r="F23" i="4"/>
  <c r="I19" i="4"/>
  <c r="F6" i="1" s="1"/>
  <c r="F41" i="76" s="1"/>
  <c r="F10" i="1"/>
  <c r="H19" i="4"/>
  <c r="F9" i="1"/>
  <c r="AP9" i="1" s="1"/>
  <c r="G19" i="4"/>
  <c r="F12" i="1"/>
  <c r="AP12" i="1" s="1"/>
  <c r="F19" i="4"/>
  <c r="F11" i="1"/>
  <c r="AP11" i="1"/>
  <c r="AP8" i="1"/>
  <c r="G7" i="1"/>
  <c r="B2" i="52"/>
  <c r="B15" i="52" s="1"/>
  <c r="F41" i="4"/>
  <c r="J52" i="40" s="1"/>
  <c r="H42" i="46"/>
  <c r="H41" i="46"/>
  <c r="H40" i="46"/>
  <c r="H39" i="46"/>
  <c r="H38" i="46"/>
  <c r="H37" i="46"/>
  <c r="C10" i="46"/>
  <c r="C11" i="46" s="1"/>
  <c r="C9" i="46"/>
  <c r="E32" i="6"/>
  <c r="E22" i="6"/>
  <c r="E23" i="6"/>
  <c r="E24" i="6"/>
  <c r="E25" i="6"/>
  <c r="E26" i="6"/>
  <c r="C35" i="4"/>
  <c r="E16" i="12"/>
  <c r="F14" i="12"/>
  <c r="F15" i="12"/>
  <c r="F17" i="12"/>
  <c r="E19" i="12"/>
  <c r="E21" i="12"/>
  <c r="E22" i="12"/>
  <c r="F23" i="12"/>
  <c r="F24" i="12"/>
  <c r="C43" i="9"/>
  <c r="K47" i="9"/>
  <c r="A14" i="55"/>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L487" i="3" s="1"/>
  <c r="BN487" i="3"/>
  <c r="BO487" i="3"/>
  <c r="BP487" i="3"/>
  <c r="BQ487" i="3"/>
  <c r="BR487" i="3"/>
  <c r="BS487" i="3"/>
  <c r="BT487" i="3"/>
  <c r="H488" i="3"/>
  <c r="AC488" i="3"/>
  <c r="BB488" i="3"/>
  <c r="BA488" i="3" s="1"/>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E5" i="3" s="1"/>
  <c r="BF489" i="3"/>
  <c r="BG489" i="3"/>
  <c r="BG5" i="3" s="1"/>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L492" i="3" s="1"/>
  <c r="AZ492" i="3" s="1"/>
  <c r="BN492" i="3"/>
  <c r="BO492" i="3"/>
  <c r="BP492" i="3"/>
  <c r="BR492" i="3"/>
  <c r="BS492" i="3"/>
  <c r="BT492" i="3"/>
  <c r="H493" i="3"/>
  <c r="AC493" i="3"/>
  <c r="G493" i="3" s="1"/>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AZ556" i="3" s="1"/>
  <c r="BO556" i="3"/>
  <c r="BP556" i="3"/>
  <c r="BR556" i="3"/>
  <c r="BS556" i="3"/>
  <c r="BT556" i="3"/>
  <c r="H557" i="3"/>
  <c r="G557" i="3" s="1"/>
  <c r="AC557" i="3"/>
  <c r="BB557" i="3"/>
  <c r="BA557" i="3" s="1"/>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BC558" i="3"/>
  <c r="BD558" i="3"/>
  <c r="BE558" i="3"/>
  <c r="BF558" i="3"/>
  <c r="BG558" i="3"/>
  <c r="BH558" i="3"/>
  <c r="BI558" i="3"/>
  <c r="BJ558" i="3"/>
  <c r="BK558" i="3"/>
  <c r="BM558" i="3"/>
  <c r="BL558" i="3" s="1"/>
  <c r="BN558" i="3"/>
  <c r="BO558" i="3"/>
  <c r="BP558" i="3"/>
  <c r="BR558" i="3"/>
  <c r="BS558" i="3"/>
  <c r="BT558" i="3"/>
  <c r="H559" i="3"/>
  <c r="AC559" i="3"/>
  <c r="BB559" i="3"/>
  <c r="BC559" i="3"/>
  <c r="BD559" i="3"/>
  <c r="BE559" i="3"/>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L568" i="3" s="1"/>
  <c r="BN568" i="3"/>
  <c r="BO568" i="3"/>
  <c r="BP568" i="3"/>
  <c r="BR568" i="3"/>
  <c r="BS568" i="3"/>
  <c r="BT568" i="3"/>
  <c r="H569" i="3"/>
  <c r="AC569" i="3"/>
  <c r="G569" i="3" s="1"/>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D114" i="34"/>
  <c r="E114" i="34" s="1"/>
  <c r="D112" i="34"/>
  <c r="E112" i="34" s="1"/>
  <c r="F112" i="34"/>
  <c r="G112" i="34" s="1"/>
  <c r="F40" i="33"/>
  <c r="S40" i="33" s="1"/>
  <c r="J41" i="33"/>
  <c r="D113" i="33"/>
  <c r="D111" i="33"/>
  <c r="E111" i="33" s="1"/>
  <c r="F111" i="33" s="1"/>
  <c r="G111" i="33"/>
  <c r="H111" i="33" s="1"/>
  <c r="I111" i="33" s="1"/>
  <c r="J111" i="33" s="1"/>
  <c r="K111" i="33" s="1"/>
  <c r="L111" i="33" s="1"/>
  <c r="M111" i="33" s="1"/>
  <c r="S515" i="31"/>
  <c r="S517" i="31"/>
  <c r="S519" i="31"/>
  <c r="S521" i="31"/>
  <c r="S523" i="31"/>
  <c r="F41" i="21"/>
  <c r="S41" i="21" s="1"/>
  <c r="J41" i="21"/>
  <c r="AC41" i="21"/>
  <c r="H41" i="21"/>
  <c r="U41" i="21"/>
  <c r="D82" i="39"/>
  <c r="E82" i="39"/>
  <c r="F82" i="39" s="1"/>
  <c r="G82" i="39" s="1"/>
  <c r="H82" i="39" s="1"/>
  <c r="I82" i="39" s="1"/>
  <c r="J82" i="39" s="1"/>
  <c r="K82" i="39" s="1"/>
  <c r="L82" i="39" s="1"/>
  <c r="M82" i="39" s="1"/>
  <c r="D77" i="40"/>
  <c r="E77" i="40" s="1"/>
  <c r="F13" i="40"/>
  <c r="S13" i="40" s="1"/>
  <c r="B121" i="40"/>
  <c r="F42" i="40" s="1"/>
  <c r="AA42" i="40" s="1"/>
  <c r="B119" i="40"/>
  <c r="H41" i="40" s="1"/>
  <c r="B117" i="40"/>
  <c r="F40" i="40"/>
  <c r="AA40" i="40" s="1"/>
  <c r="D116" i="40"/>
  <c r="E116" i="40" s="1"/>
  <c r="F116" i="40"/>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H33" i="40" s="1"/>
  <c r="D101" i="40"/>
  <c r="E101" i="40"/>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c r="H110" i="39" s="1"/>
  <c r="I110" i="39" s="1"/>
  <c r="J110" i="39" s="1"/>
  <c r="K110" i="39" s="1"/>
  <c r="L110" i="39" s="1"/>
  <c r="M110" i="39" s="1"/>
  <c r="D108" i="39"/>
  <c r="E108" i="39"/>
  <c r="F108" i="39" s="1"/>
  <c r="G108" i="39" s="1"/>
  <c r="H108" i="39" s="1"/>
  <c r="I108" i="39" s="1"/>
  <c r="J108" i="39" s="1"/>
  <c r="K108" i="39" s="1"/>
  <c r="L108" i="39" s="1"/>
  <c r="M108" i="39" s="1"/>
  <c r="D106" i="39"/>
  <c r="E106" i="39" s="1"/>
  <c r="F106" i="39" s="1"/>
  <c r="G106" i="39"/>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s="1"/>
  <c r="D123" i="39"/>
  <c r="E123" i="39" s="1"/>
  <c r="F123" i="39" s="1"/>
  <c r="G123" i="39" s="1"/>
  <c r="H123" i="39" s="1"/>
  <c r="I123" i="39" s="1"/>
  <c r="J123" i="39" s="1"/>
  <c r="K123" i="39" s="1"/>
  <c r="L123" i="39" s="1"/>
  <c r="M123" i="39" s="1"/>
  <c r="B105" i="39"/>
  <c r="F33" i="39" s="1"/>
  <c r="D98" i="39"/>
  <c r="E98" i="39" s="1"/>
  <c r="F98" i="39" s="1"/>
  <c r="G98" i="39" s="1"/>
  <c r="D96" i="39"/>
  <c r="E96" i="39" s="1"/>
  <c r="F96" i="39" s="1"/>
  <c r="G96" i="39" s="1"/>
  <c r="D94" i="39"/>
  <c r="E94" i="39"/>
  <c r="F94" i="39" s="1"/>
  <c r="G94" i="39" s="1"/>
  <c r="D92" i="39"/>
  <c r="E92" i="39"/>
  <c r="F92" i="39" s="1"/>
  <c r="G92" i="39" s="1"/>
  <c r="D90" i="39"/>
  <c r="E90" i="39" s="1"/>
  <c r="F90" i="39" s="1"/>
  <c r="G90" i="39" s="1"/>
  <c r="B87" i="39"/>
  <c r="F16" i="39" s="1"/>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J28" i="37" s="1"/>
  <c r="B84" i="37"/>
  <c r="H27" i="37" s="1"/>
  <c r="B82" i="37"/>
  <c r="J26" i="37" s="1"/>
  <c r="AC26" i="37" s="1"/>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D68" i="36"/>
  <c r="E68" i="36" s="1"/>
  <c r="D64" i="36"/>
  <c r="E64" i="36" s="1"/>
  <c r="F64" i="36" s="1"/>
  <c r="G64" i="36" s="1"/>
  <c r="J16" i="36"/>
  <c r="AC16" i="36" s="1"/>
  <c r="D62" i="36"/>
  <c r="E62" i="36"/>
  <c r="F62" i="36" s="1"/>
  <c r="B59" i="36"/>
  <c r="B57" i="36"/>
  <c r="F12" i="36" s="1"/>
  <c r="B55" i="36"/>
  <c r="J11" i="36"/>
  <c r="W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W23" i="35" s="1"/>
  <c r="B57" i="35"/>
  <c r="F11" i="35" s="1"/>
  <c r="S11" i="35" s="1"/>
  <c r="B61" i="35"/>
  <c r="B59" i="35"/>
  <c r="H12" i="35" s="1"/>
  <c r="U12" i="35" s="1"/>
  <c r="B131" i="34"/>
  <c r="F47" i="34" s="1"/>
  <c r="AA47" i="34" s="1"/>
  <c r="B129" i="34"/>
  <c r="H46" i="34" s="1"/>
  <c r="B127" i="34"/>
  <c r="B130" i="33"/>
  <c r="B128" i="33"/>
  <c r="B126" i="33"/>
  <c r="J44" i="33" s="1"/>
  <c r="B98" i="33"/>
  <c r="B96" i="33"/>
  <c r="B94" i="33"/>
  <c r="J29" i="33"/>
  <c r="B74" i="33"/>
  <c r="B72" i="33"/>
  <c r="F13" i="33" s="1"/>
  <c r="S13" i="33" s="1"/>
  <c r="B70" i="33"/>
  <c r="H12" i="33" s="1"/>
  <c r="U12" i="33" s="1"/>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U33" i="34"/>
  <c r="D92" i="34"/>
  <c r="E92" i="34" s="1"/>
  <c r="F92" i="34" s="1"/>
  <c r="G92" i="34" s="1"/>
  <c r="H92" i="34" s="1"/>
  <c r="I92" i="34" s="1"/>
  <c r="J92" i="34" s="1"/>
  <c r="K92" i="34" s="1"/>
  <c r="L92" i="34" s="1"/>
  <c r="M92" i="34" s="1"/>
  <c r="B89" i="34"/>
  <c r="D88" i="34"/>
  <c r="E88" i="34"/>
  <c r="F88" i="34" s="1"/>
  <c r="G88" i="34" s="1"/>
  <c r="H88" i="34" s="1"/>
  <c r="I88" i="34" s="1"/>
  <c r="J88" i="34" s="1"/>
  <c r="K88" i="34" s="1"/>
  <c r="L88" i="34" s="1"/>
  <c r="M88" i="34" s="1"/>
  <c r="D82" i="34"/>
  <c r="E82" i="34"/>
  <c r="F70" i="34"/>
  <c r="G70" i="34"/>
  <c r="H70" i="34" s="1"/>
  <c r="I70" i="34" s="1"/>
  <c r="J70" i="34" s="1"/>
  <c r="K70" i="34" s="1"/>
  <c r="L70" i="34" s="1"/>
  <c r="M70" i="34" s="1"/>
  <c r="M68" i="34"/>
  <c r="L68" i="34"/>
  <c r="K68" i="34"/>
  <c r="J68" i="34"/>
  <c r="I68" i="34"/>
  <c r="H68" i="34"/>
  <c r="G68" i="34"/>
  <c r="F68" i="34"/>
  <c r="E68" i="34"/>
  <c r="D68" i="34"/>
  <c r="C68" i="34"/>
  <c r="P50" i="34"/>
  <c r="P49" i="34"/>
  <c r="V48" i="34"/>
  <c r="T48" i="34"/>
  <c r="P48" i="34"/>
  <c r="Q47" i="34"/>
  <c r="Z47" i="34"/>
  <c r="Q46" i="34"/>
  <c r="Z46" i="34"/>
  <c r="Q45" i="34"/>
  <c r="Z45" i="34"/>
  <c r="Q44" i="34"/>
  <c r="Z44" i="34"/>
  <c r="H44" i="34"/>
  <c r="AB44" i="34"/>
  <c r="Q43" i="34"/>
  <c r="Z43" i="34"/>
  <c r="Q42" i="34"/>
  <c r="Z42" i="34"/>
  <c r="Q41" i="34"/>
  <c r="Z41" i="34"/>
  <c r="Q40" i="34"/>
  <c r="Z40" i="34"/>
  <c r="S40" i="34"/>
  <c r="Q39" i="34"/>
  <c r="Z39" i="34" s="1"/>
  <c r="U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S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c r="G125" i="33" s="1"/>
  <c r="D123" i="33"/>
  <c r="D117" i="33"/>
  <c r="E117" i="33" s="1"/>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c r="G81" i="33" s="1"/>
  <c r="D79" i="33"/>
  <c r="E79" i="33" s="1"/>
  <c r="D77" i="33"/>
  <c r="E77" i="33" s="1"/>
  <c r="F77" i="33" s="1"/>
  <c r="G77" i="33" s="1"/>
  <c r="D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F12" i="33"/>
  <c r="Q11" i="33"/>
  <c r="Z11" i="33" s="1"/>
  <c r="Q10" i="33"/>
  <c r="Z10" i="33" s="1"/>
  <c r="Q9" i="33"/>
  <c r="Z9" i="33" s="1"/>
  <c r="J9" i="33"/>
  <c r="AC9" i="33" s="1"/>
  <c r="H9" i="33"/>
  <c r="F9" i="33"/>
  <c r="AA9" i="33" s="1"/>
  <c r="J8" i="33"/>
  <c r="W8" i="33" s="1"/>
  <c r="H8" i="33"/>
  <c r="F8" i="33"/>
  <c r="S8" i="33" s="1"/>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W28" i="21" s="1"/>
  <c r="B90" i="21"/>
  <c r="B74" i="21"/>
  <c r="J14" i="21"/>
  <c r="W14" i="21" s="1"/>
  <c r="B72" i="21"/>
  <c r="B70" i="21"/>
  <c r="H12" i="21" s="1"/>
  <c r="U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s="1"/>
  <c r="BE13" i="3"/>
  <c r="BF13" i="3"/>
  <c r="BF5" i="3" s="1"/>
  <c r="BG13" i="3"/>
  <c r="BH13" i="3"/>
  <c r="BI13" i="3"/>
  <c r="BJ13" i="3"/>
  <c r="BJ5" i="3" s="1"/>
  <c r="BK13" i="3"/>
  <c r="BM13" i="3"/>
  <c r="BN13" i="3"/>
  <c r="BO13" i="3"/>
  <c r="BO5" i="3" s="1"/>
  <c r="BP13" i="3"/>
  <c r="BS13" i="3"/>
  <c r="BS5" i="3" s="1"/>
  <c r="F28" i="6"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H34" i="21"/>
  <c r="U34" i="21" s="1"/>
  <c r="F43" i="2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H36" i="21"/>
  <c r="U36" i="21" s="1"/>
  <c r="F35" i="21"/>
  <c r="J33" i="21"/>
  <c r="W33" i="21" s="1"/>
  <c r="H33" i="21"/>
  <c r="U33" i="21" s="1"/>
  <c r="F33" i="21"/>
  <c r="AA33" i="21" s="1"/>
  <c r="J10" i="21"/>
  <c r="AC10" i="21"/>
  <c r="H26" i="21"/>
  <c r="F19" i="21"/>
  <c r="H19" i="21"/>
  <c r="J19" i="21"/>
  <c r="W19" i="21" s="1"/>
  <c r="J26" i="21"/>
  <c r="F26" i="21"/>
  <c r="AB41" i="21"/>
  <c r="AA41" i="21"/>
  <c r="W41" i="21"/>
  <c r="S10" i="39"/>
  <c r="F39" i="37"/>
  <c r="F29" i="36"/>
  <c r="AA29" i="36" s="1"/>
  <c r="F16" i="36"/>
  <c r="W22" i="36"/>
  <c r="AC27" i="35"/>
  <c r="S31" i="35"/>
  <c r="W31" i="35"/>
  <c r="S36" i="34"/>
  <c r="W39" i="34"/>
  <c r="H39" i="33"/>
  <c r="AB39" i="33" s="1"/>
  <c r="S8" i="21"/>
  <c r="W8" i="21"/>
  <c r="H39" i="37"/>
  <c r="AB39" i="37" s="1"/>
  <c r="AB27" i="35"/>
  <c r="W10" i="40"/>
  <c r="U11" i="40"/>
  <c r="U36" i="40"/>
  <c r="S40" i="39"/>
  <c r="F11" i="21"/>
  <c r="AC40" i="21"/>
  <c r="AA38" i="21"/>
  <c r="AC35" i="21"/>
  <c r="C23" i="39"/>
  <c r="U36" i="39"/>
  <c r="H32" i="33"/>
  <c r="AB32" i="33" s="1"/>
  <c r="H11" i="21"/>
  <c r="J11" i="21"/>
  <c r="W11" i="21" s="1"/>
  <c r="U9" i="21"/>
  <c r="J27" i="36"/>
  <c r="W27" i="36"/>
  <c r="J30" i="35"/>
  <c r="W30" i="35"/>
  <c r="F22" i="35"/>
  <c r="AA22" i="35"/>
  <c r="H10" i="35"/>
  <c r="U10" i="35"/>
  <c r="F85" i="36"/>
  <c r="G85" i="36" s="1"/>
  <c r="H85" i="36" s="1"/>
  <c r="I85" i="36" s="1"/>
  <c r="J85" i="36" s="1"/>
  <c r="K85" i="36" s="1"/>
  <c r="L85" i="36" s="1"/>
  <c r="M85" i="36" s="1"/>
  <c r="J29" i="36"/>
  <c r="AC29" i="36" s="1"/>
  <c r="F34" i="36"/>
  <c r="S34" i="36" s="1"/>
  <c r="AB8" i="36"/>
  <c r="H16" i="35"/>
  <c r="U16" i="35" s="1"/>
  <c r="H33" i="35"/>
  <c r="AB33" i="35" s="1"/>
  <c r="W8" i="35"/>
  <c r="F35" i="37"/>
  <c r="J34" i="37"/>
  <c r="W34" i="37" s="1"/>
  <c r="U42" i="34"/>
  <c r="U36" i="34"/>
  <c r="S33" i="34"/>
  <c r="J10" i="34"/>
  <c r="AC10" i="34"/>
  <c r="W8" i="34"/>
  <c r="E113" i="33"/>
  <c r="J37" i="33" s="1"/>
  <c r="W37" i="33" s="1"/>
  <c r="F19" i="33"/>
  <c r="S19" i="33" s="1"/>
  <c r="J19" i="33"/>
  <c r="AC19" i="33" s="1"/>
  <c r="S10" i="21"/>
  <c r="AB30" i="36"/>
  <c r="S22" i="35"/>
  <c r="H29" i="35"/>
  <c r="AB29" i="35" s="1"/>
  <c r="U34" i="37"/>
  <c r="S34" i="37"/>
  <c r="AA34" i="37"/>
  <c r="AB42" i="34"/>
  <c r="W36" i="34"/>
  <c r="W43" i="34"/>
  <c r="W42" i="34"/>
  <c r="AA42" i="34"/>
  <c r="S42" i="34"/>
  <c r="W38" i="34"/>
  <c r="S38" i="34"/>
  <c r="J42" i="21"/>
  <c r="J44" i="34"/>
  <c r="F44" i="34"/>
  <c r="S44" i="34" s="1"/>
  <c r="J10" i="35"/>
  <c r="W10" i="35" s="1"/>
  <c r="AL5" i="3"/>
  <c r="BQ13" i="3"/>
  <c r="F14" i="21"/>
  <c r="H14" i="21"/>
  <c r="U14" i="21" s="1"/>
  <c r="H28" i="21"/>
  <c r="F28" i="21"/>
  <c r="AC28" i="21"/>
  <c r="F44" i="21"/>
  <c r="H46" i="21"/>
  <c r="AB46" i="21" s="1"/>
  <c r="J46" i="21"/>
  <c r="W46" i="21" s="1"/>
  <c r="F46" i="21"/>
  <c r="H26" i="33"/>
  <c r="U26" i="33"/>
  <c r="H28" i="33"/>
  <c r="U28" i="33"/>
  <c r="F33" i="35"/>
  <c r="S33" i="35"/>
  <c r="J33" i="35"/>
  <c r="W33" i="35"/>
  <c r="F30" i="35"/>
  <c r="AA30" i="35"/>
  <c r="G89" i="35"/>
  <c r="H89" i="35" s="1"/>
  <c r="I89" i="35"/>
  <c r="J89" i="35" s="1"/>
  <c r="K89" i="35" s="1"/>
  <c r="L89" i="35" s="1"/>
  <c r="M89" i="35" s="1"/>
  <c r="H10" i="36"/>
  <c r="AB10" i="36"/>
  <c r="F28" i="36"/>
  <c r="S28" i="36"/>
  <c r="F27" i="36"/>
  <c r="S27" i="36"/>
  <c r="W29" i="33"/>
  <c r="F45" i="33"/>
  <c r="H28" i="36"/>
  <c r="H32" i="36"/>
  <c r="J32" i="36"/>
  <c r="W32" i="36" s="1"/>
  <c r="H13" i="36"/>
  <c r="AB13" i="36" s="1"/>
  <c r="J13" i="36"/>
  <c r="F13" i="36"/>
  <c r="S13" i="36" s="1"/>
  <c r="E89" i="37"/>
  <c r="F89" i="37" s="1"/>
  <c r="G89" i="37" s="1"/>
  <c r="H89" i="37" s="1"/>
  <c r="I89" i="37" s="1"/>
  <c r="J89" i="37" s="1"/>
  <c r="K89" i="37" s="1"/>
  <c r="L89" i="37" s="1"/>
  <c r="M89" i="37" s="1"/>
  <c r="J29" i="37"/>
  <c r="W29" i="37" s="1"/>
  <c r="F29" i="37"/>
  <c r="AA29" i="37" s="1"/>
  <c r="G105" i="37"/>
  <c r="AB36" i="37"/>
  <c r="F107" i="37"/>
  <c r="G107" i="37" s="1"/>
  <c r="H107" i="37" s="1"/>
  <c r="I107" i="37" s="1"/>
  <c r="J107" i="37" s="1"/>
  <c r="K107" i="37" s="1"/>
  <c r="L107" i="37" s="1"/>
  <c r="M107" i="37" s="1"/>
  <c r="J37" i="37"/>
  <c r="AC37" i="37"/>
  <c r="H37" i="37"/>
  <c r="U37" i="37"/>
  <c r="F40" i="37"/>
  <c r="AA40" i="37" s="1"/>
  <c r="H14" i="33"/>
  <c r="U14" i="33" s="1"/>
  <c r="F14" i="33"/>
  <c r="AA14" i="33" s="1"/>
  <c r="J14" i="33"/>
  <c r="F44" i="33"/>
  <c r="J46" i="33"/>
  <c r="F46" i="33"/>
  <c r="H46" i="33"/>
  <c r="AB46" i="33" s="1"/>
  <c r="H13" i="34"/>
  <c r="U13" i="34" s="1"/>
  <c r="J13" i="34"/>
  <c r="W13" i="34" s="1"/>
  <c r="J29" i="34"/>
  <c r="S29" i="34"/>
  <c r="H29" i="34"/>
  <c r="U29" i="34" s="1"/>
  <c r="J31" i="34"/>
  <c r="AC31" i="34" s="1"/>
  <c r="H31" i="34"/>
  <c r="AB31" i="34" s="1"/>
  <c r="S31" i="34"/>
  <c r="J45" i="34"/>
  <c r="H47" i="34"/>
  <c r="U47" i="34" s="1"/>
  <c r="J47" i="34"/>
  <c r="AC47" i="34"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AA38" i="37"/>
  <c r="J36" i="37"/>
  <c r="AC36" i="37" s="1"/>
  <c r="AB14" i="21"/>
  <c r="W31" i="34"/>
  <c r="U36" i="37"/>
  <c r="G521" i="3"/>
  <c r="G499" i="3"/>
  <c r="G539" i="3"/>
  <c r="BL519" i="3"/>
  <c r="BL483" i="3"/>
  <c r="BL551" i="3"/>
  <c r="BL533" i="3"/>
  <c r="G514" i="3"/>
  <c r="BL485" i="3"/>
  <c r="BA555" i="3"/>
  <c r="AZ555" i="3" s="1"/>
  <c r="BA541" i="3"/>
  <c r="BA505" i="3"/>
  <c r="BA19" i="3"/>
  <c r="BA550" i="3"/>
  <c r="BA544" i="3"/>
  <c r="BA536" i="3"/>
  <c r="BA532" i="3"/>
  <c r="BA528" i="3"/>
  <c r="BA520" i="3"/>
  <c r="BA512" i="3"/>
  <c r="BA492" i="3"/>
  <c r="BA484" i="3"/>
  <c r="AZ484" i="3" s="1"/>
  <c r="G554" i="3"/>
  <c r="G550" i="3"/>
  <c r="G546" i="3"/>
  <c r="AC542" i="3"/>
  <c r="BQ542" i="3"/>
  <c r="BQ568" i="3"/>
  <c r="BQ566" i="3"/>
  <c r="BQ564" i="3"/>
  <c r="BQ562" i="3"/>
  <c r="BL562" i="3"/>
  <c r="BQ560" i="3"/>
  <c r="BQ558" i="3"/>
  <c r="BQ556" i="3"/>
  <c r="BQ554" i="3"/>
  <c r="BL554" i="3"/>
  <c r="BQ552" i="3"/>
  <c r="BQ550" i="3"/>
  <c r="BL550" i="3" s="1"/>
  <c r="BQ548" i="3"/>
  <c r="BQ546" i="3"/>
  <c r="BL546" i="3" s="1"/>
  <c r="BQ544" i="3"/>
  <c r="G544" i="3"/>
  <c r="G534" i="3"/>
  <c r="G526" i="3"/>
  <c r="BQ540" i="3"/>
  <c r="BQ538" i="3"/>
  <c r="BQ536" i="3"/>
  <c r="BQ534" i="3"/>
  <c r="BL534" i="3"/>
  <c r="BQ532" i="3"/>
  <c r="BL532" i="3"/>
  <c r="AZ532" i="3" s="1"/>
  <c r="BQ530" i="3"/>
  <c r="BQ528" i="3"/>
  <c r="BQ526" i="3"/>
  <c r="BQ524" i="3"/>
  <c r="BQ522" i="3"/>
  <c r="BQ520" i="3"/>
  <c r="BQ518" i="3"/>
  <c r="BQ516" i="3"/>
  <c r="BL516" i="3" s="1"/>
  <c r="BQ514" i="3"/>
  <c r="BQ512" i="3"/>
  <c r="BQ510" i="3"/>
  <c r="BL510" i="3" s="1"/>
  <c r="BQ508" i="3"/>
  <c r="BL508" i="3" s="1"/>
  <c r="AC506" i="3"/>
  <c r="G506" i="3" s="1"/>
  <c r="BQ506" i="3"/>
  <c r="BQ504" i="3"/>
  <c r="BL504" i="3" s="1"/>
  <c r="BQ502" i="3"/>
  <c r="BL502" i="3"/>
  <c r="BQ500" i="3"/>
  <c r="BL500" i="3"/>
  <c r="BQ498" i="3"/>
  <c r="BL498" i="3"/>
  <c r="BQ496" i="3"/>
  <c r="AC494" i="3"/>
  <c r="G494" i="3" s="1"/>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S39" i="33" s="1"/>
  <c r="E123" i="33"/>
  <c r="F42" i="33"/>
  <c r="AA42" i="33" s="1"/>
  <c r="F22" i="36"/>
  <c r="S22" i="36" s="1"/>
  <c r="U35" i="34"/>
  <c r="F41" i="34"/>
  <c r="S41" i="34"/>
  <c r="H41" i="34"/>
  <c r="U41" i="34"/>
  <c r="J41" i="34"/>
  <c r="W41" i="34"/>
  <c r="F10" i="35"/>
  <c r="AA10"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D3" i="21"/>
  <c r="AC12" i="35"/>
  <c r="AC23" i="37"/>
  <c r="U39" i="37"/>
  <c r="S25" i="37"/>
  <c r="AB8" i="34"/>
  <c r="AC33" i="21"/>
  <c r="AA36" i="21"/>
  <c r="F43" i="33"/>
  <c r="AA43" i="33" s="1"/>
  <c r="F37" i="21"/>
  <c r="S37" i="21" s="1"/>
  <c r="J37" i="21"/>
  <c r="W37" i="21" s="1"/>
  <c r="J10" i="37"/>
  <c r="AC10" i="37" s="1"/>
  <c r="W9" i="37"/>
  <c r="F11" i="37"/>
  <c r="S11" i="37"/>
  <c r="J12" i="37"/>
  <c r="AC12" i="37"/>
  <c r="H12" i="37"/>
  <c r="AB12" i="37"/>
  <c r="F12" i="37"/>
  <c r="AA12" i="37"/>
  <c r="H15" i="37"/>
  <c r="U15" i="37"/>
  <c r="E94" i="37"/>
  <c r="F31" i="37"/>
  <c r="F94" i="37"/>
  <c r="G94" i="37" s="1"/>
  <c r="H94" i="37" s="1"/>
  <c r="I94" i="37" s="1"/>
  <c r="J94" i="37" s="1"/>
  <c r="K94" i="37" s="1"/>
  <c r="L94" i="37" s="1"/>
  <c r="M94" i="37" s="1"/>
  <c r="H31" i="37"/>
  <c r="AB31" i="37" s="1"/>
  <c r="J15" i="37"/>
  <c r="W15" i="37"/>
  <c r="U12" i="37"/>
  <c r="J11" i="37"/>
  <c r="E89" i="40"/>
  <c r="F89" i="40" s="1"/>
  <c r="G89" i="40"/>
  <c r="F21" i="40"/>
  <c r="S21" i="40"/>
  <c r="J21" i="40"/>
  <c r="AC21" i="40"/>
  <c r="S27" i="31"/>
  <c r="G483" i="3"/>
  <c r="G507" i="3"/>
  <c r="BA15" i="3"/>
  <c r="BL17" i="3"/>
  <c r="BL15" i="3"/>
  <c r="BA14" i="3"/>
  <c r="AZ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G171" i="3"/>
  <c r="BA173" i="3"/>
  <c r="BL174" i="3"/>
  <c r="G175" i="3"/>
  <c r="BA178" i="3"/>
  <c r="BL179" i="3"/>
  <c r="G180" i="3"/>
  <c r="AZ31" i="3"/>
  <c r="AZ35" i="3"/>
  <c r="G537" i="3"/>
  <c r="BL181" i="3"/>
  <c r="G182" i="3"/>
  <c r="BA184" i="3"/>
  <c r="AZ184" i="3" s="1"/>
  <c r="BL185" i="3"/>
  <c r="G186" i="3"/>
  <c r="BA188" i="3"/>
  <c r="AZ188" i="3" s="1"/>
  <c r="BL189" i="3"/>
  <c r="G190" i="3"/>
  <c r="BA192" i="3"/>
  <c r="AZ192" i="3" s="1"/>
  <c r="BL193" i="3"/>
  <c r="G194" i="3"/>
  <c r="BA196" i="3"/>
  <c r="BL197" i="3"/>
  <c r="G198" i="3"/>
  <c r="BA200" i="3"/>
  <c r="BL20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AZ381" i="3" s="1"/>
  <c r="G382" i="3"/>
  <c r="G385" i="3"/>
  <c r="AZ162" i="3"/>
  <c r="G523" i="3"/>
  <c r="BL297" i="3"/>
  <c r="G298" i="3"/>
  <c r="BA300" i="3"/>
  <c r="BL301" i="3"/>
  <c r="G302" i="3"/>
  <c r="BA304" i="3"/>
  <c r="AZ304" i="3" s="1"/>
  <c r="BL305" i="3"/>
  <c r="AZ305" i="3"/>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c r="BL325" i="3"/>
  <c r="G326" i="3"/>
  <c r="BA328" i="3"/>
  <c r="AZ328" i="3" s="1"/>
  <c r="BL329" i="3"/>
  <c r="G330" i="3"/>
  <c r="BA332" i="3"/>
  <c r="AZ332" i="3"/>
  <c r="BL333" i="3"/>
  <c r="G334" i="3"/>
  <c r="BA336" i="3"/>
  <c r="BL337" i="3"/>
  <c r="AZ337" i="3" s="1"/>
  <c r="G338" i="3"/>
  <c r="BA340" i="3"/>
  <c r="BL341" i="3"/>
  <c r="G342" i="3"/>
  <c r="BA344" i="3"/>
  <c r="BL345" i="3"/>
  <c r="G346" i="3"/>
  <c r="BA348" i="3"/>
  <c r="BL349" i="3"/>
  <c r="G350" i="3"/>
  <c r="BA352" i="3"/>
  <c r="AZ352" i="3" s="1"/>
  <c r="BL353" i="3"/>
  <c r="G354" i="3"/>
  <c r="BA356" i="3"/>
  <c r="AZ356" i="3"/>
  <c r="BL357" i="3"/>
  <c r="G358" i="3"/>
  <c r="BA362" i="3"/>
  <c r="BL363" i="3"/>
  <c r="G364" i="3"/>
  <c r="BA366" i="3"/>
  <c r="AZ366" i="3" s="1"/>
  <c r="BL367" i="3"/>
  <c r="AZ341" i="3"/>
  <c r="AZ353" i="3"/>
  <c r="G368" i="3"/>
  <c r="BA370" i="3"/>
  <c r="AZ370" i="3" s="1"/>
  <c r="BL371" i="3"/>
  <c r="G372" i="3"/>
  <c r="BA374" i="3"/>
  <c r="BL375" i="3"/>
  <c r="G376" i="3"/>
  <c r="BA378" i="3"/>
  <c r="BL379" i="3"/>
  <c r="AZ379" i="3"/>
  <c r="G380" i="3"/>
  <c r="BA382" i="3"/>
  <c r="AZ382" i="3" s="1"/>
  <c r="BL383" i="3"/>
  <c r="AZ383" i="3" s="1"/>
  <c r="G384" i="3"/>
  <c r="F37" i="46"/>
  <c r="AB16" i="35"/>
  <c r="AB15" i="37"/>
  <c r="U43" i="21"/>
  <c r="F77" i="40"/>
  <c r="G77" i="40" s="1"/>
  <c r="H77" i="40" s="1"/>
  <c r="I77" i="40" s="1"/>
  <c r="J77" i="40" s="1"/>
  <c r="K77" i="40" s="1"/>
  <c r="L77" i="40" s="1"/>
  <c r="M77" i="40" s="1"/>
  <c r="R16" i="4"/>
  <c r="D3" i="35"/>
  <c r="G4" i="4"/>
  <c r="J16" i="35"/>
  <c r="U42" i="21"/>
  <c r="AC26" i="36"/>
  <c r="AZ300" i="3"/>
  <c r="AZ322" i="3"/>
  <c r="H13" i="39"/>
  <c r="AB13" i="39"/>
  <c r="F13" i="39"/>
  <c r="J13" i="39"/>
  <c r="AC13" i="39" s="1"/>
  <c r="H11" i="37"/>
  <c r="W37" i="37"/>
  <c r="AA36" i="37"/>
  <c r="AC29" i="33"/>
  <c r="AC14" i="37"/>
  <c r="AC29" i="37"/>
  <c r="AC32" i="36"/>
  <c r="W40" i="34"/>
  <c r="F16" i="35"/>
  <c r="W42" i="33"/>
  <c r="W35" i="34"/>
  <c r="G107" i="34"/>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c r="AB26" i="21"/>
  <c r="U26" i="21"/>
  <c r="U39" i="21"/>
  <c r="J32" i="21"/>
  <c r="AC32" i="21" s="1"/>
  <c r="F17" i="21"/>
  <c r="S17" i="21" s="1"/>
  <c r="H17" i="21"/>
  <c r="J17" i="21"/>
  <c r="H37" i="21"/>
  <c r="F40" i="21"/>
  <c r="S40" i="21" s="1"/>
  <c r="H40" i="21"/>
  <c r="AB40" i="21" s="1"/>
  <c r="E119" i="21"/>
  <c r="F119" i="21" s="1"/>
  <c r="G119" i="21" s="1"/>
  <c r="H119" i="21" s="1"/>
  <c r="I119" i="21" s="1"/>
  <c r="J119" i="21" s="1"/>
  <c r="K119" i="21" s="1"/>
  <c r="L119" i="21" s="1"/>
  <c r="M119" i="21" s="1"/>
  <c r="AA8" i="33"/>
  <c r="F10" i="33"/>
  <c r="AA10" i="33" s="1"/>
  <c r="F11" i="33"/>
  <c r="S11" i="33" s="1"/>
  <c r="H19" i="33"/>
  <c r="AB19" i="33" s="1"/>
  <c r="F32" i="33"/>
  <c r="AA32" i="33" s="1"/>
  <c r="J32" i="33"/>
  <c r="AC32" i="33" s="1"/>
  <c r="F35" i="33"/>
  <c r="AA35" i="33" s="1"/>
  <c r="F80" i="34"/>
  <c r="G80" i="34" s="1"/>
  <c r="AB28" i="35"/>
  <c r="H13" i="33"/>
  <c r="U13" i="33" s="1"/>
  <c r="H29" i="33"/>
  <c r="F29" i="33"/>
  <c r="AA29" i="33" s="1"/>
  <c r="J12" i="34"/>
  <c r="AC12" i="34" s="1"/>
  <c r="H12" i="34"/>
  <c r="AB12" i="34" s="1"/>
  <c r="S12" i="34"/>
  <c r="J14" i="34"/>
  <c r="W14" i="34" s="1"/>
  <c r="S14" i="34"/>
  <c r="H14" i="34"/>
  <c r="AB14" i="34" s="1"/>
  <c r="H30" i="34"/>
  <c r="S30" i="34"/>
  <c r="J30" i="34"/>
  <c r="W30" i="34" s="1"/>
  <c r="H32" i="34"/>
  <c r="AB32" i="34" s="1"/>
  <c r="J32" i="34"/>
  <c r="W32" i="34" s="1"/>
  <c r="AB46" i="34"/>
  <c r="J11" i="35"/>
  <c r="AC11" i="35" s="1"/>
  <c r="F96" i="37"/>
  <c r="G96" i="37" s="1"/>
  <c r="H32" i="37"/>
  <c r="AB32" i="37" s="1"/>
  <c r="F19" i="39"/>
  <c r="S19" i="39" s="1"/>
  <c r="H19" i="39"/>
  <c r="AB19" i="39" s="1"/>
  <c r="J19" i="39"/>
  <c r="W19" i="39" s="1"/>
  <c r="F43" i="39"/>
  <c r="S43" i="39" s="1"/>
  <c r="H43" i="39"/>
  <c r="U43" i="39"/>
  <c r="J43" i="39"/>
  <c r="F99" i="37"/>
  <c r="G99" i="37" s="1"/>
  <c r="H99" i="37" s="1"/>
  <c r="I99" i="37" s="1"/>
  <c r="J99" i="37" s="1"/>
  <c r="K99" i="37" s="1"/>
  <c r="L99" i="37" s="1"/>
  <c r="M99" i="37" s="1"/>
  <c r="U31" i="34"/>
  <c r="AA44" i="34"/>
  <c r="U29" i="35"/>
  <c r="U43" i="34"/>
  <c r="S35" i="37"/>
  <c r="AA35" i="37"/>
  <c r="AA32" i="21"/>
  <c r="S32" i="21"/>
  <c r="U38" i="21"/>
  <c r="AB34" i="21"/>
  <c r="F42" i="21"/>
  <c r="AA42" i="21" s="1"/>
  <c r="U40" i="33"/>
  <c r="S35" i="34"/>
  <c r="E90" i="34"/>
  <c r="F90" i="34" s="1"/>
  <c r="G90" i="34" s="1"/>
  <c r="H90" i="34" s="1"/>
  <c r="I90" i="34" s="1"/>
  <c r="J90" i="34" s="1"/>
  <c r="K90" i="34" s="1"/>
  <c r="L90" i="34" s="1"/>
  <c r="M90" i="34" s="1"/>
  <c r="AB8" i="35"/>
  <c r="J14" i="35"/>
  <c r="AC14" i="35" s="1"/>
  <c r="F14" i="35"/>
  <c r="AA14" i="35" s="1"/>
  <c r="H14" i="35"/>
  <c r="U14" i="35" s="1"/>
  <c r="E80" i="35"/>
  <c r="E94" i="35"/>
  <c r="F94" i="35"/>
  <c r="G94" i="35" s="1"/>
  <c r="H94" i="35" s="1"/>
  <c r="I94" i="35" s="1"/>
  <c r="J94" i="35" s="1"/>
  <c r="K94" i="35" s="1"/>
  <c r="L94" i="35" s="1"/>
  <c r="M94" i="35" s="1"/>
  <c r="J32" i="35"/>
  <c r="AC32" i="35" s="1"/>
  <c r="H11" i="36"/>
  <c r="F11" i="36"/>
  <c r="E78" i="36"/>
  <c r="F78" i="36" s="1"/>
  <c r="G78" i="36" s="1"/>
  <c r="H78" i="36" s="1"/>
  <c r="I78" i="36" s="1"/>
  <c r="J78" i="36" s="1"/>
  <c r="K78" i="36" s="1"/>
  <c r="L78" i="36" s="1"/>
  <c r="M78" i="36" s="1"/>
  <c r="F26" i="36"/>
  <c r="S26" i="36" s="1"/>
  <c r="AB34" i="36"/>
  <c r="H33" i="36"/>
  <c r="U33" i="36"/>
  <c r="F33" i="36"/>
  <c r="AA33" i="36"/>
  <c r="H27" i="36"/>
  <c r="AB27" i="36"/>
  <c r="AC25" i="37"/>
  <c r="W26" i="37"/>
  <c r="AB29" i="37"/>
  <c r="AA30" i="37"/>
  <c r="S30" i="37"/>
  <c r="AC30" i="37"/>
  <c r="AC31" i="37"/>
  <c r="W31" i="37"/>
  <c r="F17" i="39"/>
  <c r="AA17" i="39" s="1"/>
  <c r="H17" i="39"/>
  <c r="J17" i="39"/>
  <c r="W17" i="39" s="1"/>
  <c r="F21" i="39"/>
  <c r="S21" i="39" s="1"/>
  <c r="H21" i="39"/>
  <c r="AB21" i="39" s="1"/>
  <c r="J21" i="39"/>
  <c r="W21" i="39"/>
  <c r="H33" i="39"/>
  <c r="U33" i="39" s="1"/>
  <c r="F44" i="39"/>
  <c r="S44" i="39" s="1"/>
  <c r="H44" i="39"/>
  <c r="U44" i="39" s="1"/>
  <c r="J44" i="39"/>
  <c r="W44" i="39" s="1"/>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AC30" i="36"/>
  <c r="F37" i="39"/>
  <c r="S37" i="39" s="1"/>
  <c r="H37" i="39"/>
  <c r="U37" i="39" s="1"/>
  <c r="J37" i="39"/>
  <c r="W37" i="39" s="1"/>
  <c r="BA567" i="3"/>
  <c r="BA563" i="3"/>
  <c r="BL549" i="3"/>
  <c r="BA549" i="3"/>
  <c r="AZ549" i="3" s="1"/>
  <c r="BL548" i="3"/>
  <c r="BA548" i="3"/>
  <c r="AZ548" i="3" s="1"/>
  <c r="BL547" i="3"/>
  <c r="BL539" i="3"/>
  <c r="BA538" i="3"/>
  <c r="BL537" i="3"/>
  <c r="BA535" i="3"/>
  <c r="BA534" i="3"/>
  <c r="AZ534" i="3" s="1"/>
  <c r="BA533" i="3"/>
  <c r="AZ533" i="3"/>
  <c r="BA530" i="3"/>
  <c r="BA529" i="3"/>
  <c r="BA525" i="3"/>
  <c r="BL523" i="3"/>
  <c r="BL522" i="3"/>
  <c r="BA518" i="3"/>
  <c r="BA517" i="3"/>
  <c r="BA515" i="3"/>
  <c r="BL513" i="3"/>
  <c r="BL512" i="3"/>
  <c r="BA511" i="3"/>
  <c r="BA507" i="3"/>
  <c r="BA506" i="3"/>
  <c r="BA504" i="3"/>
  <c r="AZ504" i="3" s="1"/>
  <c r="BA499" i="3"/>
  <c r="BL496" i="3"/>
  <c r="BL494" i="3"/>
  <c r="BA489" i="3"/>
  <c r="BA486" i="3"/>
  <c r="BA481" i="3"/>
  <c r="BL19" i="3"/>
  <c r="F114" i="34"/>
  <c r="G114" i="34" s="1"/>
  <c r="H114" i="34" s="1"/>
  <c r="I114" i="34" s="1"/>
  <c r="J114" i="34" s="1"/>
  <c r="K114" i="34" s="1"/>
  <c r="L114" i="34" s="1"/>
  <c r="M114" i="34" s="1"/>
  <c r="U38" i="34"/>
  <c r="H30" i="40"/>
  <c r="AB30" i="40"/>
  <c r="G99" i="40"/>
  <c r="J30" i="40"/>
  <c r="AC30" i="40" s="1"/>
  <c r="F38" i="40"/>
  <c r="AA38" i="40" s="1"/>
  <c r="AB33" i="21"/>
  <c r="AB10" i="21"/>
  <c r="U8" i="21"/>
  <c r="AB8" i="21"/>
  <c r="AC36" i="21"/>
  <c r="E106" i="33"/>
  <c r="F106" i="33" s="1"/>
  <c r="H34" i="33"/>
  <c r="U34" i="33" s="1"/>
  <c r="F34" i="33"/>
  <c r="S34" i="33" s="1"/>
  <c r="E121" i="33"/>
  <c r="F121" i="33" s="1"/>
  <c r="G121" i="33" s="1"/>
  <c r="H121" i="33" s="1"/>
  <c r="I121" i="33" s="1"/>
  <c r="J121" i="33" s="1"/>
  <c r="K121" i="33" s="1"/>
  <c r="L121" i="33" s="1"/>
  <c r="M121" i="33" s="1"/>
  <c r="F41" i="33"/>
  <c r="S39" i="34"/>
  <c r="S43" i="34"/>
  <c r="AC28" i="35"/>
  <c r="J20" i="35"/>
  <c r="AC20" i="35" s="1"/>
  <c r="E72" i="35"/>
  <c r="F72" i="35" s="1"/>
  <c r="G72" i="35" s="1"/>
  <c r="H22" i="35"/>
  <c r="AB22" i="35" s="1"/>
  <c r="H23" i="35"/>
  <c r="U23" i="35" s="1"/>
  <c r="F23" i="35"/>
  <c r="AA23" i="35" s="1"/>
  <c r="U31" i="36"/>
  <c r="S8" i="37"/>
  <c r="F14" i="39"/>
  <c r="AA14" i="39" s="1"/>
  <c r="J14" i="39"/>
  <c r="AC14" i="39" s="1"/>
  <c r="H16" i="39"/>
  <c r="F23" i="39"/>
  <c r="AA23" i="39" s="1"/>
  <c r="F27" i="39"/>
  <c r="AA27" i="39" s="1"/>
  <c r="H27" i="39"/>
  <c r="AB27" i="39" s="1"/>
  <c r="J27" i="39"/>
  <c r="AC27" i="39" s="1"/>
  <c r="F15" i="40"/>
  <c r="AA15" i="40" s="1"/>
  <c r="J15" i="40"/>
  <c r="W15" i="40" s="1"/>
  <c r="H15" i="40"/>
  <c r="AB15" i="40" s="1"/>
  <c r="E91" i="40"/>
  <c r="F91" i="40" s="1"/>
  <c r="G91" i="40" s="1"/>
  <c r="H23" i="40"/>
  <c r="U23" i="40" s="1"/>
  <c r="AB41" i="40"/>
  <c r="H37" i="34"/>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H32" i="40"/>
  <c r="U32" i="40" s="1"/>
  <c r="F33" i="40"/>
  <c r="AA33" i="40" s="1"/>
  <c r="H35" i="40"/>
  <c r="AB35" i="40" s="1"/>
  <c r="F35" i="40"/>
  <c r="AA35" i="40" s="1"/>
  <c r="J35" i="40"/>
  <c r="AC35" i="40" s="1"/>
  <c r="H38" i="39"/>
  <c r="U38" i="39" s="1"/>
  <c r="J16" i="40"/>
  <c r="W16" i="40" s="1"/>
  <c r="J14" i="40"/>
  <c r="H42" i="40"/>
  <c r="H40" i="40"/>
  <c r="U40" i="40" s="1"/>
  <c r="H34" i="40"/>
  <c r="U34" i="40" s="1"/>
  <c r="J42" i="40"/>
  <c r="AC42" i="40" s="1"/>
  <c r="J40" i="40"/>
  <c r="AC40" i="40" s="1"/>
  <c r="J34" i="40"/>
  <c r="H16" i="40"/>
  <c r="AB16" i="40" s="1"/>
  <c r="H14" i="40"/>
  <c r="U14" i="40" s="1"/>
  <c r="F32" i="40"/>
  <c r="AA32" i="40" s="1"/>
  <c r="F61" i="46"/>
  <c r="H61" i="46" s="1"/>
  <c r="AZ212" i="3"/>
  <c r="AZ215" i="3"/>
  <c r="AZ223" i="3"/>
  <c r="AZ236" i="3"/>
  <c r="AZ239" i="3"/>
  <c r="AZ252" i="3"/>
  <c r="AZ255" i="3"/>
  <c r="AZ260" i="3"/>
  <c r="AZ263" i="3"/>
  <c r="AZ268" i="3"/>
  <c r="AZ273" i="3"/>
  <c r="AZ137" i="3"/>
  <c r="AZ140" i="3"/>
  <c r="AZ152" i="3"/>
  <c r="F72" i="46"/>
  <c r="H74" i="46" s="1"/>
  <c r="J13" i="40"/>
  <c r="W13" i="40" s="1"/>
  <c r="U41" i="40"/>
  <c r="J23" i="40"/>
  <c r="AC23" i="40"/>
  <c r="F23" i="40"/>
  <c r="S23" i="40" s="1"/>
  <c r="AC15" i="40"/>
  <c r="S23" i="39"/>
  <c r="H20" i="35"/>
  <c r="AB20" i="35" s="1"/>
  <c r="F20" i="35"/>
  <c r="S20" i="35" s="1"/>
  <c r="F78" i="34"/>
  <c r="G78" i="34" s="1"/>
  <c r="H41" i="33"/>
  <c r="U41" i="33" s="1"/>
  <c r="F30" i="40"/>
  <c r="AA30" i="40" s="1"/>
  <c r="H99" i="40"/>
  <c r="I99" i="40" s="1"/>
  <c r="J99" i="40"/>
  <c r="K99" i="40" s="1"/>
  <c r="L99" i="40" s="1"/>
  <c r="M99" i="40" s="1"/>
  <c r="AB37" i="39"/>
  <c r="AA29" i="35"/>
  <c r="U39" i="39"/>
  <c r="J29" i="39"/>
  <c r="AC29" i="39"/>
  <c r="AB33" i="36"/>
  <c r="S14" i="35"/>
  <c r="F33" i="37"/>
  <c r="S33" i="37" s="1"/>
  <c r="U19" i="39"/>
  <c r="U46" i="34"/>
  <c r="AC30" i="34"/>
  <c r="W12" i="34"/>
  <c r="H15" i="33"/>
  <c r="U15" i="33" s="1"/>
  <c r="S13" i="39"/>
  <c r="AA13" i="39"/>
  <c r="U16" i="40"/>
  <c r="AB34" i="40"/>
  <c r="AC16" i="40"/>
  <c r="H25" i="40"/>
  <c r="AB25" i="40" s="1"/>
  <c r="F93" i="40"/>
  <c r="G93" i="40" s="1"/>
  <c r="U47" i="39"/>
  <c r="J37" i="34"/>
  <c r="AC37" i="34" s="1"/>
  <c r="AB23" i="40"/>
  <c r="H23" i="39"/>
  <c r="AB23" i="39" s="1"/>
  <c r="J23" i="39"/>
  <c r="AC23" i="39" s="1"/>
  <c r="G106" i="33"/>
  <c r="H106" i="33" s="1"/>
  <c r="I106" i="33" s="1"/>
  <c r="J106" i="33" s="1"/>
  <c r="K106" i="33" s="1"/>
  <c r="L106" i="33" s="1"/>
  <c r="M106" i="33" s="1"/>
  <c r="J34" i="33"/>
  <c r="AC34" i="33" s="1"/>
  <c r="U30" i="40"/>
  <c r="W29" i="35"/>
  <c r="AA39" i="39"/>
  <c r="U34" i="39"/>
  <c r="AB46" i="39"/>
  <c r="F80" i="35"/>
  <c r="G80" i="35" s="1"/>
  <c r="H80" i="35" s="1"/>
  <c r="I80" i="35" s="1"/>
  <c r="J80" i="35" s="1"/>
  <c r="K80" i="35" s="1"/>
  <c r="L80" i="35" s="1"/>
  <c r="M80" i="35" s="1"/>
  <c r="W14" i="35"/>
  <c r="AC43" i="39"/>
  <c r="W43" i="39"/>
  <c r="AA43" i="39"/>
  <c r="H96" i="37"/>
  <c r="I96" i="37" s="1"/>
  <c r="J96" i="37" s="1"/>
  <c r="K96" i="37" s="1"/>
  <c r="L96" i="37" s="1"/>
  <c r="M96" i="37" s="1"/>
  <c r="F32" i="37"/>
  <c r="U14" i="34"/>
  <c r="U12" i="34"/>
  <c r="J35" i="33"/>
  <c r="W35" i="33" s="1"/>
  <c r="H11" i="33"/>
  <c r="U11" i="33" s="1"/>
  <c r="H10" i="33"/>
  <c r="U10" i="33" s="1"/>
  <c r="J10" i="33"/>
  <c r="W10" i="33" s="1"/>
  <c r="U40" i="21"/>
  <c r="U13" i="39"/>
  <c r="F25" i="40"/>
  <c r="AA25" i="40"/>
  <c r="H33" i="37"/>
  <c r="AB33" i="37"/>
  <c r="W15" i="34"/>
  <c r="U20" i="35"/>
  <c r="W23" i="40"/>
  <c r="B11" i="1"/>
  <c r="E11" i="1"/>
  <c r="K11" i="1"/>
  <c r="M11" i="1" s="1"/>
  <c r="B9" i="1"/>
  <c r="E9" i="1" s="1"/>
  <c r="K9" i="1"/>
  <c r="M9" i="1" s="1"/>
  <c r="O9" i="1" s="1"/>
  <c r="P9" i="1" s="1"/>
  <c r="B7" i="1"/>
  <c r="E7" i="1" s="1"/>
  <c r="AP6" i="1"/>
  <c r="AA26" i="36"/>
  <c r="AA28" i="36"/>
  <c r="H20" i="36"/>
  <c r="U20" i="36" s="1"/>
  <c r="F68" i="36"/>
  <c r="G68" i="36" s="1"/>
  <c r="J20" i="36"/>
  <c r="AC20" i="36" s="1"/>
  <c r="F20" i="36"/>
  <c r="S20" i="36" s="1"/>
  <c r="G62" i="36"/>
  <c r="J14" i="36"/>
  <c r="H14" i="36"/>
  <c r="AB14" i="36" s="1"/>
  <c r="F14" i="36"/>
  <c r="AA14" i="36"/>
  <c r="U27" i="36"/>
  <c r="S33" i="36"/>
  <c r="AA27" i="36"/>
  <c r="S29" i="36"/>
  <c r="AC33" i="35"/>
  <c r="U22" i="35"/>
  <c r="S8" i="35"/>
  <c r="U33" i="35"/>
  <c r="AA20" i="35"/>
  <c r="W20" i="35"/>
  <c r="AB14" i="35"/>
  <c r="AC18" i="35"/>
  <c r="W18" i="35"/>
  <c r="U18" i="35"/>
  <c r="AB18" i="35"/>
  <c r="S30" i="35"/>
  <c r="AB30" i="35"/>
  <c r="S28" i="35"/>
  <c r="J26" i="35"/>
  <c r="F26" i="35"/>
  <c r="AA26" i="35" s="1"/>
  <c r="H26" i="35"/>
  <c r="W12" i="37"/>
  <c r="AB37" i="37"/>
  <c r="AA33" i="37"/>
  <c r="J33" i="37"/>
  <c r="W33" i="37" s="1"/>
  <c r="S29" i="37"/>
  <c r="J19" i="37"/>
  <c r="AC19" i="37"/>
  <c r="G75" i="37"/>
  <c r="F19" i="37"/>
  <c r="AA19" i="37" s="1"/>
  <c r="H19" i="37"/>
  <c r="J17" i="37"/>
  <c r="AC17" i="37" s="1"/>
  <c r="S15" i="37"/>
  <c r="AC21" i="37"/>
  <c r="W21" i="37"/>
  <c r="AC9" i="37"/>
  <c r="W32" i="37"/>
  <c r="U35" i="37"/>
  <c r="U8" i="37"/>
  <c r="AB25" i="37"/>
  <c r="AB21" i="37"/>
  <c r="U21" i="37"/>
  <c r="S37" i="37"/>
  <c r="S40" i="37"/>
  <c r="AA11" i="37"/>
  <c r="W33" i="34"/>
  <c r="S32" i="34"/>
  <c r="AC32" i="34"/>
  <c r="U44" i="34"/>
  <c r="W17" i="34"/>
  <c r="W37" i="34"/>
  <c r="W21" i="34"/>
  <c r="U21" i="34"/>
  <c r="AB41" i="34"/>
  <c r="S13" i="34"/>
  <c r="AA41" i="34"/>
  <c r="S35" i="33"/>
  <c r="W43" i="33"/>
  <c r="U46" i="33"/>
  <c r="W39" i="33"/>
  <c r="F87" i="33"/>
  <c r="G87" i="33" s="1"/>
  <c r="H87" i="33" s="1"/>
  <c r="I87" i="33" s="1"/>
  <c r="J87" i="33" s="1"/>
  <c r="K87" i="33" s="1"/>
  <c r="L87" i="33" s="1"/>
  <c r="M87" i="33" s="1"/>
  <c r="F25" i="33"/>
  <c r="S25" i="33" s="1"/>
  <c r="J23" i="33"/>
  <c r="AC23" i="33" s="1"/>
  <c r="H23" i="33"/>
  <c r="AB23" i="33" s="1"/>
  <c r="F79" i="33"/>
  <c r="G79" i="33" s="1"/>
  <c r="F17" i="33"/>
  <c r="S17" i="33" s="1"/>
  <c r="H17" i="33"/>
  <c r="U17" i="33" s="1"/>
  <c r="J17" i="33"/>
  <c r="W17" i="33" s="1"/>
  <c r="S14" i="33"/>
  <c r="AC21" i="33"/>
  <c r="W21" i="33"/>
  <c r="AB21" i="33"/>
  <c r="U21" i="33"/>
  <c r="S21" i="33"/>
  <c r="W39" i="21"/>
  <c r="U35" i="21"/>
  <c r="W43" i="21"/>
  <c r="AA37" i="21"/>
  <c r="AB32" i="21"/>
  <c r="AC46" i="21"/>
  <c r="F85" i="21"/>
  <c r="G85" i="21" s="1"/>
  <c r="J23" i="21"/>
  <c r="W23" i="21" s="1"/>
  <c r="F23" i="21"/>
  <c r="AA23" i="21" s="1"/>
  <c r="H23" i="21"/>
  <c r="AA17" i="21"/>
  <c r="F15" i="21"/>
  <c r="S15" i="21" s="1"/>
  <c r="F77" i="21"/>
  <c r="G77" i="21" s="1"/>
  <c r="J15" i="21"/>
  <c r="H15" i="21"/>
  <c r="U15" i="21" s="1"/>
  <c r="AC11" i="21"/>
  <c r="AC23" i="21"/>
  <c r="AC21" i="21"/>
  <c r="W21" i="21"/>
  <c r="W10" i="21"/>
  <c r="AC38" i="21"/>
  <c r="AB21" i="21"/>
  <c r="U21" i="21"/>
  <c r="S35" i="40"/>
  <c r="S14" i="40"/>
  <c r="AB13" i="40"/>
  <c r="S16" i="40"/>
  <c r="W11" i="40"/>
  <c r="AA21" i="40"/>
  <c r="U21" i="40"/>
  <c r="W42" i="40"/>
  <c r="F37" i="40"/>
  <c r="AA37" i="40" s="1"/>
  <c r="J37" i="40"/>
  <c r="AC37" i="40"/>
  <c r="H37" i="40"/>
  <c r="G112" i="40"/>
  <c r="H112" i="40" s="1"/>
  <c r="I112" i="40" s="1"/>
  <c r="J112" i="40" s="1"/>
  <c r="K112" i="40" s="1"/>
  <c r="L112" i="40" s="1"/>
  <c r="M112" i="40" s="1"/>
  <c r="F39" i="40"/>
  <c r="S38" i="40"/>
  <c r="H39" i="40"/>
  <c r="J39" i="40"/>
  <c r="AC39" i="40" s="1"/>
  <c r="F29" i="40"/>
  <c r="AA29" i="40" s="1"/>
  <c r="H29" i="40"/>
  <c r="J29" i="40"/>
  <c r="AC29" i="40" s="1"/>
  <c r="S25" i="40"/>
  <c r="AA23" i="40"/>
  <c r="F87" i="40"/>
  <c r="G87" i="40" s="1"/>
  <c r="F19" i="40"/>
  <c r="AA19" i="40" s="1"/>
  <c r="H19" i="40"/>
  <c r="AB19" i="40" s="1"/>
  <c r="J19" i="40"/>
  <c r="W19" i="40" s="1"/>
  <c r="W17" i="40"/>
  <c r="F17" i="40"/>
  <c r="AA17" i="40" s="1"/>
  <c r="H17" i="40"/>
  <c r="U17" i="40" s="1"/>
  <c r="W21" i="40"/>
  <c r="U10" i="40"/>
  <c r="U27" i="40"/>
  <c r="AB27" i="40"/>
  <c r="W13" i="39"/>
  <c r="S11" i="39"/>
  <c r="AB45" i="39"/>
  <c r="AA21" i="39"/>
  <c r="AC19" i="39"/>
  <c r="W29" i="39"/>
  <c r="S29" i="39"/>
  <c r="AC21" i="39"/>
  <c r="AC17" i="39"/>
  <c r="AB15" i="39"/>
  <c r="U11" i="39"/>
  <c r="U41" i="39"/>
  <c r="AB38" i="39"/>
  <c r="U31" i="39"/>
  <c r="AB31" i="39"/>
  <c r="S38" i="39"/>
  <c r="D18" i="9"/>
  <c r="M44" i="9" s="1"/>
  <c r="M43" i="9"/>
  <c r="BA16" i="3"/>
  <c r="BA17" i="3"/>
  <c r="AZ17" i="3" s="1"/>
  <c r="F3" i="35"/>
  <c r="K1" i="43"/>
  <c r="K1" i="12"/>
  <c r="G1" i="44"/>
  <c r="AZ15" i="3"/>
  <c r="BN5" i="3"/>
  <c r="BL18" i="3"/>
  <c r="BC5" i="3"/>
  <c r="BR5" i="3"/>
  <c r="G28" i="6" s="1"/>
  <c r="BQ5" i="3"/>
  <c r="BL16" i="3"/>
  <c r="BM5" i="3"/>
  <c r="G28" i="12"/>
  <c r="F50" i="46"/>
  <c r="H52" i="46" s="1"/>
  <c r="G52" i="46" s="1"/>
  <c r="I5" i="48"/>
  <c r="K21" i="46"/>
  <c r="F42" i="46"/>
  <c r="D74" i="46"/>
  <c r="D87" i="46"/>
  <c r="D72" i="46"/>
  <c r="A4" i="64"/>
  <c r="A4" i="51"/>
  <c r="B6" i="63" s="1"/>
  <c r="C51" i="10"/>
  <c r="A9" i="64"/>
  <c r="H83" i="46"/>
  <c r="H87" i="46"/>
  <c r="AB12" i="35"/>
  <c r="AA11" i="35"/>
  <c r="S14" i="37"/>
  <c r="U13" i="37"/>
  <c r="C24" i="9"/>
  <c r="C25" i="9"/>
  <c r="B46" i="50"/>
  <c r="B4" i="63" s="1"/>
  <c r="H89" i="46"/>
  <c r="H85" i="46"/>
  <c r="H90" i="46"/>
  <c r="H88" i="46"/>
  <c r="H86" i="46"/>
  <c r="K10" i="1"/>
  <c r="M10" i="1" s="1"/>
  <c r="O10" i="1" s="1"/>
  <c r="P10" i="1" s="1"/>
  <c r="R13" i="1"/>
  <c r="B6" i="1"/>
  <c r="E6" i="1" s="1"/>
  <c r="B10" i="1"/>
  <c r="E10" i="1" s="1"/>
  <c r="B8" i="1"/>
  <c r="E8" i="1" s="1"/>
  <c r="B12" i="1"/>
  <c r="E12" i="1" s="1"/>
  <c r="F66" i="36"/>
  <c r="H18" i="36"/>
  <c r="U18" i="36" s="1"/>
  <c r="U16" i="36"/>
  <c r="AC27" i="36"/>
  <c r="W28" i="36"/>
  <c r="AA32" i="36"/>
  <c r="U13" i="36"/>
  <c r="AA22" i="36"/>
  <c r="AA13" i="36"/>
  <c r="W29" i="36"/>
  <c r="W9" i="36"/>
  <c r="S9" i="36"/>
  <c r="AC30" i="35"/>
  <c r="W32" i="35"/>
  <c r="AA33" i="35"/>
  <c r="U32" i="35"/>
  <c r="W22" i="35"/>
  <c r="S32" i="35"/>
  <c r="W35" i="37"/>
  <c r="AC33" i="37"/>
  <c r="U33" i="37"/>
  <c r="AC15" i="37"/>
  <c r="S12" i="37"/>
  <c r="W38" i="37"/>
  <c r="W36" i="37"/>
  <c r="U26" i="37"/>
  <c r="AB28" i="37"/>
  <c r="W13" i="37"/>
  <c r="U38" i="37"/>
  <c r="W47" i="34"/>
  <c r="AB47" i="34"/>
  <c r="AC13" i="34"/>
  <c r="S47" i="34"/>
  <c r="S8" i="34"/>
  <c r="AB14" i="33"/>
  <c r="AB12" i="33"/>
  <c r="S9" i="33"/>
  <c r="S39" i="21"/>
  <c r="AA25" i="21"/>
  <c r="AA15" i="21"/>
  <c r="G95" i="40"/>
  <c r="J27" i="40"/>
  <c r="AC27" i="40" s="1"/>
  <c r="W37" i="40"/>
  <c r="S34" i="40"/>
  <c r="U38" i="40"/>
  <c r="S40" i="40"/>
  <c r="S42" i="40"/>
  <c r="G104" i="39"/>
  <c r="J31" i="39"/>
  <c r="W31" i="39" s="1"/>
  <c r="S45" i="39"/>
  <c r="W41" i="39"/>
  <c r="AB43" i="39"/>
  <c r="AC46" i="39"/>
  <c r="W42" i="39"/>
  <c r="W36" i="39"/>
  <c r="W23" i="39"/>
  <c r="S15" i="39"/>
  <c r="W25" i="39"/>
  <c r="W45" i="39"/>
  <c r="S41" i="39"/>
  <c r="AA44" i="39"/>
  <c r="AA46" i="39"/>
  <c r="W34" i="39"/>
  <c r="W10" i="39"/>
  <c r="W11" i="39"/>
  <c r="U42" i="39"/>
  <c r="W40" i="39"/>
  <c r="S32" i="40"/>
  <c r="C27" i="39"/>
  <c r="C17" i="40"/>
  <c r="C19" i="40"/>
  <c r="C19" i="39"/>
  <c r="C23" i="40"/>
  <c r="B51" i="46"/>
  <c r="B54" i="46"/>
  <c r="B58" i="46"/>
  <c r="B62" i="46"/>
  <c r="B69" i="46"/>
  <c r="B56" i="46"/>
  <c r="B67" i="46"/>
  <c r="S14" i="36"/>
  <c r="AB20" i="36"/>
  <c r="AC14" i="36"/>
  <c r="W14" i="36"/>
  <c r="U14" i="36"/>
  <c r="AB18" i="36"/>
  <c r="S26" i="35"/>
  <c r="U26" i="35"/>
  <c r="AB26" i="35"/>
  <c r="W26" i="35"/>
  <c r="AC26" i="35"/>
  <c r="W19" i="37"/>
  <c r="AB19" i="37"/>
  <c r="U19" i="37"/>
  <c r="W17" i="37"/>
  <c r="U25" i="34"/>
  <c r="S25" i="34"/>
  <c r="W25" i="34"/>
  <c r="S23" i="34"/>
  <c r="U23" i="21"/>
  <c r="AB23" i="21"/>
  <c r="S23" i="21"/>
  <c r="AB15" i="21"/>
  <c r="W15" i="21"/>
  <c r="AC15" i="21"/>
  <c r="AB39" i="40"/>
  <c r="U39" i="40"/>
  <c r="W39" i="40"/>
  <c r="AA39" i="40"/>
  <c r="S39" i="40"/>
  <c r="U37" i="40"/>
  <c r="AB37" i="40"/>
  <c r="S37" i="40"/>
  <c r="U29" i="40"/>
  <c r="AB29" i="40"/>
  <c r="W29" i="40"/>
  <c r="S29" i="40"/>
  <c r="AC19" i="40"/>
  <c r="S19" i="40"/>
  <c r="U19" i="40"/>
  <c r="AT6" i="3"/>
  <c r="AZ16" i="3"/>
  <c r="E4" i="4"/>
  <c r="B21" i="55"/>
  <c r="B72" i="63" s="1"/>
  <c r="C4" i="4"/>
  <c r="G66" i="36"/>
  <c r="J18" i="36"/>
  <c r="W18" i="36" s="1"/>
  <c r="AC18" i="36"/>
  <c r="L20" i="6"/>
  <c r="B20" i="55"/>
  <c r="B70" i="63" s="1"/>
  <c r="C45" i="9"/>
  <c r="B7" i="66"/>
  <c r="C44" i="9"/>
  <c r="B6" i="66"/>
  <c r="O40" i="9"/>
  <c r="K31" i="9" s="1"/>
  <c r="K32" i="9" s="1"/>
  <c r="K29" i="9"/>
  <c r="K30" i="9" s="1"/>
  <c r="N76" i="9"/>
  <c r="C46" i="9"/>
  <c r="K33" i="9" s="1"/>
  <c r="B8" i="66"/>
  <c r="D8" i="66" s="1"/>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B17" i="59" s="1"/>
  <c r="AB42" i="33"/>
  <c r="AB41" i="33"/>
  <c r="U39" i="33"/>
  <c r="AB28" i="33"/>
  <c r="W32" i="33"/>
  <c r="AC35" i="33"/>
  <c r="U35" i="33"/>
  <c r="W34" i="33"/>
  <c r="AB26" i="33"/>
  <c r="AA25" i="33"/>
  <c r="W19" i="33"/>
  <c r="AB17" i="33"/>
  <c r="AA17" i="33"/>
  <c r="AC37" i="33"/>
  <c r="S32" i="33"/>
  <c r="U32" i="33"/>
  <c r="AA19" i="33"/>
  <c r="AB15" i="33"/>
  <c r="AB13" i="33"/>
  <c r="AB11" i="33"/>
  <c r="AC8" i="33"/>
  <c r="D26" i="44"/>
  <c r="D24" i="44"/>
  <c r="G27" i="74"/>
  <c r="G26" i="74"/>
  <c r="D96" i="9"/>
  <c r="P27" i="6"/>
  <c r="O7" i="1"/>
  <c r="P7" i="1" s="1"/>
  <c r="K12" i="1"/>
  <c r="M12" i="1" s="1"/>
  <c r="G567" i="3"/>
  <c r="BA566" i="3"/>
  <c r="AZ566" i="3" s="1"/>
  <c r="G563" i="3"/>
  <c r="BA561" i="3"/>
  <c r="BA560" i="3"/>
  <c r="AZ560" i="3" s="1"/>
  <c r="G559" i="3"/>
  <c r="BA556" i="3"/>
  <c r="BL555" i="3"/>
  <c r="BL553" i="3"/>
  <c r="G541" i="3"/>
  <c r="G540" i="3"/>
  <c r="G519" i="3"/>
  <c r="G516" i="3"/>
  <c r="BA389" i="3"/>
  <c r="BL390" i="3"/>
  <c r="BA391" i="3"/>
  <c r="BA392" i="3"/>
  <c r="BL392" i="3"/>
  <c r="BA393" i="3"/>
  <c r="BL394" i="3"/>
  <c r="BL396" i="3"/>
  <c r="BA398" i="3"/>
  <c r="AZ398" i="3"/>
  <c r="BL398" i="3"/>
  <c r="BL400" i="3"/>
  <c r="BA401" i="3"/>
  <c r="BA402" i="3"/>
  <c r="AZ402" i="3"/>
  <c r="BL402" i="3"/>
  <c r="BL404" i="3"/>
  <c r="BL406" i="3"/>
  <c r="BA407" i="3"/>
  <c r="AZ407" i="3" s="1"/>
  <c r="BA408" i="3"/>
  <c r="BL408" i="3"/>
  <c r="AZ408" i="3" s="1"/>
  <c r="BA409" i="3"/>
  <c r="AZ409" i="3" s="1"/>
  <c r="BL410" i="3"/>
  <c r="BL412" i="3"/>
  <c r="AZ336" i="3"/>
  <c r="AZ320" i="3"/>
  <c r="AZ365" i="3"/>
  <c r="AZ298" i="3"/>
  <c r="AZ19" i="3"/>
  <c r="BL572" i="3"/>
  <c r="BL570" i="3"/>
  <c r="BH5" i="3"/>
  <c r="BL567" i="3"/>
  <c r="AZ567" i="3" s="1"/>
  <c r="BA551" i="3"/>
  <c r="AZ551" i="3" s="1"/>
  <c r="G533" i="3"/>
  <c r="G527" i="3"/>
  <c r="G525" i="3"/>
  <c r="G509" i="3"/>
  <c r="G496" i="3"/>
  <c r="G481" i="3"/>
  <c r="G19" i="3"/>
  <c r="BA414" i="3"/>
  <c r="BL414" i="3"/>
  <c r="BL416" i="3"/>
  <c r="BA418" i="3"/>
  <c r="AZ418" i="3" s="1"/>
  <c r="BL418" i="3"/>
  <c r="BA419" i="3"/>
  <c r="AZ419" i="3" s="1"/>
  <c r="BA420" i="3"/>
  <c r="BL420" i="3"/>
  <c r="BA421" i="3"/>
  <c r="AZ421" i="3" s="1"/>
  <c r="BL422" i="3"/>
  <c r="BA423" i="3"/>
  <c r="AZ423" i="3" s="1"/>
  <c r="BA424" i="3"/>
  <c r="AZ424" i="3" s="1"/>
  <c r="BL424" i="3"/>
  <c r="BA425" i="3"/>
  <c r="AZ425" i="3" s="1"/>
  <c r="BL426" i="3"/>
  <c r="BA428" i="3"/>
  <c r="BL428" i="3"/>
  <c r="BA429" i="3"/>
  <c r="AZ429" i="3"/>
  <c r="BL430" i="3"/>
  <c r="BA431" i="3"/>
  <c r="BA432" i="3"/>
  <c r="BL432" i="3"/>
  <c r="AZ432" i="3" s="1"/>
  <c r="BA434" i="3"/>
  <c r="BL434" i="3"/>
  <c r="AZ434" i="3" s="1"/>
  <c r="BA435" i="3"/>
  <c r="BL436" i="3"/>
  <c r="BA438" i="3"/>
  <c r="BL438" i="3"/>
  <c r="BL440" i="3"/>
  <c r="BA441" i="3"/>
  <c r="BA442" i="3"/>
  <c r="AZ442" i="3" s="1"/>
  <c r="BA443" i="3"/>
  <c r="BL443" i="3"/>
  <c r="BL445" i="3"/>
  <c r="BA446" i="3"/>
  <c r="AZ446" i="3" s="1"/>
  <c r="BA447" i="3"/>
  <c r="AZ447" i="3" s="1"/>
  <c r="BL447" i="3"/>
  <c r="BA448" i="3"/>
  <c r="AZ448" i="3" s="1"/>
  <c r="BL449" i="3"/>
  <c r="BA450" i="3"/>
  <c r="AZ450" i="3" s="1"/>
  <c r="BA451" i="3"/>
  <c r="BL451" i="3"/>
  <c r="BL453" i="3"/>
  <c r="BA454" i="3"/>
  <c r="AZ454" i="3" s="1"/>
  <c r="BL455" i="3"/>
  <c r="BA456" i="3"/>
  <c r="AZ456" i="3"/>
  <c r="BA457" i="3"/>
  <c r="BL457" i="3"/>
  <c r="BA459" i="3"/>
  <c r="BL459" i="3"/>
  <c r="AZ459" i="3" s="1"/>
  <c r="BA460" i="3"/>
  <c r="AZ460" i="3"/>
  <c r="BL461" i="3"/>
  <c r="BA463" i="3"/>
  <c r="BL463" i="3"/>
  <c r="AZ463" i="3"/>
  <c r="BA464" i="3"/>
  <c r="AZ464" i="3"/>
  <c r="BA465" i="3"/>
  <c r="BL465" i="3"/>
  <c r="AZ465" i="3" s="1"/>
  <c r="BA467" i="3"/>
  <c r="BL467" i="3"/>
  <c r="AZ467" i="3" s="1"/>
  <c r="BA468" i="3"/>
  <c r="AZ468" i="3"/>
  <c r="BL469" i="3"/>
  <c r="BA471" i="3"/>
  <c r="AZ471" i="3" s="1"/>
  <c r="BL471" i="3"/>
  <c r="BA472" i="3"/>
  <c r="AZ472" i="3" s="1"/>
  <c r="BA473" i="3"/>
  <c r="AZ473" i="3" s="1"/>
  <c r="BL473" i="3"/>
  <c r="BA475" i="3"/>
  <c r="BL475" i="3"/>
  <c r="BA476" i="3"/>
  <c r="AZ476" i="3" s="1"/>
  <c r="BL477" i="3"/>
  <c r="BA479" i="3"/>
  <c r="BL479" i="3"/>
  <c r="AZ479" i="3" s="1"/>
  <c r="BA480" i="3"/>
  <c r="AZ480" i="3" s="1"/>
  <c r="G311" i="3"/>
  <c r="BL312" i="3"/>
  <c r="G313" i="3"/>
  <c r="BL314" i="3"/>
  <c r="AZ314" i="3" s="1"/>
  <c r="BL319" i="3"/>
  <c r="G320" i="3"/>
  <c r="BA334" i="3"/>
  <c r="BL346" i="3"/>
  <c r="AZ346" i="3"/>
  <c r="G347" i="3"/>
  <c r="BL351" i="3"/>
  <c r="G352" i="3"/>
  <c r="BL360" i="3"/>
  <c r="BA367" i="3"/>
  <c r="AZ367" i="3"/>
  <c r="BA369" i="3"/>
  <c r="G370" i="3"/>
  <c r="BA371" i="3"/>
  <c r="AZ311" i="3"/>
  <c r="BA277" i="3"/>
  <c r="BL278" i="3"/>
  <c r="BL280" i="3"/>
  <c r="BA281" i="3"/>
  <c r="BL282" i="3"/>
  <c r="BA284" i="3"/>
  <c r="BL284" i="3"/>
  <c r="BA285" i="3"/>
  <c r="BL286" i="3"/>
  <c r="BL288" i="3"/>
  <c r="BA289" i="3"/>
  <c r="BL290" i="3"/>
  <c r="BA292" i="3"/>
  <c r="AZ292" i="3" s="1"/>
  <c r="BL292" i="3"/>
  <c r="BA293" i="3"/>
  <c r="BA294" i="3"/>
  <c r="AZ294" i="3" s="1"/>
  <c r="BL294" i="3"/>
  <c r="BL296" i="3"/>
  <c r="BL114" i="3"/>
  <c r="BA115" i="3"/>
  <c r="AZ115" i="3" s="1"/>
  <c r="BL117" i="3"/>
  <c r="G118" i="3"/>
  <c r="BA119" i="3"/>
  <c r="AZ119" i="3"/>
  <c r="BL121" i="3"/>
  <c r="G122" i="3"/>
  <c r="BA123" i="3"/>
  <c r="AZ123" i="3"/>
  <c r="BL125" i="3"/>
  <c r="G126" i="3"/>
  <c r="BA127" i="3"/>
  <c r="AZ127" i="3"/>
  <c r="BA129" i="3"/>
  <c r="G130" i="3"/>
  <c r="G149" i="3"/>
  <c r="G160" i="3"/>
  <c r="G164" i="3"/>
  <c r="G168" i="3"/>
  <c r="G170" i="3"/>
  <c r="BA171" i="3"/>
  <c r="AZ171" i="3" s="1"/>
  <c r="BL171" i="3"/>
  <c r="BA172" i="3"/>
  <c r="G174" i="3"/>
  <c r="BL175" i="3"/>
  <c r="BA177" i="3"/>
  <c r="BL177" i="3"/>
  <c r="BA186" i="3"/>
  <c r="G187" i="3"/>
  <c r="BL188" i="3"/>
  <c r="G189" i="3"/>
  <c r="BA191" i="3"/>
  <c r="BL191" i="3"/>
  <c r="AZ191" i="3" s="1"/>
  <c r="G196" i="3"/>
  <c r="G203" i="3"/>
  <c r="G21" i="3"/>
  <c r="G23" i="3"/>
  <c r="G25" i="3"/>
  <c r="BA37" i="3"/>
  <c r="AZ37" i="3" s="1"/>
  <c r="BA38" i="3"/>
  <c r="BL38" i="3"/>
  <c r="BA40" i="3"/>
  <c r="AZ40" i="3" s="1"/>
  <c r="BL40" i="3"/>
  <c r="BL41" i="3"/>
  <c r="BA43" i="3"/>
  <c r="BL43" i="3"/>
  <c r="BA44" i="3"/>
  <c r="AZ44" i="3"/>
  <c r="BA45" i="3"/>
  <c r="BL45" i="3"/>
  <c r="AZ45" i="3" s="1"/>
  <c r="BA46" i="3"/>
  <c r="AZ46" i="3"/>
  <c r="BL47" i="3"/>
  <c r="BA48" i="3"/>
  <c r="AZ48" i="3" s="1"/>
  <c r="BA49" i="3"/>
  <c r="BL49" i="3"/>
  <c r="BA50" i="3"/>
  <c r="AZ50" i="3"/>
  <c r="BL51" i="3"/>
  <c r="BL53" i="3"/>
  <c r="BA55" i="3"/>
  <c r="BL55" i="3"/>
  <c r="BA57" i="3"/>
  <c r="AZ57" i="3"/>
  <c r="BA58" i="3"/>
  <c r="AZ58" i="3"/>
  <c r="BL58" i="3"/>
  <c r="BA60" i="3"/>
  <c r="AZ60" i="3" s="1"/>
  <c r="BA61" i="3"/>
  <c r="BL61" i="3"/>
  <c r="AZ61" i="3" s="1"/>
  <c r="BA62" i="3"/>
  <c r="AZ62" i="3" s="1"/>
  <c r="BL63" i="3"/>
  <c r="BL65" i="3"/>
  <c r="BA66" i="3"/>
  <c r="AZ66" i="3" s="1"/>
  <c r="BA67" i="3"/>
  <c r="BL67" i="3"/>
  <c r="BA68" i="3"/>
  <c r="AZ68" i="3" s="1"/>
  <c r="BA69" i="3"/>
  <c r="AZ69" i="3" s="1"/>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378" i="3"/>
  <c r="AZ340" i="3"/>
  <c r="AZ329" i="3"/>
  <c r="AZ373" i="3"/>
  <c r="AZ338" i="3"/>
  <c r="AZ307" i="3"/>
  <c r="BL560" i="3"/>
  <c r="BL564" i="3"/>
  <c r="AZ550" i="3"/>
  <c r="G570" i="3"/>
  <c r="G553" i="3"/>
  <c r="G543" i="3"/>
  <c r="G535" i="3"/>
  <c r="G528" i="3"/>
  <c r="G520" i="3"/>
  <c r="G511" i="3"/>
  <c r="G50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AZ310" i="3" s="1"/>
  <c r="G26" i="3"/>
  <c r="G28" i="3"/>
  <c r="G30" i="3"/>
  <c r="G32" i="3"/>
  <c r="G34" i="3"/>
  <c r="G36" i="3"/>
  <c r="G38" i="3"/>
  <c r="G40" i="3"/>
  <c r="G43" i="3"/>
  <c r="G45" i="3"/>
  <c r="G47" i="3"/>
  <c r="G49" i="3"/>
  <c r="G51" i="3"/>
  <c r="G53" i="3"/>
  <c r="G55" i="3"/>
  <c r="G57" i="3"/>
  <c r="G58" i="3"/>
  <c r="G60" i="3"/>
  <c r="G61" i="3"/>
  <c r="G63" i="3"/>
  <c r="G65" i="3"/>
  <c r="G67" i="3"/>
  <c r="G69" i="3"/>
  <c r="G71" i="3"/>
  <c r="G317" i="3"/>
  <c r="BA319" i="3"/>
  <c r="AZ319" i="3" s="1"/>
  <c r="G329" i="3"/>
  <c r="G333" i="3"/>
  <c r="BA335" i="3"/>
  <c r="AZ335" i="3" s="1"/>
  <c r="G345" i="3"/>
  <c r="G349" i="3"/>
  <c r="BA351" i="3"/>
  <c r="AZ351" i="3" s="1"/>
  <c r="G365" i="3"/>
  <c r="BL366" i="3"/>
  <c r="BA368" i="3"/>
  <c r="AZ368" i="3" s="1"/>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AZ116" i="3" s="1"/>
  <c r="BA117" i="3"/>
  <c r="AZ117" i="3"/>
  <c r="G119" i="3"/>
  <c r="BL120" i="3"/>
  <c r="BA121" i="3"/>
  <c r="AZ121" i="3"/>
  <c r="G123" i="3"/>
  <c r="BA124" i="3"/>
  <c r="AZ124" i="3" s="1"/>
  <c r="BL124" i="3"/>
  <c r="BA125" i="3"/>
  <c r="G127" i="3"/>
  <c r="BL128" i="3"/>
  <c r="BL130" i="3"/>
  <c r="AZ130" i="3"/>
  <c r="BA131" i="3"/>
  <c r="AZ131" i="3"/>
  <c r="G134" i="3"/>
  <c r="BA135" i="3"/>
  <c r="AZ135" i="3" s="1"/>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G166" i="3"/>
  <c r="BL167" i="3"/>
  <c r="BL169" i="3"/>
  <c r="BA170" i="3"/>
  <c r="AZ170" i="3" s="1"/>
  <c r="G173" i="3"/>
  <c r="BA174" i="3"/>
  <c r="AZ174" i="3" s="1"/>
  <c r="G177" i="3"/>
  <c r="G179" i="3"/>
  <c r="BA180" i="3"/>
  <c r="AZ180" i="3" s="1"/>
  <c r="G183" i="3"/>
  <c r="G185" i="3"/>
  <c r="BA187" i="3"/>
  <c r="BL187" i="3"/>
  <c r="G191" i="3"/>
  <c r="G193" i="3"/>
  <c r="BA195" i="3"/>
  <c r="BL195" i="3"/>
  <c r="G199" i="3"/>
  <c r="G201" i="3"/>
  <c r="BL202" i="3"/>
  <c r="BA203" i="3"/>
  <c r="AZ203" i="3" s="1"/>
  <c r="BA204" i="3"/>
  <c r="AZ204" i="3" s="1"/>
  <c r="BL204" i="3"/>
  <c r="BA21" i="3"/>
  <c r="AZ21" i="3" s="1"/>
  <c r="BA22" i="3"/>
  <c r="BL22" i="3"/>
  <c r="BA24" i="3"/>
  <c r="AZ24" i="3"/>
  <c r="BL24" i="3"/>
  <c r="BA71" i="3"/>
  <c r="AZ71" i="3" s="1"/>
  <c r="BL71" i="3"/>
  <c r="BL72" i="3"/>
  <c r="BA74" i="3"/>
  <c r="BL74" i="3"/>
  <c r="BA75" i="3"/>
  <c r="AZ75" i="3" s="1"/>
  <c r="BA76" i="3"/>
  <c r="AZ76" i="3" s="1"/>
  <c r="BL76" i="3"/>
  <c r="BA77" i="3"/>
  <c r="AZ77" i="3" s="1"/>
  <c r="BL78" i="3"/>
  <c r="BA79" i="3"/>
  <c r="AZ79" i="3" s="1"/>
  <c r="BA80" i="3"/>
  <c r="BL80" i="3"/>
  <c r="BA81" i="3"/>
  <c r="AZ81" i="3" s="1"/>
  <c r="BL82" i="3"/>
  <c r="BA84" i="3"/>
  <c r="BL84" i="3"/>
  <c r="BA85" i="3"/>
  <c r="AZ85" i="3" s="1"/>
  <c r="BL86" i="3"/>
  <c r="BL88" i="3"/>
  <c r="BA90" i="3"/>
  <c r="AZ90" i="3" s="1"/>
  <c r="BL90" i="3"/>
  <c r="BL92" i="3"/>
  <c r="BA94" i="3"/>
  <c r="BL94" i="3"/>
  <c r="BA95" i="3"/>
  <c r="AZ95" i="3" s="1"/>
  <c r="BA96" i="3"/>
  <c r="AZ96" i="3" s="1"/>
  <c r="BL96" i="3"/>
  <c r="BA97" i="3"/>
  <c r="AZ97" i="3" s="1"/>
  <c r="BL98" i="3"/>
  <c r="BA99" i="3"/>
  <c r="AZ99" i="3" s="1"/>
  <c r="BA100" i="3"/>
  <c r="AZ100" i="3" s="1"/>
  <c r="BL100" i="3"/>
  <c r="BA101" i="3"/>
  <c r="AZ101" i="3" s="1"/>
  <c r="BL102" i="3"/>
  <c r="BL104" i="3"/>
  <c r="BA106" i="3"/>
  <c r="AZ106" i="3" s="1"/>
  <c r="BL106" i="3"/>
  <c r="BL108" i="3"/>
  <c r="BA110" i="3"/>
  <c r="AZ110" i="3" s="1"/>
  <c r="BL110" i="3"/>
  <c r="BA111" i="3"/>
  <c r="AZ111" i="3" s="1"/>
  <c r="BA112" i="3"/>
  <c r="K5" i="54"/>
  <c r="B38" i="63" s="1"/>
  <c r="C53" i="10"/>
  <c r="A25" i="64" s="1"/>
  <c r="T41" i="4"/>
  <c r="A17" i="51" s="1"/>
  <c r="B13" i="63" s="1"/>
  <c r="L5" i="54"/>
  <c r="B39" i="63" s="1"/>
  <c r="A18" i="51"/>
  <c r="B14" i="63" s="1"/>
  <c r="H72" i="46"/>
  <c r="S21" i="59"/>
  <c r="U31" i="37"/>
  <c r="AA46" i="21"/>
  <c r="S46" i="21"/>
  <c r="W33" i="36"/>
  <c r="AC33" i="36"/>
  <c r="S39" i="37"/>
  <c r="AA39" i="37"/>
  <c r="B99" i="46"/>
  <c r="B76" i="46"/>
  <c r="C29" i="39"/>
  <c r="S12" i="33"/>
  <c r="AA12" i="33"/>
  <c r="AA38" i="33"/>
  <c r="S38" i="33"/>
  <c r="AC38" i="33"/>
  <c r="W38" i="33"/>
  <c r="AC40" i="33"/>
  <c r="W40" i="33"/>
  <c r="F13" i="35"/>
  <c r="AA13" i="35" s="1"/>
  <c r="J13" i="35"/>
  <c r="H13" i="35"/>
  <c r="U13" i="35" s="1"/>
  <c r="F36" i="35"/>
  <c r="AA36" i="35" s="1"/>
  <c r="H12" i="36"/>
  <c r="AB12" i="36" s="1"/>
  <c r="AB22" i="36"/>
  <c r="U22" i="36"/>
  <c r="J23" i="36"/>
  <c r="H23" i="36"/>
  <c r="U23" i="36" s="1"/>
  <c r="F23" i="36"/>
  <c r="S17" i="34"/>
  <c r="W40" i="40"/>
  <c r="AZ362" i="3"/>
  <c r="AZ344" i="3"/>
  <c r="AZ359" i="3"/>
  <c r="AA39" i="33"/>
  <c r="U43" i="33"/>
  <c r="AB43" i="33"/>
  <c r="BA572" i="3"/>
  <c r="AZ572" i="3" s="1"/>
  <c r="BA570" i="3"/>
  <c r="AZ570" i="3" s="1"/>
  <c r="F12" i="21"/>
  <c r="S12" i="21" s="1"/>
  <c r="H30" i="21"/>
  <c r="U30" i="21" s="1"/>
  <c r="F30" i="21"/>
  <c r="S30" i="21" s="1"/>
  <c r="J30" i="21"/>
  <c r="W30" i="21" s="1"/>
  <c r="B101" i="46"/>
  <c r="B79" i="46"/>
  <c r="AB9" i="33"/>
  <c r="U9" i="33"/>
  <c r="AB38" i="33"/>
  <c r="U38" i="33"/>
  <c r="F28" i="33"/>
  <c r="J28" i="33"/>
  <c r="W28" i="33" s="1"/>
  <c r="J26" i="33"/>
  <c r="F26" i="33"/>
  <c r="S26" i="33" s="1"/>
  <c r="J28" i="34"/>
  <c r="H28" i="34"/>
  <c r="U28" i="34" s="1"/>
  <c r="AC23" i="35"/>
  <c r="J36" i="35"/>
  <c r="W36" i="35" s="1"/>
  <c r="F31" i="33"/>
  <c r="J31" i="33"/>
  <c r="AC31" i="33" s="1"/>
  <c r="H31" i="33"/>
  <c r="J25" i="35"/>
  <c r="AC25" i="35" s="1"/>
  <c r="F25" i="35"/>
  <c r="H25" i="35"/>
  <c r="U25" i="35" s="1"/>
  <c r="J35" i="35"/>
  <c r="F35" i="35"/>
  <c r="AA35" i="35" s="1"/>
  <c r="H35" i="35"/>
  <c r="J25" i="36"/>
  <c r="W25" i="36" s="1"/>
  <c r="F25" i="36"/>
  <c r="H25" i="36"/>
  <c r="U25" i="36" s="1"/>
  <c r="AB27" i="37"/>
  <c r="U27" i="37"/>
  <c r="BA390" i="3"/>
  <c r="AZ390" i="3"/>
  <c r="BA394" i="3"/>
  <c r="AZ394" i="3"/>
  <c r="BL395" i="3"/>
  <c r="BA396" i="3"/>
  <c r="AZ396" i="3" s="1"/>
  <c r="BL397" i="3"/>
  <c r="BL399" i="3"/>
  <c r="BA400" i="3"/>
  <c r="BL403" i="3"/>
  <c r="BA404" i="3"/>
  <c r="AZ404" i="3" s="1"/>
  <c r="BL405" i="3"/>
  <c r="BA406" i="3"/>
  <c r="AZ406" i="3" s="1"/>
  <c r="BA410" i="3"/>
  <c r="AZ410" i="3" s="1"/>
  <c r="BL411" i="3"/>
  <c r="AZ411" i="3" s="1"/>
  <c r="BA412" i="3"/>
  <c r="AZ412" i="3" s="1"/>
  <c r="BL413" i="3"/>
  <c r="AZ413" i="3" s="1"/>
  <c r="BL415" i="3"/>
  <c r="AZ415" i="3" s="1"/>
  <c r="BA416" i="3"/>
  <c r="AZ416" i="3" s="1"/>
  <c r="BL417" i="3"/>
  <c r="AZ417" i="3" s="1"/>
  <c r="BA422" i="3"/>
  <c r="BA426" i="3"/>
  <c r="BL427" i="3"/>
  <c r="BA430" i="3"/>
  <c r="AZ430" i="3"/>
  <c r="BL433" i="3"/>
  <c r="BA436" i="3"/>
  <c r="AZ436" i="3"/>
  <c r="BL437" i="3"/>
  <c r="BL439" i="3"/>
  <c r="BA440" i="3"/>
  <c r="AZ440" i="3"/>
  <c r="AZ360" i="3"/>
  <c r="AZ371" i="3"/>
  <c r="AZ343" i="3"/>
  <c r="E5" i="6"/>
  <c r="D12" i="11" s="1"/>
  <c r="C12" i="11" s="1"/>
  <c r="B84" i="46"/>
  <c r="B94" i="46"/>
  <c r="A30" i="51"/>
  <c r="B22" i="63" s="1"/>
  <c r="A30" i="64"/>
  <c r="A2" i="55"/>
  <c r="B55" i="63" s="1"/>
  <c r="AZ428" i="3"/>
  <c r="BL444" i="3"/>
  <c r="AZ444" i="3" s="1"/>
  <c r="BA445" i="3"/>
  <c r="AZ445" i="3" s="1"/>
  <c r="BA449" i="3"/>
  <c r="AZ449" i="3" s="1"/>
  <c r="BL452" i="3"/>
  <c r="AZ452" i="3" s="1"/>
  <c r="BA453" i="3"/>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BA206" i="3"/>
  <c r="BL209" i="3"/>
  <c r="AZ209" i="3" s="1"/>
  <c r="BA210" i="3"/>
  <c r="AZ210" i="3" s="1"/>
  <c r="BL211" i="3"/>
  <c r="BL213" i="3"/>
  <c r="AZ213" i="3"/>
  <c r="BA214" i="3"/>
  <c r="BL217" i="3"/>
  <c r="AZ217" i="3"/>
  <c r="BA218" i="3"/>
  <c r="AZ218" i="3"/>
  <c r="BL219" i="3"/>
  <c r="AZ219" i="3"/>
  <c r="BL221" i="3"/>
  <c r="BA222" i="3"/>
  <c r="AZ222" i="3"/>
  <c r="BL225" i="3"/>
  <c r="AZ225" i="3"/>
  <c r="BA226" i="3"/>
  <c r="AZ226" i="3"/>
  <c r="BL227" i="3"/>
  <c r="BL229" i="3"/>
  <c r="BA230" i="3"/>
  <c r="AZ230" i="3" s="1"/>
  <c r="BL233" i="3"/>
  <c r="AZ233" i="3" s="1"/>
  <c r="BA234" i="3"/>
  <c r="AZ234" i="3" s="1"/>
  <c r="BL235" i="3"/>
  <c r="BL237" i="3"/>
  <c r="AZ237" i="3" s="1"/>
  <c r="BA238" i="3"/>
  <c r="BL241" i="3"/>
  <c r="AZ241" i="3" s="1"/>
  <c r="BA242" i="3"/>
  <c r="AZ242" i="3" s="1"/>
  <c r="BL243" i="3"/>
  <c r="BL245" i="3"/>
  <c r="BA246" i="3"/>
  <c r="AZ246" i="3" s="1"/>
  <c r="BL249" i="3"/>
  <c r="AZ249" i="3" s="1"/>
  <c r="BA250" i="3"/>
  <c r="AZ250" i="3" s="1"/>
  <c r="BL251" i="3"/>
  <c r="BL253" i="3"/>
  <c r="AZ253" i="3" s="1"/>
  <c r="BA254" i="3"/>
  <c r="AZ254" i="3" s="1"/>
  <c r="BL257" i="3"/>
  <c r="AZ257" i="3" s="1"/>
  <c r="BA258" i="3"/>
  <c r="BL259" i="3"/>
  <c r="BL261" i="3"/>
  <c r="AZ261" i="3" s="1"/>
  <c r="BA262" i="3"/>
  <c r="AZ262" i="3" s="1"/>
  <c r="BL265" i="3"/>
  <c r="AZ265" i="3" s="1"/>
  <c r="BA266" i="3"/>
  <c r="BL267" i="3"/>
  <c r="AZ267" i="3" s="1"/>
  <c r="BA270" i="3"/>
  <c r="AZ270" i="3" s="1"/>
  <c r="BL271" i="3"/>
  <c r="AZ271" i="3" s="1"/>
  <c r="BA272" i="3"/>
  <c r="AZ272" i="3" s="1"/>
  <c r="BA274" i="3"/>
  <c r="AZ274" i="3" s="1"/>
  <c r="BL275" i="3"/>
  <c r="AZ275" i="3" s="1"/>
  <c r="BA278" i="3"/>
  <c r="AZ278" i="3" s="1"/>
  <c r="BL279" i="3"/>
  <c r="BA280" i="3"/>
  <c r="BA282" i="3"/>
  <c r="AZ282" i="3" s="1"/>
  <c r="BL283" i="3"/>
  <c r="BA286" i="3"/>
  <c r="BL287" i="3"/>
  <c r="BA288" i="3"/>
  <c r="AZ288" i="3"/>
  <c r="BA290" i="3"/>
  <c r="AZ290" i="3"/>
  <c r="BL291" i="3"/>
  <c r="BL295" i="3"/>
  <c r="BA296" i="3"/>
  <c r="AZ296" i="3"/>
  <c r="BL113" i="3"/>
  <c r="BL118" i="3"/>
  <c r="AZ118" i="3"/>
  <c r="BA120" i="3"/>
  <c r="AZ120" i="3"/>
  <c r="BL122" i="3"/>
  <c r="AZ122" i="3"/>
  <c r="BL126" i="3"/>
  <c r="AZ126" i="3"/>
  <c r="BA128" i="3"/>
  <c r="AZ128" i="3"/>
  <c r="BL129" i="3"/>
  <c r="AZ129" i="3"/>
  <c r="BL134" i="3"/>
  <c r="AZ134" i="3"/>
  <c r="BA136" i="3"/>
  <c r="BL138" i="3"/>
  <c r="AZ138" i="3"/>
  <c r="BL142" i="3"/>
  <c r="AZ142" i="3"/>
  <c r="BA144" i="3"/>
  <c r="BL145" i="3"/>
  <c r="AZ145" i="3"/>
  <c r="BL150" i="3"/>
  <c r="AZ150" i="3"/>
  <c r="BL153" i="3"/>
  <c r="AZ153" i="3"/>
  <c r="BA155" i="3"/>
  <c r="BL156" i="3"/>
  <c r="AZ156" i="3"/>
  <c r="BL161" i="3"/>
  <c r="AZ161" i="3"/>
  <c r="BA163" i="3"/>
  <c r="AZ163" i="3"/>
  <c r="BL165" i="3"/>
  <c r="AZ165" i="3"/>
  <c r="BA167" i="3"/>
  <c r="AZ167" i="3"/>
  <c r="BL168" i="3"/>
  <c r="BL173" i="3"/>
  <c r="AZ173" i="3" s="1"/>
  <c r="BA175" i="3"/>
  <c r="AZ175" i="3" s="1"/>
  <c r="BL176" i="3"/>
  <c r="BA179" i="3"/>
  <c r="AZ179" i="3" s="1"/>
  <c r="BA181" i="3"/>
  <c r="AZ181" i="3" s="1"/>
  <c r="BL182" i="3"/>
  <c r="AZ182" i="3" s="1"/>
  <c r="BA185" i="3"/>
  <c r="AZ185" i="3" s="1"/>
  <c r="BL186" i="3"/>
  <c r="BA189" i="3"/>
  <c r="AZ189" i="3" s="1"/>
  <c r="BL190" i="3"/>
  <c r="AZ190" i="3" s="1"/>
  <c r="BA193" i="3"/>
  <c r="AZ193" i="3"/>
  <c r="BL194" i="3"/>
  <c r="BA197" i="3"/>
  <c r="AZ197" i="3" s="1"/>
  <c r="BL198" i="3"/>
  <c r="AZ198" i="3" s="1"/>
  <c r="BA201" i="3"/>
  <c r="AZ201" i="3" s="1"/>
  <c r="BA202" i="3"/>
  <c r="AZ202" i="3" s="1"/>
  <c r="BL23" i="3"/>
  <c r="AZ23" i="3" s="1"/>
  <c r="BL27" i="3"/>
  <c r="BA28" i="3"/>
  <c r="AZ28" i="3" s="1"/>
  <c r="BL29" i="3"/>
  <c r="BA30" i="3"/>
  <c r="AZ30" i="3" s="1"/>
  <c r="BA32" i="3"/>
  <c r="AZ32" i="3" s="1"/>
  <c r="BL33" i="3"/>
  <c r="AZ33" i="3" s="1"/>
  <c r="BA34" i="3"/>
  <c r="BL39" i="3"/>
  <c r="AZ39" i="3" s="1"/>
  <c r="K13" i="1"/>
  <c r="M13" i="1" s="1"/>
  <c r="O13" i="1" s="1"/>
  <c r="AA30" i="59"/>
  <c r="AA3" i="59"/>
  <c r="BA41" i="3"/>
  <c r="AZ41" i="3"/>
  <c r="BL42" i="3"/>
  <c r="AZ42" i="3"/>
  <c r="BA47" i="3"/>
  <c r="AZ47" i="3"/>
  <c r="BA51" i="3"/>
  <c r="AZ51" i="3"/>
  <c r="BL52" i="3"/>
  <c r="AZ52" i="3"/>
  <c r="BA53" i="3"/>
  <c r="BL54" i="3"/>
  <c r="AZ54" i="3" s="1"/>
  <c r="BL56" i="3"/>
  <c r="AZ56" i="3" s="1"/>
  <c r="BL59" i="3"/>
  <c r="AZ59" i="3" s="1"/>
  <c r="BA63" i="3"/>
  <c r="BL64" i="3"/>
  <c r="AZ64" i="3" s="1"/>
  <c r="BA65" i="3"/>
  <c r="AZ65" i="3" s="1"/>
  <c r="BL70" i="3"/>
  <c r="AZ70" i="3" s="1"/>
  <c r="BA72" i="3"/>
  <c r="AZ72" i="3" s="1"/>
  <c r="BL73" i="3"/>
  <c r="AZ73" i="3" s="1"/>
  <c r="BA78" i="3"/>
  <c r="AZ78" i="3" s="1"/>
  <c r="BA82" i="3"/>
  <c r="BL83" i="3"/>
  <c r="AZ83" i="3" s="1"/>
  <c r="BA86" i="3"/>
  <c r="BL87" i="3"/>
  <c r="AZ87" i="3" s="1"/>
  <c r="BA88" i="3"/>
  <c r="AZ88" i="3" s="1"/>
  <c r="BL89" i="3"/>
  <c r="AZ89" i="3" s="1"/>
  <c r="BL91" i="3"/>
  <c r="AZ91" i="3" s="1"/>
  <c r="BA92" i="3"/>
  <c r="BL93" i="3"/>
  <c r="AZ93" i="3" s="1"/>
  <c r="BA98" i="3"/>
  <c r="AZ98" i="3" s="1"/>
  <c r="BA102" i="3"/>
  <c r="AZ102" i="3" s="1"/>
  <c r="BL103" i="3"/>
  <c r="AZ103" i="3" s="1"/>
  <c r="BA104" i="3"/>
  <c r="AZ104" i="3" s="1"/>
  <c r="BL105" i="3"/>
  <c r="AZ105" i="3" s="1"/>
  <c r="BL107" i="3"/>
  <c r="AZ107" i="3" s="1"/>
  <c r="BA108" i="3"/>
  <c r="BL109" i="3"/>
  <c r="AZ109" i="3" s="1"/>
  <c r="P16" i="4"/>
  <c r="AB30" i="59"/>
  <c r="F31" i="59"/>
  <c r="F32" i="59" s="1"/>
  <c r="F33" i="59" s="1"/>
  <c r="V33" i="59" s="1"/>
  <c r="X26" i="59"/>
  <c r="X30" i="59"/>
  <c r="Y30" i="59"/>
  <c r="Z30" i="59" s="1"/>
  <c r="X31" i="59"/>
  <c r="AA31" i="59"/>
  <c r="X32" i="59"/>
  <c r="AA32" i="59"/>
  <c r="X33" i="59"/>
  <c r="AA33" i="59"/>
  <c r="B35" i="59"/>
  <c r="B36" i="59" s="1"/>
  <c r="B37" i="59" s="1"/>
  <c r="S37" i="59" s="1"/>
  <c r="C35" i="59"/>
  <c r="D35" i="59" s="1"/>
  <c r="AA34" i="59"/>
  <c r="AB34" i="59"/>
  <c r="Y35" i="59"/>
  <c r="Z35" i="59" s="1"/>
  <c r="AB35" i="59"/>
  <c r="Y36" i="59"/>
  <c r="Z36" i="59"/>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F24" i="59" s="1"/>
  <c r="F23" i="59" s="1"/>
  <c r="F22" i="59" s="1"/>
  <c r="F21" i="59" s="1"/>
  <c r="E25" i="59"/>
  <c r="K76" i="9"/>
  <c r="K77" i="9" s="1"/>
  <c r="Y25" i="59"/>
  <c r="Z25" i="59"/>
  <c r="AA16" i="59"/>
  <c r="X17" i="59"/>
  <c r="AB13" i="59"/>
  <c r="Y14" i="59"/>
  <c r="Z14" i="59" s="1"/>
  <c r="Y15" i="59"/>
  <c r="Z15" i="59" s="1"/>
  <c r="AA14" i="59"/>
  <c r="AA13" i="59"/>
  <c r="X13" i="59"/>
  <c r="X14" i="59"/>
  <c r="AB16" i="59"/>
  <c r="AB12" i="59"/>
  <c r="AB14" i="59"/>
  <c r="Y12" i="59"/>
  <c r="Z12" i="59"/>
  <c r="AA12" i="59"/>
  <c r="AA15" i="59"/>
  <c r="X12" i="59"/>
  <c r="D65" i="46"/>
  <c r="D50" i="46"/>
  <c r="F36" i="44"/>
  <c r="M22" i="44"/>
  <c r="BL13" i="3"/>
  <c r="L27" i="6"/>
  <c r="C7" i="21"/>
  <c r="C58" i="21"/>
  <c r="D58" i="21" s="1"/>
  <c r="E58" i="21" s="1"/>
  <c r="F58" i="21" s="1"/>
  <c r="G58" i="21" s="1"/>
  <c r="H58" i="21" s="1"/>
  <c r="I58" i="21" s="1"/>
  <c r="J58" i="21" s="1"/>
  <c r="K58" i="21" s="1"/>
  <c r="L58" i="21" s="1"/>
  <c r="M58" i="21" s="1"/>
  <c r="N58" i="21" s="1"/>
  <c r="O58" i="21" s="1"/>
  <c r="C9" i="39"/>
  <c r="C69" i="39"/>
  <c r="D69" i="39" s="1"/>
  <c r="D71" i="39" s="1"/>
  <c r="C9" i="40"/>
  <c r="C64" i="40"/>
  <c r="D64" i="40" s="1"/>
  <c r="D66" i="40" s="1"/>
  <c r="N67" i="9"/>
  <c r="D38" i="4"/>
  <c r="C39" i="4" s="1"/>
  <c r="AP10" i="1"/>
  <c r="C7" i="35"/>
  <c r="C48" i="35" s="1"/>
  <c r="C7" i="36"/>
  <c r="C46" i="36" s="1"/>
  <c r="AC10" i="36"/>
  <c r="S10" i="36"/>
  <c r="U10" i="36"/>
  <c r="S10" i="35"/>
  <c r="AC10" i="35"/>
  <c r="AB10" i="35"/>
  <c r="S10" i="37"/>
  <c r="W10" i="37"/>
  <c r="AB10" i="37"/>
  <c r="U10" i="34"/>
  <c r="W10" i="34"/>
  <c r="AC10" i="33"/>
  <c r="S10" i="33"/>
  <c r="F33" i="44"/>
  <c r="D86" i="46"/>
  <c r="J83" i="46"/>
  <c r="D83" i="46"/>
  <c r="D85" i="46"/>
  <c r="D88" i="46"/>
  <c r="D80" i="46"/>
  <c r="E72" i="46" s="1"/>
  <c r="B70" i="46" s="1"/>
  <c r="H63" i="46"/>
  <c r="H67" i="46"/>
  <c r="H62" i="46"/>
  <c r="H66" i="46"/>
  <c r="J69" i="46"/>
  <c r="D63" i="46"/>
  <c r="D67" i="46"/>
  <c r="D62" i="46"/>
  <c r="D64" i="46"/>
  <c r="D66" i="46"/>
  <c r="D61" i="46"/>
  <c r="D54" i="46"/>
  <c r="D56" i="46"/>
  <c r="H57" i="46"/>
  <c r="G57" i="46" s="1"/>
  <c r="K57" i="46" s="1"/>
  <c r="E44" i="46"/>
  <c r="C44" i="46" s="1"/>
  <c r="G18" i="46"/>
  <c r="E17" i="46" s="1"/>
  <c r="I18" i="46"/>
  <c r="H79" i="46"/>
  <c r="H78" i="46"/>
  <c r="H77" i="46"/>
  <c r="H76" i="46"/>
  <c r="H80" i="46"/>
  <c r="H75" i="46"/>
  <c r="H73" i="46"/>
  <c r="H50" i="46"/>
  <c r="G50" i="46" s="1"/>
  <c r="H51" i="46"/>
  <c r="G51" i="46" s="1"/>
  <c r="H56" i="46"/>
  <c r="G56" i="46" s="1"/>
  <c r="H55" i="46"/>
  <c r="G55" i="46" s="1"/>
  <c r="M55" i="46" s="1"/>
  <c r="N55" i="46" s="1"/>
  <c r="H58" i="46"/>
  <c r="G58" i="46" s="1"/>
  <c r="H53" i="46"/>
  <c r="G53" i="46" s="1"/>
  <c r="K53" i="46" s="1"/>
  <c r="J53" i="46" s="1"/>
  <c r="H54" i="46"/>
  <c r="G54" i="46" s="1"/>
  <c r="AZ427" i="3"/>
  <c r="AZ457" i="3"/>
  <c r="AZ206" i="3"/>
  <c r="BT5" i="3"/>
  <c r="BI5" i="3"/>
  <c r="AZ227" i="3"/>
  <c r="AZ243" i="3"/>
  <c r="AZ259" i="3"/>
  <c r="AZ168" i="3"/>
  <c r="AZ186" i="3"/>
  <c r="AZ194" i="3"/>
  <c r="AZ29" i="3"/>
  <c r="AZ8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32" i="40"/>
  <c r="W36" i="40"/>
  <c r="S36" i="40"/>
  <c r="S11" i="40"/>
  <c r="S10" i="40"/>
  <c r="S27" i="40"/>
  <c r="AC31" i="39"/>
  <c r="AC47" i="39"/>
  <c r="U40" i="39"/>
  <c r="AA42" i="39"/>
  <c r="S42" i="39"/>
  <c r="AA36" i="39"/>
  <c r="S36" i="39"/>
  <c r="G21" i="46"/>
  <c r="C20" i="46" s="1"/>
  <c r="E10" i="46"/>
  <c r="E11" i="46"/>
  <c r="E9" i="46"/>
  <c r="E8" i="46"/>
  <c r="F34" i="44"/>
  <c r="F24" i="43"/>
  <c r="C24" i="43"/>
  <c r="C25" i="43"/>
  <c r="G20" i="43"/>
  <c r="F70" i="9"/>
  <c r="F66" i="9"/>
  <c r="P72" i="9" s="1"/>
  <c r="F30" i="44"/>
  <c r="D86" i="9"/>
  <c r="F29" i="12"/>
  <c r="F71" i="9"/>
  <c r="G6" i="1"/>
  <c r="A25" i="51"/>
  <c r="B18" i="63" s="1"/>
  <c r="G10" i="1"/>
  <c r="G13" i="1"/>
  <c r="L52" i="37"/>
  <c r="M52" i="37" s="1"/>
  <c r="C71" i="39"/>
  <c r="C18" i="11"/>
  <c r="K79" i="9"/>
  <c r="K81" i="9" s="1"/>
  <c r="X16" i="59"/>
  <c r="Y16" i="59"/>
  <c r="Z16" i="59"/>
  <c r="Y3" i="59"/>
  <c r="Z3" i="59" s="1"/>
  <c r="AB17" i="59"/>
  <c r="AA17" i="59"/>
  <c r="Y17" i="59"/>
  <c r="Z17" i="59" s="1"/>
  <c r="J57" i="46"/>
  <c r="D57" i="46"/>
  <c r="M57" i="46"/>
  <c r="N57" i="46" s="1"/>
  <c r="F72" i="9"/>
  <c r="M20" i="44"/>
  <c r="AZ108" i="3"/>
  <c r="AZ53" i="3"/>
  <c r="AZ286" i="3"/>
  <c r="AZ422" i="3"/>
  <c r="AZ400" i="3"/>
  <c r="AZ125" i="3"/>
  <c r="AZ67" i="3"/>
  <c r="AZ55" i="3"/>
  <c r="AZ38" i="3"/>
  <c r="AZ177" i="3"/>
  <c r="AZ284" i="3"/>
  <c r="AZ420" i="3"/>
  <c r="AZ392" i="3"/>
  <c r="AZ86" i="3"/>
  <c r="AZ84" i="3"/>
  <c r="AZ187" i="3"/>
  <c r="A17" i="64"/>
  <c r="K17" i="4"/>
  <c r="A22" i="51" s="1"/>
  <c r="B16" i="63" s="1"/>
  <c r="E24" i="59"/>
  <c r="E23" i="59" s="1"/>
  <c r="E22" i="59"/>
  <c r="E21" i="59" s="1"/>
  <c r="U21" i="59" s="1"/>
  <c r="U25" i="59"/>
  <c r="C27" i="59"/>
  <c r="D27" i="59" s="1"/>
  <c r="D28" i="59"/>
  <c r="C36" i="59"/>
  <c r="D36" i="59" s="1"/>
  <c r="AC25" i="36"/>
  <c r="AB25" i="35"/>
  <c r="W31" i="33"/>
  <c r="AB28" i="34"/>
  <c r="S28" i="34"/>
  <c r="AA26" i="33"/>
  <c r="AC30" i="21"/>
  <c r="AB30" i="21"/>
  <c r="AA12" i="21"/>
  <c r="AA23" i="36"/>
  <c r="S23" i="36"/>
  <c r="AC23" i="36"/>
  <c r="W23" i="36"/>
  <c r="AC13" i="35"/>
  <c r="W13" i="35"/>
  <c r="V25" i="59"/>
  <c r="B28" i="59"/>
  <c r="B27" i="59"/>
  <c r="S29" i="59"/>
  <c r="AA25" i="36"/>
  <c r="S25" i="36"/>
  <c r="U35" i="35"/>
  <c r="AB35" i="35"/>
  <c r="AC35" i="35"/>
  <c r="W35" i="35"/>
  <c r="AA25" i="35"/>
  <c r="S25" i="35"/>
  <c r="AB31" i="33"/>
  <c r="U31" i="33"/>
  <c r="S31" i="33"/>
  <c r="AA31" i="33"/>
  <c r="W28" i="34"/>
  <c r="AC28" i="34"/>
  <c r="W9" i="34"/>
  <c r="W26" i="33"/>
  <c r="AC26" i="33"/>
  <c r="AA28" i="33"/>
  <c r="S28" i="33"/>
  <c r="AA30" i="21"/>
  <c r="U12" i="36"/>
  <c r="AB13" i="35"/>
  <c r="E83" i="46"/>
  <c r="B81" i="46" s="1"/>
  <c r="E61" i="46"/>
  <c r="B59" i="46" s="1"/>
  <c r="M86" i="9"/>
  <c r="N86" i="9"/>
  <c r="M84" i="9"/>
  <c r="N84" i="9"/>
  <c r="M88" i="9"/>
  <c r="N88" i="9"/>
  <c r="M87" i="9"/>
  <c r="N87" i="9"/>
  <c r="M85" i="9"/>
  <c r="N85" i="9"/>
  <c r="M83" i="9"/>
  <c r="N83" i="9"/>
  <c r="N89" i="9" s="1"/>
  <c r="O89" i="9" s="1"/>
  <c r="H7" i="21"/>
  <c r="AB7" i="21" s="1"/>
  <c r="T48" i="21" s="1"/>
  <c r="G48" i="21" s="1"/>
  <c r="G52" i="21" s="1"/>
  <c r="H52" i="21" s="1"/>
  <c r="E64" i="40"/>
  <c r="E66" i="40" s="1"/>
  <c r="M19" i="44"/>
  <c r="M32" i="46"/>
  <c r="P32" i="46"/>
  <c r="O32" i="46"/>
  <c r="N32" i="46"/>
  <c r="AE12" i="1"/>
  <c r="AE9" i="1"/>
  <c r="AE10" i="1"/>
  <c r="AE11" i="1"/>
  <c r="C37" i="59"/>
  <c r="T37" i="59" s="1"/>
  <c r="E20" i="59"/>
  <c r="E19" i="59" s="1"/>
  <c r="E18" i="59" s="1"/>
  <c r="E17" i="59" s="1"/>
  <c r="AG8" i="1"/>
  <c r="AG9" i="1"/>
  <c r="AG11" i="1"/>
  <c r="AG12" i="1"/>
  <c r="AG10" i="1"/>
  <c r="AG7" i="1"/>
  <c r="AG6" i="1"/>
  <c r="U7" i="21"/>
  <c r="D37" i="59"/>
  <c r="B2" i="66"/>
  <c r="D77" i="9"/>
  <c r="N75" i="9" s="1"/>
  <c r="D66" i="9"/>
  <c r="N72" i="9" s="1"/>
  <c r="R10" i="1"/>
  <c r="R9" i="1"/>
  <c r="R11" i="1"/>
  <c r="R12" i="1"/>
  <c r="D6" i="66"/>
  <c r="D7" i="66"/>
  <c r="R8" i="1"/>
  <c r="R7" i="1"/>
  <c r="D12" i="68"/>
  <c r="J5" i="65"/>
  <c r="F9" i="44"/>
  <c r="F14" i="67"/>
  <c r="F37" i="75"/>
  <c r="F28" i="44"/>
  <c r="E11" i="67"/>
  <c r="F40" i="44"/>
  <c r="L49" i="44"/>
  <c r="B12" i="67"/>
  <c r="F36" i="75"/>
  <c r="N7" i="65"/>
  <c r="D21" i="12"/>
  <c r="J15" i="76"/>
  <c r="F8" i="67"/>
  <c r="J7" i="65"/>
  <c r="F11" i="67"/>
  <c r="B9" i="67"/>
  <c r="J36" i="75"/>
  <c r="D21" i="9"/>
  <c r="F38" i="44"/>
  <c r="J15" i="75"/>
  <c r="D19" i="9"/>
  <c r="F37" i="44"/>
  <c r="C15" i="43"/>
  <c r="M9" i="76"/>
  <c r="I3" i="65"/>
  <c r="M29" i="44"/>
  <c r="M24" i="76"/>
  <c r="D20" i="9"/>
  <c r="F42" i="75"/>
  <c r="F10" i="44"/>
  <c r="F9" i="75"/>
  <c r="M6" i="75"/>
  <c r="F13" i="76"/>
  <c r="L47" i="76"/>
  <c r="B8" i="67"/>
  <c r="J3" i="65"/>
  <c r="F16" i="76"/>
  <c r="M27" i="76"/>
  <c r="M8" i="75"/>
  <c r="F33" i="12"/>
  <c r="F9" i="76"/>
  <c r="J6" i="65"/>
  <c r="C21" i="9"/>
  <c r="F18" i="44"/>
  <c r="I5" i="65"/>
  <c r="C13" i="12"/>
  <c r="D21" i="74"/>
  <c r="N3" i="65"/>
  <c r="F9" i="67"/>
  <c r="M11" i="44"/>
  <c r="F22" i="43"/>
  <c r="F37" i="76"/>
  <c r="E10" i="67"/>
  <c r="F26" i="75"/>
  <c r="F13" i="67"/>
  <c r="F16" i="75"/>
  <c r="L48" i="44"/>
  <c r="F8" i="44"/>
  <c r="J4" i="65"/>
  <c r="M27" i="75"/>
  <c r="B10" i="67"/>
  <c r="L47" i="75"/>
  <c r="F39" i="44"/>
  <c r="L48" i="76"/>
  <c r="M22" i="76"/>
  <c r="B13" i="67"/>
  <c r="F45" i="44"/>
  <c r="I6" i="65"/>
  <c r="F36" i="76"/>
  <c r="N4" i="65"/>
  <c r="E8" i="67"/>
  <c r="E9" i="67"/>
  <c r="M8" i="76"/>
  <c r="C19" i="9"/>
  <c r="I4" i="65"/>
  <c r="N5" i="65"/>
  <c r="M22" i="75"/>
  <c r="M31" i="44"/>
  <c r="E13" i="67"/>
  <c r="F38" i="75"/>
  <c r="M23" i="75"/>
  <c r="F42" i="76"/>
  <c r="M26" i="75"/>
  <c r="M30" i="44"/>
  <c r="M9" i="75"/>
  <c r="J17" i="44"/>
  <c r="C19" i="44"/>
  <c r="M26" i="76"/>
  <c r="F7" i="67"/>
  <c r="M8" i="44"/>
  <c r="F10" i="67"/>
  <c r="F38" i="76"/>
  <c r="M24" i="44"/>
  <c r="F15" i="44"/>
  <c r="J36" i="76"/>
  <c r="M28" i="76"/>
  <c r="M28" i="75"/>
  <c r="N6" i="65"/>
  <c r="M28" i="44"/>
  <c r="M24" i="75"/>
  <c r="B7" i="67"/>
  <c r="E12" i="67"/>
  <c r="F33" i="74"/>
  <c r="F21" i="43"/>
  <c r="B14" i="67"/>
  <c r="F26" i="76"/>
  <c r="M25" i="44"/>
  <c r="F43" i="44"/>
  <c r="M6" i="76"/>
  <c r="B11" i="67"/>
  <c r="F40" i="75"/>
  <c r="F13" i="75"/>
  <c r="F8" i="75"/>
  <c r="M23" i="44"/>
  <c r="C20" i="9"/>
  <c r="F40" i="76"/>
  <c r="E14" i="67"/>
  <c r="C15" i="74"/>
  <c r="F8" i="76"/>
  <c r="L48" i="75"/>
  <c r="M10" i="44"/>
  <c r="AE8" i="1"/>
  <c r="F11" i="44"/>
  <c r="E7" i="67"/>
  <c r="F12" i="67"/>
  <c r="M23" i="76"/>
  <c r="M26" i="44"/>
  <c r="I7" i="65"/>
  <c r="O11" i="1" l="1"/>
  <c r="P11" i="1" s="1"/>
  <c r="P13" i="1"/>
  <c r="B4" i="52"/>
  <c r="E12" i="52"/>
  <c r="N52" i="37"/>
  <c r="O52" i="37" s="1"/>
  <c r="H7" i="37"/>
  <c r="E28" i="6"/>
  <c r="AZ487" i="3"/>
  <c r="R22" i="31"/>
  <c r="B21" i="31" s="1"/>
  <c r="B20" i="31"/>
  <c r="E5" i="46"/>
  <c r="D4" i="78"/>
  <c r="F29" i="6"/>
  <c r="F30" i="6" s="1"/>
  <c r="U36" i="35"/>
  <c r="AB36" i="35"/>
  <c r="S12" i="36"/>
  <c r="AA12" i="36"/>
  <c r="AB14" i="39"/>
  <c r="U14" i="39"/>
  <c r="AA33" i="39"/>
  <c r="S33" i="39"/>
  <c r="AB33" i="40"/>
  <c r="U33" i="40"/>
  <c r="AZ557" i="3"/>
  <c r="AZ561" i="3"/>
  <c r="AZ372" i="3"/>
  <c r="AZ363" i="3"/>
  <c r="H27" i="21"/>
  <c r="J27" i="21"/>
  <c r="F27" i="21"/>
  <c r="J29" i="21"/>
  <c r="H29" i="21"/>
  <c r="F29" i="21"/>
  <c r="J31" i="21"/>
  <c r="H31" i="21"/>
  <c r="F31" i="21"/>
  <c r="J45" i="21"/>
  <c r="F45" i="21"/>
  <c r="H45" i="21"/>
  <c r="F30" i="33"/>
  <c r="J30" i="33"/>
  <c r="J34" i="35"/>
  <c r="H34" i="35"/>
  <c r="J24" i="36"/>
  <c r="W24" i="36" s="1"/>
  <c r="F24" i="36"/>
  <c r="BL569" i="3"/>
  <c r="AZ569" i="3" s="1"/>
  <c r="BL565" i="3"/>
  <c r="BA565" i="3"/>
  <c r="AZ565" i="3" s="1"/>
  <c r="BA564" i="3"/>
  <c r="AZ564" i="3" s="1"/>
  <c r="BA559" i="3"/>
  <c r="AZ559" i="3" s="1"/>
  <c r="BA553" i="3"/>
  <c r="AZ553" i="3" s="1"/>
  <c r="BA500" i="3"/>
  <c r="AZ500" i="3" s="1"/>
  <c r="BL499" i="3"/>
  <c r="AZ499" i="3" s="1"/>
  <c r="BL497" i="3"/>
  <c r="BA497" i="3"/>
  <c r="BA490" i="3"/>
  <c r="AZ490" i="3" s="1"/>
  <c r="AA46" i="33"/>
  <c r="S46" i="33"/>
  <c r="W13" i="36"/>
  <c r="AC13" i="36"/>
  <c r="AA19" i="21"/>
  <c r="S19" i="21"/>
  <c r="BA568" i="3"/>
  <c r="AZ568" i="3" s="1"/>
  <c r="BA562" i="3"/>
  <c r="BA554" i="3"/>
  <c r="BL503" i="3"/>
  <c r="AZ503" i="3" s="1"/>
  <c r="BL501" i="3"/>
  <c r="BA501" i="3"/>
  <c r="AZ501" i="3" s="1"/>
  <c r="BA498" i="3"/>
  <c r="BA496" i="3"/>
  <c r="AZ496" i="3" s="1"/>
  <c r="BL495" i="3"/>
  <c r="AZ495" i="3" s="1"/>
  <c r="BA494" i="3"/>
  <c r="AZ494" i="3" s="1"/>
  <c r="BA493" i="3"/>
  <c r="AZ493" i="3" s="1"/>
  <c r="BL491" i="3"/>
  <c r="BA491" i="3"/>
  <c r="BL489" i="3"/>
  <c r="AZ489" i="3" s="1"/>
  <c r="F64" i="40"/>
  <c r="D53" i="46"/>
  <c r="E69" i="39"/>
  <c r="J7" i="21"/>
  <c r="AC7" i="21" s="1"/>
  <c r="V48" i="21" s="1"/>
  <c r="I48" i="21" s="1"/>
  <c r="S13" i="35"/>
  <c r="S36" i="35"/>
  <c r="AB23" i="36"/>
  <c r="AC28" i="33"/>
  <c r="AC36" i="35"/>
  <c r="W25" i="35"/>
  <c r="S35" i="35"/>
  <c r="AB25" i="36"/>
  <c r="K55" i="46"/>
  <c r="C7" i="46"/>
  <c r="W35" i="40"/>
  <c r="AB17" i="40"/>
  <c r="H68" i="46"/>
  <c r="H64" i="46"/>
  <c r="H69" i="46"/>
  <c r="H65" i="46"/>
  <c r="AB10" i="33"/>
  <c r="AZ92" i="3"/>
  <c r="AZ82" i="3"/>
  <c r="AZ63" i="3"/>
  <c r="AZ280" i="3"/>
  <c r="AZ453" i="3"/>
  <c r="AZ426" i="3"/>
  <c r="J12" i="21"/>
  <c r="J12" i="36"/>
  <c r="AZ94" i="3"/>
  <c r="AZ74" i="3"/>
  <c r="AZ22" i="3"/>
  <c r="AZ195" i="3"/>
  <c r="AZ169" i="3"/>
  <c r="AZ148" i="3"/>
  <c r="AZ49" i="3"/>
  <c r="AZ43" i="3"/>
  <c r="AZ114" i="3"/>
  <c r="AZ312" i="3"/>
  <c r="AZ475" i="3"/>
  <c r="AZ451" i="3"/>
  <c r="AZ443" i="3"/>
  <c r="AZ438" i="3"/>
  <c r="AZ414" i="3"/>
  <c r="AA11" i="33"/>
  <c r="AC17" i="33"/>
  <c r="U19" i="33"/>
  <c r="U23" i="33"/>
  <c r="W23" i="33"/>
  <c r="S42" i="33"/>
  <c r="AB34" i="33"/>
  <c r="S43" i="33"/>
  <c r="W27" i="40"/>
  <c r="S19" i="37"/>
  <c r="AA20" i="36"/>
  <c r="B65" i="46"/>
  <c r="C21" i="39"/>
  <c r="C17" i="39"/>
  <c r="AC37" i="39"/>
  <c r="S34" i="39"/>
  <c r="AB33" i="39"/>
  <c r="W30" i="40"/>
  <c r="AC37" i="21"/>
  <c r="W25" i="21"/>
  <c r="AB25" i="21"/>
  <c r="AB13" i="34"/>
  <c r="AB29" i="34"/>
  <c r="S28" i="37"/>
  <c r="AA13" i="37"/>
  <c r="W8" i="36"/>
  <c r="AA34" i="36"/>
  <c r="W11" i="35"/>
  <c r="S25" i="39"/>
  <c r="U23" i="39"/>
  <c r="S14" i="39"/>
  <c r="S27" i="39"/>
  <c r="AC44" i="39"/>
  <c r="AB40" i="40"/>
  <c r="S30" i="40"/>
  <c r="W38" i="40"/>
  <c r="U35" i="40"/>
  <c r="W25" i="40"/>
  <c r="S15" i="40"/>
  <c r="U15" i="40"/>
  <c r="AC19" i="21"/>
  <c r="S42" i="21"/>
  <c r="W32" i="21"/>
  <c r="F23" i="33"/>
  <c r="J25" i="33"/>
  <c r="S29" i="33"/>
  <c r="U32" i="37"/>
  <c r="S17" i="37"/>
  <c r="S27" i="35"/>
  <c r="S23" i="35"/>
  <c r="U9" i="36"/>
  <c r="W20" i="36"/>
  <c r="S8" i="36"/>
  <c r="AC14" i="34"/>
  <c r="U32" i="34"/>
  <c r="AA19" i="39"/>
  <c r="S17" i="39"/>
  <c r="AB44" i="39"/>
  <c r="AB29" i="39"/>
  <c r="AC39" i="39"/>
  <c r="AA37" i="39"/>
  <c r="AA34" i="33"/>
  <c r="U27" i="39"/>
  <c r="J36" i="33"/>
  <c r="AA40" i="21"/>
  <c r="U21" i="39"/>
  <c r="W14" i="39"/>
  <c r="W27" i="39"/>
  <c r="S33" i="40"/>
  <c r="J38" i="39"/>
  <c r="J33" i="40"/>
  <c r="H36" i="33"/>
  <c r="J16" i="39"/>
  <c r="J33" i="39"/>
  <c r="AA31" i="36"/>
  <c r="W16" i="36"/>
  <c r="AC34" i="37"/>
  <c r="H11" i="35"/>
  <c r="J13" i="33"/>
  <c r="J15" i="33"/>
  <c r="S33" i="21"/>
  <c r="AC11" i="36"/>
  <c r="AB17" i="37"/>
  <c r="AA13" i="40"/>
  <c r="AZ374" i="3"/>
  <c r="AZ347" i="3"/>
  <c r="W9" i="33"/>
  <c r="AA23" i="37"/>
  <c r="AA13" i="33"/>
  <c r="H24" i="35"/>
  <c r="F24" i="35"/>
  <c r="AC14" i="21"/>
  <c r="H44" i="33"/>
  <c r="H30" i="33"/>
  <c r="AC42" i="21"/>
  <c r="W42" i="21"/>
  <c r="AB36" i="21"/>
  <c r="AC31" i="36"/>
  <c r="F9" i="21"/>
  <c r="J9" i="21"/>
  <c r="F12" i="35"/>
  <c r="F34" i="35"/>
  <c r="H45" i="33"/>
  <c r="U45" i="33" s="1"/>
  <c r="J45" i="33"/>
  <c r="H45" i="34"/>
  <c r="F45" i="34"/>
  <c r="AB29" i="36"/>
  <c r="U29" i="36"/>
  <c r="H40" i="37"/>
  <c r="J40" i="37"/>
  <c r="F36" i="33"/>
  <c r="H112" i="34"/>
  <c r="I112" i="34" s="1"/>
  <c r="J112" i="34" s="1"/>
  <c r="K112" i="34" s="1"/>
  <c r="L112" i="34" s="1"/>
  <c r="M112" i="34" s="1"/>
  <c r="F37" i="34"/>
  <c r="BA547" i="3"/>
  <c r="BA546" i="3"/>
  <c r="BL545" i="3"/>
  <c r="BA545" i="3"/>
  <c r="BL543" i="3"/>
  <c r="BA543" i="3"/>
  <c r="BA542" i="3"/>
  <c r="BL541" i="3"/>
  <c r="AZ541" i="3" s="1"/>
  <c r="BA540" i="3"/>
  <c r="BA539" i="3"/>
  <c r="AZ539" i="3" s="1"/>
  <c r="BA537" i="3"/>
  <c r="AZ537" i="3" s="1"/>
  <c r="BL535" i="3"/>
  <c r="AZ535" i="3" s="1"/>
  <c r="BL531" i="3"/>
  <c r="BA531" i="3"/>
  <c r="BL529" i="3"/>
  <c r="AZ529" i="3" s="1"/>
  <c r="BL528" i="3"/>
  <c r="AZ528" i="3" s="1"/>
  <c r="BL527" i="3"/>
  <c r="BA527" i="3"/>
  <c r="BA526" i="3"/>
  <c r="BL525" i="3"/>
  <c r="AZ525" i="3" s="1"/>
  <c r="BA524" i="3"/>
  <c r="BA523" i="3"/>
  <c r="AZ523" i="3" s="1"/>
  <c r="BA522" i="3"/>
  <c r="AZ522" i="3" s="1"/>
  <c r="BL521" i="3"/>
  <c r="BA521" i="3"/>
  <c r="AZ521" i="3" s="1"/>
  <c r="BA519" i="3"/>
  <c r="AZ519" i="3" s="1"/>
  <c r="BL517" i="3"/>
  <c r="AZ517" i="3" s="1"/>
  <c r="BA516" i="3"/>
  <c r="BL515" i="3"/>
  <c r="AZ515" i="3" s="1"/>
  <c r="BA514" i="3"/>
  <c r="BA513" i="3"/>
  <c r="AZ513" i="3" s="1"/>
  <c r="BL511" i="3"/>
  <c r="AZ511" i="3" s="1"/>
  <c r="BA510" i="3"/>
  <c r="AZ510" i="3" s="1"/>
  <c r="BL509" i="3"/>
  <c r="BA509" i="3"/>
  <c r="AZ509" i="3" s="1"/>
  <c r="BA508" i="3"/>
  <c r="AZ508" i="3" s="1"/>
  <c r="BL507" i="3"/>
  <c r="AZ507" i="3" s="1"/>
  <c r="BL506" i="3"/>
  <c r="AZ506" i="3" s="1"/>
  <c r="BL505" i="3"/>
  <c r="AZ505" i="3" s="1"/>
  <c r="BA485" i="3"/>
  <c r="AZ485" i="3" s="1"/>
  <c r="BA483" i="3"/>
  <c r="AZ483" i="3" s="1"/>
  <c r="BA482" i="3"/>
  <c r="AZ482" i="3" s="1"/>
  <c r="BL481" i="3"/>
  <c r="AZ481" i="3" s="1"/>
  <c r="BA20" i="3"/>
  <c r="AZ20" i="3" s="1"/>
  <c r="BK5" i="3"/>
  <c r="BA18" i="3"/>
  <c r="AZ18" i="3" s="1"/>
  <c r="AZ248" i="3"/>
  <c r="C40" i="59"/>
  <c r="D39" i="59"/>
  <c r="C44" i="59"/>
  <c r="D43" i="59"/>
  <c r="D55" i="59"/>
  <c r="C56" i="59"/>
  <c r="D63" i="59"/>
  <c r="C64" i="59"/>
  <c r="G552" i="3"/>
  <c r="G505" i="3"/>
  <c r="G14" i="3"/>
  <c r="BL389" i="3"/>
  <c r="AZ389" i="3" s="1"/>
  <c r="BL391" i="3"/>
  <c r="AZ391" i="3" s="1"/>
  <c r="BL393" i="3"/>
  <c r="AZ393" i="3" s="1"/>
  <c r="BA395" i="3"/>
  <c r="AZ395" i="3" s="1"/>
  <c r="BA397" i="3"/>
  <c r="AZ397" i="3" s="1"/>
  <c r="BA399" i="3"/>
  <c r="AZ399" i="3" s="1"/>
  <c r="BL401" i="3"/>
  <c r="AZ401" i="3" s="1"/>
  <c r="BA403" i="3"/>
  <c r="AZ403" i="3" s="1"/>
  <c r="BA405" i="3"/>
  <c r="AZ405" i="3" s="1"/>
  <c r="BL431" i="3"/>
  <c r="AZ431" i="3" s="1"/>
  <c r="BA433" i="3"/>
  <c r="AZ433" i="3" s="1"/>
  <c r="BL435" i="3"/>
  <c r="AZ435" i="3" s="1"/>
  <c r="BA437" i="3"/>
  <c r="AZ437" i="3" s="1"/>
  <c r="BA439" i="3"/>
  <c r="AZ439" i="3" s="1"/>
  <c r="BL441" i="3"/>
  <c r="AZ441" i="3" s="1"/>
  <c r="G444" i="3"/>
  <c r="G446" i="3"/>
  <c r="G448" i="3"/>
  <c r="G450" i="3"/>
  <c r="G452" i="3"/>
  <c r="G454" i="3"/>
  <c r="G456" i="3"/>
  <c r="G458" i="3"/>
  <c r="G460" i="3"/>
  <c r="G462" i="3"/>
  <c r="G464" i="3"/>
  <c r="G466" i="3"/>
  <c r="G468" i="3"/>
  <c r="G470" i="3"/>
  <c r="G472" i="3"/>
  <c r="G474" i="3"/>
  <c r="G476" i="3"/>
  <c r="G478" i="3"/>
  <c r="G480" i="3"/>
  <c r="BA297" i="3"/>
  <c r="AZ297" i="3" s="1"/>
  <c r="BA301" i="3"/>
  <c r="AZ301" i="3" s="1"/>
  <c r="G307" i="3"/>
  <c r="BA321" i="3"/>
  <c r="AZ321" i="3" s="1"/>
  <c r="BA325" i="3"/>
  <c r="AZ325" i="3" s="1"/>
  <c r="G331" i="3"/>
  <c r="BL348" i="3"/>
  <c r="AZ348" i="3" s="1"/>
  <c r="G379" i="3"/>
  <c r="G387" i="3"/>
  <c r="BA388" i="3"/>
  <c r="AZ388" i="3" s="1"/>
  <c r="BA205" i="3"/>
  <c r="AZ205" i="3" s="1"/>
  <c r="BL208" i="3"/>
  <c r="AZ208" i="3" s="1"/>
  <c r="BA211" i="3"/>
  <c r="AZ211" i="3" s="1"/>
  <c r="G213" i="3"/>
  <c r="BL214" i="3"/>
  <c r="AZ214" i="3" s="1"/>
  <c r="G219" i="3"/>
  <c r="BA220" i="3"/>
  <c r="AZ220" i="3" s="1"/>
  <c r="BA221" i="3"/>
  <c r="AZ221" i="3" s="1"/>
  <c r="AZ232" i="3"/>
  <c r="E31" i="59"/>
  <c r="E32" i="59" s="1"/>
  <c r="E33" i="59" s="1"/>
  <c r="U33" i="59" s="1"/>
  <c r="AB26" i="59"/>
  <c r="Y29" i="59"/>
  <c r="Z29" i="59" s="1"/>
  <c r="Y27" i="59"/>
  <c r="Z27" i="59" s="1"/>
  <c r="AA36" i="59"/>
  <c r="B52" i="59"/>
  <c r="B53" i="59" s="1"/>
  <c r="S53" i="59" s="1"/>
  <c r="E52" i="59"/>
  <c r="E53" i="59" s="1"/>
  <c r="U53" i="59" s="1"/>
  <c r="L76" i="9"/>
  <c r="B15" i="69"/>
  <c r="O3" i="70"/>
  <c r="V5" i="70"/>
  <c r="R7" i="70"/>
  <c r="R5" i="70"/>
  <c r="P9" i="70"/>
  <c r="T6" i="70"/>
  <c r="W6" i="70" s="1"/>
  <c r="T8" i="70"/>
  <c r="W8" i="70" s="1"/>
  <c r="U7" i="70"/>
  <c r="U5" i="70"/>
  <c r="E9" i="83"/>
  <c r="E11" i="83"/>
  <c r="G227" i="3"/>
  <c r="BA228" i="3"/>
  <c r="AZ228" i="3" s="1"/>
  <c r="BA229" i="3"/>
  <c r="AZ229" i="3" s="1"/>
  <c r="BL231" i="3"/>
  <c r="AZ231" i="3" s="1"/>
  <c r="BL232" i="3"/>
  <c r="BA235" i="3"/>
  <c r="AZ235" i="3" s="1"/>
  <c r="G237" i="3"/>
  <c r="BL238" i="3"/>
  <c r="AZ238" i="3" s="1"/>
  <c r="G243" i="3"/>
  <c r="BA244" i="3"/>
  <c r="AZ244" i="3" s="1"/>
  <c r="BA245" i="3"/>
  <c r="AZ245" i="3" s="1"/>
  <c r="BL247" i="3"/>
  <c r="AZ247" i="3" s="1"/>
  <c r="BL248" i="3"/>
  <c r="BA251" i="3"/>
  <c r="AZ251" i="3" s="1"/>
  <c r="G255" i="3"/>
  <c r="G257" i="3"/>
  <c r="BL258" i="3"/>
  <c r="AZ258" i="3" s="1"/>
  <c r="G263" i="3"/>
  <c r="G265" i="3"/>
  <c r="BL266" i="3"/>
  <c r="AZ266" i="3" s="1"/>
  <c r="BL269" i="3"/>
  <c r="AZ269" i="3" s="1"/>
  <c r="G273" i="3"/>
  <c r="G275" i="3"/>
  <c r="BA276" i="3"/>
  <c r="AZ276" i="3" s="1"/>
  <c r="BL277" i="3"/>
  <c r="AZ277" i="3" s="1"/>
  <c r="BA279" i="3"/>
  <c r="AZ279" i="3" s="1"/>
  <c r="BL281" i="3"/>
  <c r="AZ281" i="3" s="1"/>
  <c r="BA283" i="3"/>
  <c r="AZ283" i="3" s="1"/>
  <c r="BL285" i="3"/>
  <c r="AZ285" i="3" s="1"/>
  <c r="BA287" i="3"/>
  <c r="AZ287" i="3" s="1"/>
  <c r="BL289" i="3"/>
  <c r="AZ289" i="3" s="1"/>
  <c r="BA291" i="3"/>
  <c r="AZ291" i="3" s="1"/>
  <c r="BL293" i="3"/>
  <c r="AZ293" i="3" s="1"/>
  <c r="BA295" i="3"/>
  <c r="AZ295" i="3" s="1"/>
  <c r="BA113" i="3"/>
  <c r="AZ113" i="3" s="1"/>
  <c r="G121" i="3"/>
  <c r="BL136" i="3"/>
  <c r="AZ136" i="3" s="1"/>
  <c r="G139" i="3"/>
  <c r="BL144" i="3"/>
  <c r="AZ144" i="3" s="1"/>
  <c r="BA147" i="3"/>
  <c r="AZ147" i="3" s="1"/>
  <c r="G152" i="3"/>
  <c r="BL155" i="3"/>
  <c r="AZ155" i="3" s="1"/>
  <c r="BA158" i="3"/>
  <c r="AZ158" i="3" s="1"/>
  <c r="BL164" i="3"/>
  <c r="AZ164" i="3" s="1"/>
  <c r="G169" i="3"/>
  <c r="BL172" i="3"/>
  <c r="AZ172" i="3" s="1"/>
  <c r="BA176" i="3"/>
  <c r="AZ176" i="3" s="1"/>
  <c r="BL178" i="3"/>
  <c r="AZ178" i="3" s="1"/>
  <c r="BL183" i="3"/>
  <c r="AZ183" i="3" s="1"/>
  <c r="BL196" i="3"/>
  <c r="AZ196" i="3" s="1"/>
  <c r="BA199" i="3"/>
  <c r="AZ199" i="3" s="1"/>
  <c r="BL200" i="3"/>
  <c r="AZ200" i="3" s="1"/>
  <c r="G204" i="3"/>
  <c r="G24" i="3"/>
  <c r="BA25" i="3"/>
  <c r="AZ25" i="3" s="1"/>
  <c r="BA26" i="3"/>
  <c r="AZ26" i="3" s="1"/>
  <c r="BA27" i="3"/>
  <c r="AZ27" i="3" s="1"/>
  <c r="G31" i="3"/>
  <c r="G33" i="3"/>
  <c r="BL34" i="3"/>
  <c r="AZ34" i="3" s="1"/>
  <c r="G73" i="3"/>
  <c r="G81" i="3"/>
  <c r="G89" i="3"/>
  <c r="G97" i="3"/>
  <c r="G105" i="3"/>
  <c r="BL112" i="3"/>
  <c r="AZ112" i="3" s="1"/>
  <c r="C31" i="39"/>
  <c r="S21" i="21"/>
  <c r="X27" i="59"/>
  <c r="S5" i="70"/>
  <c r="R12" i="70"/>
  <c r="R13" i="70"/>
  <c r="H94" i="46"/>
  <c r="G19" i="73"/>
  <c r="G17" i="73" s="1"/>
  <c r="D17" i="85"/>
  <c r="D26" i="85"/>
  <c r="E83" i="73"/>
  <c r="B81" i="73" s="1"/>
  <c r="D33" i="73"/>
  <c r="D1" i="73" s="1"/>
  <c r="F29" i="74"/>
  <c r="M18" i="75"/>
  <c r="F28" i="75"/>
  <c r="F34" i="75"/>
  <c r="F61" i="75" s="1"/>
  <c r="J51" i="76"/>
  <c r="P62" i="76"/>
  <c r="J3" i="78"/>
  <c r="E19" i="46"/>
  <c r="D19" i="4"/>
  <c r="E19" i="4"/>
  <c r="C9" i="78"/>
  <c r="H9" i="78" s="1"/>
  <c r="H17" i="78" s="1"/>
  <c r="B4" i="68"/>
  <c r="L3" i="68" s="1"/>
  <c r="F11" i="82"/>
  <c r="G11" i="82" s="1"/>
  <c r="G21" i="82"/>
  <c r="H21" i="82" s="1"/>
  <c r="F24" i="82"/>
  <c r="F10" i="82" s="1"/>
  <c r="G10" i="82" s="1"/>
  <c r="C42" i="82"/>
  <c r="E6" i="85"/>
  <c r="F6" i="85" s="1"/>
  <c r="K3" i="70"/>
  <c r="N3" i="70"/>
  <c r="S13" i="70"/>
  <c r="R14" i="70"/>
  <c r="L23" i="70"/>
  <c r="U28" i="70"/>
  <c r="S30" i="70"/>
  <c r="Z3" i="70"/>
  <c r="C24" i="73"/>
  <c r="G5" i="78" s="1"/>
  <c r="G24" i="82"/>
  <c r="H24" i="82" s="1"/>
  <c r="H65" i="83"/>
  <c r="H73" i="83"/>
  <c r="E83" i="83"/>
  <c r="B81" i="83" s="1"/>
  <c r="H86" i="83"/>
  <c r="C24" i="85"/>
  <c r="E22" i="85" s="1"/>
  <c r="F22" i="85" s="1"/>
  <c r="H17" i="34"/>
  <c r="E86" i="34"/>
  <c r="G26" i="12"/>
  <c r="G27" i="12"/>
  <c r="G28" i="74"/>
  <c r="D22" i="75"/>
  <c r="C8" i="78"/>
  <c r="C12" i="78" s="1"/>
  <c r="B12" i="52"/>
  <c r="E4" i="52"/>
  <c r="B10" i="52"/>
  <c r="E11" i="52"/>
  <c r="B14" i="52"/>
  <c r="B5" i="52"/>
  <c r="B8" i="52"/>
  <c r="E7" i="52"/>
  <c r="E14" i="52"/>
  <c r="E5" i="52"/>
  <c r="E8" i="52"/>
  <c r="B11" i="52"/>
  <c r="B6" i="52"/>
  <c r="E10" i="52"/>
  <c r="E13" i="52"/>
  <c r="B9" i="52"/>
  <c r="E9" i="52"/>
  <c r="E6" i="52"/>
  <c r="B7" i="52"/>
  <c r="E16" i="59"/>
  <c r="E15" i="59" s="1"/>
  <c r="E14" i="59" s="1"/>
  <c r="E13" i="59" s="1"/>
  <c r="U17" i="59"/>
  <c r="I52" i="21"/>
  <c r="J52" i="21" s="1"/>
  <c r="G53" i="21"/>
  <c r="H53" i="21" s="1"/>
  <c r="W7" i="21"/>
  <c r="K14" i="1"/>
  <c r="M14" i="1" s="1"/>
  <c r="M53" i="46"/>
  <c r="N53" i="46" s="1"/>
  <c r="K54" i="46"/>
  <c r="J54" i="46" s="1"/>
  <c r="M54" i="46"/>
  <c r="N54" i="46" s="1"/>
  <c r="K58" i="46"/>
  <c r="J58" i="46" s="1"/>
  <c r="M58" i="46"/>
  <c r="N58" i="46" s="1"/>
  <c r="K56" i="46"/>
  <c r="J56" i="46" s="1"/>
  <c r="M56" i="46"/>
  <c r="N56" i="46" s="1"/>
  <c r="M50" i="46"/>
  <c r="N50" i="46" s="1"/>
  <c r="K50" i="46"/>
  <c r="J50" i="46" s="1"/>
  <c r="D48" i="35"/>
  <c r="O12" i="1"/>
  <c r="P12" i="1" s="1"/>
  <c r="B16" i="59"/>
  <c r="B15" i="59" s="1"/>
  <c r="B14" i="59" s="1"/>
  <c r="B13" i="59" s="1"/>
  <c r="S17" i="59"/>
  <c r="F20" i="59"/>
  <c r="F19" i="59" s="1"/>
  <c r="F18" i="59" s="1"/>
  <c r="F17" i="59" s="1"/>
  <c r="V21" i="59"/>
  <c r="M51" i="46"/>
  <c r="N51" i="46" s="1"/>
  <c r="K51" i="46"/>
  <c r="D46" i="36"/>
  <c r="M52" i="46"/>
  <c r="N52" i="46" s="1"/>
  <c r="K52" i="46"/>
  <c r="F7" i="37"/>
  <c r="J7" i="37"/>
  <c r="F7" i="21"/>
  <c r="A3" i="55"/>
  <c r="B56" i="63" s="1"/>
  <c r="C66" i="40"/>
  <c r="O41" i="9"/>
  <c r="R8" i="54" s="1"/>
  <c r="B54" i="63" s="1"/>
  <c r="U25" i="40"/>
  <c r="H25" i="33"/>
  <c r="AC13" i="40"/>
  <c r="AB23" i="35"/>
  <c r="AB25" i="39"/>
  <c r="AB14" i="40"/>
  <c r="AB42" i="40"/>
  <c r="U42" i="40"/>
  <c r="AC32" i="40"/>
  <c r="W32" i="40"/>
  <c r="AC15" i="39"/>
  <c r="W15" i="39"/>
  <c r="U16" i="39"/>
  <c r="AB16" i="39"/>
  <c r="S41" i="33"/>
  <c r="AA41" i="33"/>
  <c r="U17" i="39"/>
  <c r="AB17" i="39"/>
  <c r="S11" i="36"/>
  <c r="AA11" i="36"/>
  <c r="AB29" i="33"/>
  <c r="U29" i="33"/>
  <c r="AC17" i="21"/>
  <c r="W17" i="21"/>
  <c r="AA16" i="35"/>
  <c r="S16" i="35"/>
  <c r="AZ355" i="3"/>
  <c r="AZ361" i="3"/>
  <c r="S31" i="37"/>
  <c r="AA31" i="37"/>
  <c r="AZ558" i="3"/>
  <c r="U46" i="21"/>
  <c r="W27" i="37"/>
  <c r="AC27" i="37"/>
  <c r="AA27" i="37"/>
  <c r="S27" i="37"/>
  <c r="AC28" i="37"/>
  <c r="W28" i="37"/>
  <c r="U45" i="34"/>
  <c r="AB45" i="34"/>
  <c r="AC46" i="33"/>
  <c r="W46" i="33"/>
  <c r="AC44" i="33"/>
  <c r="W44" i="33"/>
  <c r="AC14" i="33"/>
  <c r="W14" i="33"/>
  <c r="U28" i="36"/>
  <c r="AB28" i="36"/>
  <c r="S45" i="33"/>
  <c r="AA45" i="33"/>
  <c r="AA44" i="21"/>
  <c r="S44" i="21"/>
  <c r="AB28" i="21"/>
  <c r="U28" i="21"/>
  <c r="AA14" i="21"/>
  <c r="S14" i="21"/>
  <c r="F37" i="33"/>
  <c r="F113" i="33"/>
  <c r="G113" i="33" s="1"/>
  <c r="H113" i="33" s="1"/>
  <c r="I113" i="33" s="1"/>
  <c r="J113" i="33" s="1"/>
  <c r="K113" i="33" s="1"/>
  <c r="L113" i="33" s="1"/>
  <c r="M113" i="33" s="1"/>
  <c r="H37" i="33"/>
  <c r="AA16" i="36"/>
  <c r="S16" i="36"/>
  <c r="W26" i="21"/>
  <c r="AC26" i="21"/>
  <c r="H13" i="21"/>
  <c r="J13" i="21"/>
  <c r="F13" i="21"/>
  <c r="J44" i="21"/>
  <c r="H44" i="21"/>
  <c r="W12" i="33"/>
  <c r="AC12" i="33"/>
  <c r="F15" i="33"/>
  <c r="E69" i="33"/>
  <c r="F69" i="33" s="1"/>
  <c r="G69" i="33" s="1"/>
  <c r="H69" i="33" s="1"/>
  <c r="I69" i="33" s="1"/>
  <c r="J69" i="33" s="1"/>
  <c r="K69" i="33" s="1"/>
  <c r="L69" i="33" s="1"/>
  <c r="M69" i="33" s="1"/>
  <c r="J11" i="33"/>
  <c r="S32" i="37"/>
  <c r="AA32" i="37"/>
  <c r="AC34" i="40"/>
  <c r="W34" i="40"/>
  <c r="W14" i="40"/>
  <c r="AC14" i="40"/>
  <c r="AA47" i="39"/>
  <c r="S47" i="39"/>
  <c r="U37" i="34"/>
  <c r="AB37" i="34"/>
  <c r="AA16" i="39"/>
  <c r="S16" i="39"/>
  <c r="AB11" i="36"/>
  <c r="U11" i="36"/>
  <c r="AB30" i="34"/>
  <c r="U30" i="34"/>
  <c r="U37" i="21"/>
  <c r="AB37" i="21"/>
  <c r="AB17" i="21"/>
  <c r="U17" i="21"/>
  <c r="AB11" i="37"/>
  <c r="U11" i="37"/>
  <c r="W16" i="35"/>
  <c r="AC16" i="35"/>
  <c r="W11" i="37"/>
  <c r="AC11" i="37"/>
  <c r="AZ512" i="3"/>
  <c r="W45" i="34"/>
  <c r="AC45" i="34"/>
  <c r="AC29" i="34"/>
  <c r="W29" i="34"/>
  <c r="S44" i="33"/>
  <c r="AA44" i="33"/>
  <c r="U44" i="33"/>
  <c r="AB44" i="33"/>
  <c r="AB32" i="36"/>
  <c r="U32" i="36"/>
  <c r="AA28" i="21"/>
  <c r="S28" i="21"/>
  <c r="AC44" i="34"/>
  <c r="W44" i="34"/>
  <c r="AA37" i="34"/>
  <c r="S37" i="34"/>
  <c r="U11" i="21"/>
  <c r="AB11" i="21"/>
  <c r="S11" i="21"/>
  <c r="AA11" i="21"/>
  <c r="AA26" i="21"/>
  <c r="S26" i="21"/>
  <c r="AB19" i="21"/>
  <c r="U19" i="21"/>
  <c r="AA35" i="21"/>
  <c r="S35" i="21"/>
  <c r="W34" i="21"/>
  <c r="AC34" i="21"/>
  <c r="S43" i="21"/>
  <c r="AA43" i="21"/>
  <c r="AA34" i="21"/>
  <c r="S34" i="21"/>
  <c r="BA571" i="3"/>
  <c r="AZ571" i="3" s="1"/>
  <c r="B101" i="83"/>
  <c r="B79" i="83"/>
  <c r="B69" i="83"/>
  <c r="B58" i="83"/>
  <c r="B79" i="73"/>
  <c r="B101" i="73"/>
  <c r="B69" i="73"/>
  <c r="B58" i="73"/>
  <c r="B94" i="83"/>
  <c r="B84" i="83"/>
  <c r="B94" i="73"/>
  <c r="B84" i="73"/>
  <c r="U8" i="33"/>
  <c r="AB8" i="33"/>
  <c r="H27" i="33"/>
  <c r="J27" i="33"/>
  <c r="F27" i="33"/>
  <c r="F19" i="34"/>
  <c r="H19" i="34"/>
  <c r="J19" i="34"/>
  <c r="F82" i="34"/>
  <c r="G82" i="34" s="1"/>
  <c r="F27" i="34"/>
  <c r="H27" i="34"/>
  <c r="J27" i="34"/>
  <c r="AZ562" i="3"/>
  <c r="AZ554" i="3"/>
  <c r="BL552" i="3"/>
  <c r="AZ552" i="3" s="1"/>
  <c r="AZ547" i="3"/>
  <c r="AZ546" i="3"/>
  <c r="BL544" i="3"/>
  <c r="AZ544" i="3" s="1"/>
  <c r="BL542" i="3"/>
  <c r="AZ542" i="3" s="1"/>
  <c r="G542" i="3"/>
  <c r="BL540" i="3"/>
  <c r="AZ540" i="3" s="1"/>
  <c r="BL538" i="3"/>
  <c r="AZ538" i="3" s="1"/>
  <c r="BL536" i="3"/>
  <c r="AZ536" i="3" s="1"/>
  <c r="BL530" i="3"/>
  <c r="AZ530" i="3" s="1"/>
  <c r="BL526" i="3"/>
  <c r="AZ526" i="3" s="1"/>
  <c r="BL524" i="3"/>
  <c r="AZ524" i="3" s="1"/>
  <c r="BL520" i="3"/>
  <c r="AZ520" i="3" s="1"/>
  <c r="BL518" i="3"/>
  <c r="AZ518" i="3" s="1"/>
  <c r="AZ516" i="3"/>
  <c r="BL514" i="3"/>
  <c r="AZ514" i="3" s="1"/>
  <c r="AZ498" i="3"/>
  <c r="AC5" i="3"/>
  <c r="J41" i="40"/>
  <c r="F41" i="40"/>
  <c r="AB14" i="37"/>
  <c r="J46" i="34"/>
  <c r="F46" i="34"/>
  <c r="F9" i="37"/>
  <c r="H9" i="37"/>
  <c r="AC8" i="37"/>
  <c r="AB45" i="33"/>
  <c r="AC24" i="36"/>
  <c r="J34" i="36"/>
  <c r="W24" i="35"/>
  <c r="U31" i="35"/>
  <c r="U26" i="36"/>
  <c r="W39" i="37"/>
  <c r="U30" i="37"/>
  <c r="BP5" i="3"/>
  <c r="G29" i="6" s="1"/>
  <c r="H24" i="36"/>
  <c r="F26" i="37"/>
  <c r="AC41" i="33"/>
  <c r="W41" i="33"/>
  <c r="G536" i="3"/>
  <c r="G489" i="3"/>
  <c r="AZ216" i="3"/>
  <c r="H9" i="35"/>
  <c r="J9" i="35"/>
  <c r="F9" i="35"/>
  <c r="AZ224" i="3"/>
  <c r="AZ240" i="3"/>
  <c r="F68" i="76"/>
  <c r="I24" i="83"/>
  <c r="D40" i="59"/>
  <c r="C41" i="59"/>
  <c r="D44" i="59"/>
  <c r="C45" i="59"/>
  <c r="C48" i="59"/>
  <c r="D48" i="59" s="1"/>
  <c r="D47" i="59"/>
  <c r="D59" i="59"/>
  <c r="C60" i="59"/>
  <c r="B72" i="83"/>
  <c r="B72" i="73"/>
  <c r="B50" i="83"/>
  <c r="B50" i="73"/>
  <c r="B61" i="83"/>
  <c r="B61" i="73"/>
  <c r="B73" i="83"/>
  <c r="B51" i="83"/>
  <c r="B62" i="83"/>
  <c r="B73" i="73"/>
  <c r="B62" i="73"/>
  <c r="B51" i="73"/>
  <c r="B76" i="83"/>
  <c r="B67" i="83"/>
  <c r="B99" i="83"/>
  <c r="B56" i="83"/>
  <c r="B99" i="73"/>
  <c r="B76" i="73"/>
  <c r="B67" i="73"/>
  <c r="B56" i="73"/>
  <c r="B75" i="83"/>
  <c r="B65" i="83"/>
  <c r="B54" i="83"/>
  <c r="B65" i="73"/>
  <c r="B54" i="73"/>
  <c r="B75" i="73"/>
  <c r="B83" i="83"/>
  <c r="B83" i="73"/>
  <c r="B90" i="83"/>
  <c r="B90" i="73"/>
  <c r="D32" i="59"/>
  <c r="C33" i="59"/>
  <c r="D51" i="59"/>
  <c r="C52" i="59"/>
  <c r="B100" i="83"/>
  <c r="B57" i="83"/>
  <c r="B77" i="83"/>
  <c r="B68" i="83"/>
  <c r="B100" i="73"/>
  <c r="B77" i="73"/>
  <c r="B68" i="73"/>
  <c r="B57" i="73"/>
  <c r="B88" i="83"/>
  <c r="B88" i="73"/>
  <c r="B87" i="83"/>
  <c r="B87" i="73"/>
  <c r="B57" i="46"/>
  <c r="C27" i="40"/>
  <c r="S18" i="36"/>
  <c r="B100" i="46"/>
  <c r="B88" i="46"/>
  <c r="C84" i="59"/>
  <c r="C80" i="59"/>
  <c r="C72" i="59"/>
  <c r="C68" i="59"/>
  <c r="AB27" i="59"/>
  <c r="AB3" i="59"/>
  <c r="AA29" i="59"/>
  <c r="AA27" i="59"/>
  <c r="X29" i="59"/>
  <c r="C24" i="59"/>
  <c r="T25" i="59"/>
  <c r="G25" i="69"/>
  <c r="E21" i="73"/>
  <c r="H93" i="46"/>
  <c r="H97" i="46"/>
  <c r="H101" i="46"/>
  <c r="H96" i="46"/>
  <c r="H100" i="46"/>
  <c r="E93" i="46"/>
  <c r="B91" i="46" s="1"/>
  <c r="C7" i="69"/>
  <c r="D7" i="69" s="1"/>
  <c r="C5" i="69"/>
  <c r="D5" i="69" s="1"/>
  <c r="P8" i="1"/>
  <c r="H66" i="73"/>
  <c r="G66" i="73" s="1"/>
  <c r="H62" i="73"/>
  <c r="G62" i="73" s="1"/>
  <c r="H64" i="73"/>
  <c r="G64" i="73" s="1"/>
  <c r="H65" i="73"/>
  <c r="G65" i="73" s="1"/>
  <c r="H67" i="73"/>
  <c r="G67" i="73" s="1"/>
  <c r="H68" i="73"/>
  <c r="G68" i="73" s="1"/>
  <c r="H69" i="73"/>
  <c r="G69" i="73" s="1"/>
  <c r="H61" i="73"/>
  <c r="G61" i="73" s="1"/>
  <c r="H63" i="73"/>
  <c r="G63" i="73" s="1"/>
  <c r="V3" i="70"/>
  <c r="V9" i="70"/>
  <c r="U3" i="70"/>
  <c r="T10" i="70"/>
  <c r="W10" i="70" s="1"/>
  <c r="S10" i="70"/>
  <c r="T9" i="70"/>
  <c r="W9" i="70" s="1"/>
  <c r="S11" i="70"/>
  <c r="U29" i="70"/>
  <c r="T25" i="70"/>
  <c r="W25" i="70" s="1"/>
  <c r="T29" i="70"/>
  <c r="W29" i="70" s="1"/>
  <c r="S29" i="70"/>
  <c r="R11" i="70"/>
  <c r="U11" i="70"/>
  <c r="T23" i="70"/>
  <c r="W23" i="70" s="1"/>
  <c r="U8" i="70"/>
  <c r="S6" i="70"/>
  <c r="V6" i="70"/>
  <c r="R8" i="70"/>
  <c r="T26" i="70"/>
  <c r="W26" i="70" s="1"/>
  <c r="T28" i="70"/>
  <c r="W28" i="70" s="1"/>
  <c r="T27" i="70"/>
  <c r="W27" i="70" s="1"/>
  <c r="U27" i="70"/>
  <c r="S27" i="70"/>
  <c r="AD28" i="70"/>
  <c r="T15" i="70"/>
  <c r="W15" i="70" s="1"/>
  <c r="M23" i="70"/>
  <c r="P23" i="70" s="1"/>
  <c r="H98" i="46"/>
  <c r="H99" i="46"/>
  <c r="C6" i="69"/>
  <c r="D6" i="69" s="1"/>
  <c r="D16" i="78"/>
  <c r="R24" i="68"/>
  <c r="G21" i="73"/>
  <c r="C20" i="73" s="1"/>
  <c r="E10" i="73"/>
  <c r="E8" i="73"/>
  <c r="K3" i="78"/>
  <c r="B16" i="78"/>
  <c r="B5" i="78"/>
  <c r="C24" i="46"/>
  <c r="G4" i="78" s="1"/>
  <c r="F33" i="33"/>
  <c r="H33" i="33"/>
  <c r="J33" i="33"/>
  <c r="C7" i="34"/>
  <c r="G23" i="83"/>
  <c r="G23" i="46"/>
  <c r="C7" i="33"/>
  <c r="G23" i="73"/>
  <c r="C42" i="1"/>
  <c r="C24" i="83"/>
  <c r="H12" i="78"/>
  <c r="F7" i="82"/>
  <c r="G8" i="82"/>
  <c r="E32" i="85" s="1"/>
  <c r="E39" i="85" s="1"/>
  <c r="E46" i="85" s="1"/>
  <c r="B14" i="66"/>
  <c r="B1" i="66" s="1"/>
  <c r="E13" i="82"/>
  <c r="E2" i="82"/>
  <c r="E27" i="82"/>
  <c r="I18" i="83"/>
  <c r="E17" i="83" s="1"/>
  <c r="Q32" i="83"/>
  <c r="O32" i="83"/>
  <c r="M32" i="83"/>
  <c r="E8" i="83"/>
  <c r="E10" i="83"/>
  <c r="M53" i="83"/>
  <c r="N53" i="83" s="1"/>
  <c r="K53" i="83"/>
  <c r="M54" i="83"/>
  <c r="N54" i="83" s="1"/>
  <c r="K54" i="83"/>
  <c r="J54" i="83" s="1"/>
  <c r="M58" i="83"/>
  <c r="N58" i="83" s="1"/>
  <c r="K58" i="83"/>
  <c r="J58" i="83" s="1"/>
  <c r="H50" i="83"/>
  <c r="G50" i="83" s="1"/>
  <c r="H51" i="83"/>
  <c r="G51" i="83" s="1"/>
  <c r="H52" i="83"/>
  <c r="G52" i="83" s="1"/>
  <c r="H55" i="83"/>
  <c r="G55" i="83" s="1"/>
  <c r="H56" i="83"/>
  <c r="G56" i="83" s="1"/>
  <c r="H57" i="83"/>
  <c r="G57" i="83" s="1"/>
  <c r="H69" i="83"/>
  <c r="H67" i="83"/>
  <c r="H64" i="83"/>
  <c r="H63" i="83"/>
  <c r="H61" i="83"/>
  <c r="E72" i="83"/>
  <c r="B70" i="83" s="1"/>
  <c r="H75" i="83"/>
  <c r="H77" i="83"/>
  <c r="D16" i="85"/>
  <c r="E16" i="85" s="1"/>
  <c r="F16" i="85" s="1"/>
  <c r="D25" i="85"/>
  <c r="N21" i="83"/>
  <c r="H21" i="83"/>
  <c r="J21" i="83"/>
  <c r="L21" i="83"/>
  <c r="C21" i="83"/>
  <c r="M21" i="83"/>
  <c r="K21" i="83"/>
  <c r="E21" i="83"/>
  <c r="F40" i="83"/>
  <c r="H117" i="83"/>
  <c r="H80" i="83"/>
  <c r="H79" i="83"/>
  <c r="H76" i="83"/>
  <c r="H74" i="83"/>
  <c r="H72" i="83"/>
  <c r="H90" i="83"/>
  <c r="H87" i="83"/>
  <c r="H85" i="83"/>
  <c r="H83" i="83"/>
  <c r="E3" i="85"/>
  <c r="F3" i="85" s="1"/>
  <c r="M7" i="83"/>
  <c r="C6" i="83" s="1"/>
  <c r="N7" i="83"/>
  <c r="F93" i="83" s="1"/>
  <c r="F15" i="34"/>
  <c r="H15" i="34"/>
  <c r="F9" i="34"/>
  <c r="H9" i="34"/>
  <c r="C17" i="12"/>
  <c r="C14" i="12"/>
  <c r="C18" i="12"/>
  <c r="E3" i="67"/>
  <c r="C36" i="44"/>
  <c r="C21" i="12"/>
  <c r="J22" i="44"/>
  <c r="B2" i="67"/>
  <c r="E4" i="67"/>
  <c r="C34" i="12"/>
  <c r="D33" i="12" s="1"/>
  <c r="J1" i="65"/>
  <c r="Q73" i="44"/>
  <c r="G21" i="9"/>
  <c r="J54" i="44"/>
  <c r="J58" i="44"/>
  <c r="J56" i="44" s="1"/>
  <c r="J59" i="44" s="1"/>
  <c r="Q52" i="44" s="1"/>
  <c r="I55" i="44"/>
  <c r="L57" i="44"/>
  <c r="G20" i="9"/>
  <c r="Q72" i="75"/>
  <c r="C27" i="75"/>
  <c r="L58" i="76"/>
  <c r="L59" i="76"/>
  <c r="C29" i="44"/>
  <c r="L59" i="44"/>
  <c r="L60" i="44"/>
  <c r="M9" i="44"/>
  <c r="J8" i="44" s="1"/>
  <c r="L44" i="9"/>
  <c r="L43" i="9"/>
  <c r="D22" i="9"/>
  <c r="G19" i="9"/>
  <c r="C8" i="44"/>
  <c r="F64" i="75"/>
  <c r="F48" i="76"/>
  <c r="F50" i="75"/>
  <c r="F63" i="75"/>
  <c r="J53" i="75"/>
  <c r="J57" i="75"/>
  <c r="J55" i="75" s="1"/>
  <c r="J58" i="75" s="1"/>
  <c r="Q51" i="75" s="1"/>
  <c r="L56" i="75"/>
  <c r="I54" i="75"/>
  <c r="J60" i="75"/>
  <c r="Q49" i="75" s="1"/>
  <c r="L57" i="75"/>
  <c r="J59" i="75"/>
  <c r="L60" i="75"/>
  <c r="Q72" i="76"/>
  <c r="F65" i="75"/>
  <c r="F48" i="75"/>
  <c r="L52" i="75"/>
  <c r="F67" i="75"/>
  <c r="F67" i="76"/>
  <c r="C27" i="76"/>
  <c r="J53" i="76"/>
  <c r="L56" i="76"/>
  <c r="J57" i="76"/>
  <c r="J55" i="76" s="1"/>
  <c r="J58" i="76" s="1"/>
  <c r="Q51" i="76" s="1"/>
  <c r="I54" i="76"/>
  <c r="J60" i="76"/>
  <c r="Q49" i="76" s="1"/>
  <c r="J59" i="76"/>
  <c r="L60" i="76"/>
  <c r="L57" i="76"/>
  <c r="C34" i="74"/>
  <c r="D33" i="74" s="1"/>
  <c r="C21" i="74"/>
  <c r="F65" i="76"/>
  <c r="F64" i="76"/>
  <c r="F63" i="76"/>
  <c r="C4" i="65"/>
  <c r="B39" i="1" s="1"/>
  <c r="F50" i="76"/>
  <c r="D16" i="12"/>
  <c r="D22" i="12"/>
  <c r="C18" i="44"/>
  <c r="E3" i="65"/>
  <c r="E2" i="65"/>
  <c r="C15" i="12"/>
  <c r="L46" i="75" l="1"/>
  <c r="C22" i="12"/>
  <c r="C20" i="12" s="1"/>
  <c r="C16" i="12"/>
  <c r="D19" i="12"/>
  <c r="C19" i="12" s="1"/>
  <c r="B40" i="1"/>
  <c r="L36" i="83" s="1"/>
  <c r="H23" i="34"/>
  <c r="J23" i="34"/>
  <c r="F86" i="34"/>
  <c r="G86" i="34" s="1"/>
  <c r="C65" i="59"/>
  <c r="D64" i="59"/>
  <c r="D56" i="59"/>
  <c r="C57" i="59"/>
  <c r="AC40" i="37"/>
  <c r="W40" i="37"/>
  <c r="AA45" i="34"/>
  <c r="S45" i="34"/>
  <c r="W45" i="33"/>
  <c r="AC45" i="33"/>
  <c r="AA34" i="35"/>
  <c r="S34" i="35"/>
  <c r="W9" i="21"/>
  <c r="AC9" i="21"/>
  <c r="AB30" i="33"/>
  <c r="U30" i="33"/>
  <c r="U24" i="35"/>
  <c r="AB24" i="35"/>
  <c r="W15" i="33"/>
  <c r="AC15" i="33"/>
  <c r="U11" i="35"/>
  <c r="AB11" i="35"/>
  <c r="W33" i="39"/>
  <c r="AC33" i="39"/>
  <c r="AB36" i="33"/>
  <c r="U36" i="33"/>
  <c r="W38" i="39"/>
  <c r="AC38" i="39"/>
  <c r="W36" i="33"/>
  <c r="AC36" i="33"/>
  <c r="S23" i="33"/>
  <c r="AA23" i="33"/>
  <c r="W12" i="21"/>
  <c r="AC12" i="21"/>
  <c r="AZ491" i="3"/>
  <c r="AZ497" i="3"/>
  <c r="AA24" i="36"/>
  <c r="S24" i="36"/>
  <c r="U34" i="35"/>
  <c r="AB34" i="35"/>
  <c r="AC30" i="33"/>
  <c r="W30" i="33"/>
  <c r="U45" i="21"/>
  <c r="AB45" i="21"/>
  <c r="W45" i="21"/>
  <c r="AC45" i="21"/>
  <c r="U31" i="21"/>
  <c r="AB31" i="21"/>
  <c r="S29" i="21"/>
  <c r="AA29" i="21"/>
  <c r="AC29" i="21"/>
  <c r="W29" i="21"/>
  <c r="W27" i="21"/>
  <c r="AC27" i="21"/>
  <c r="AB17" i="34"/>
  <c r="U17" i="34"/>
  <c r="F26" i="82"/>
  <c r="Q3" i="68"/>
  <c r="M10" i="68" s="1"/>
  <c r="R3" i="68"/>
  <c r="G19" i="46"/>
  <c r="C17" i="46" s="1"/>
  <c r="G17" i="46"/>
  <c r="C17" i="73"/>
  <c r="D5" i="73" s="1"/>
  <c r="AZ527" i="3"/>
  <c r="AZ531" i="3"/>
  <c r="AZ543" i="3"/>
  <c r="AZ545" i="3"/>
  <c r="S36" i="33"/>
  <c r="AA36" i="33"/>
  <c r="AB40" i="37"/>
  <c r="U40" i="37"/>
  <c r="AA12" i="35"/>
  <c r="S12" i="35"/>
  <c r="AA9" i="21"/>
  <c r="S9" i="21"/>
  <c r="S24" i="35"/>
  <c r="AA24" i="35"/>
  <c r="W13" i="33"/>
  <c r="AC13" i="33"/>
  <c r="AC16" i="39"/>
  <c r="W16" i="39"/>
  <c r="AC33" i="40"/>
  <c r="W33" i="40"/>
  <c r="W25" i="33"/>
  <c r="AC25" i="33"/>
  <c r="AC12" i="36"/>
  <c r="W12" i="36"/>
  <c r="D55" i="46"/>
  <c r="J55" i="46"/>
  <c r="E71" i="39"/>
  <c r="F69" i="39"/>
  <c r="G64" i="40"/>
  <c r="F66" i="40"/>
  <c r="W34" i="35"/>
  <c r="AC34" i="35"/>
  <c r="AA30" i="33"/>
  <c r="S30" i="33"/>
  <c r="AA45" i="21"/>
  <c r="S45" i="21"/>
  <c r="AA31" i="21"/>
  <c r="S31" i="21"/>
  <c r="W31" i="21"/>
  <c r="AC31" i="21"/>
  <c r="U29" i="21"/>
  <c r="AB29" i="21"/>
  <c r="S27" i="21"/>
  <c r="AA27" i="21"/>
  <c r="U27" i="21"/>
  <c r="AB27" i="21"/>
  <c r="AB7" i="37"/>
  <c r="T42" i="37" s="1"/>
  <c r="G42" i="37" s="1"/>
  <c r="G46" i="37" s="1"/>
  <c r="H46" i="37" s="1"/>
  <c r="U7" i="37"/>
  <c r="H94" i="83"/>
  <c r="G94" i="83" s="1"/>
  <c r="H100" i="83"/>
  <c r="G100" i="83" s="1"/>
  <c r="H101" i="83"/>
  <c r="G101" i="83" s="1"/>
  <c r="H96" i="83"/>
  <c r="G96" i="83" s="1"/>
  <c r="H98" i="83"/>
  <c r="G98" i="83" s="1"/>
  <c r="H93" i="83"/>
  <c r="G93" i="83" s="1"/>
  <c r="H95" i="83"/>
  <c r="G95" i="83" s="1"/>
  <c r="H97" i="83"/>
  <c r="G97" i="83" s="1"/>
  <c r="H99" i="83"/>
  <c r="G99" i="83" s="1"/>
  <c r="AA9" i="34"/>
  <c r="S9" i="34"/>
  <c r="AA15" i="34"/>
  <c r="S15" i="34"/>
  <c r="M56" i="83"/>
  <c r="N56" i="83" s="1"/>
  <c r="K56" i="83"/>
  <c r="J56" i="83" s="1"/>
  <c r="M52" i="83"/>
  <c r="N52" i="83" s="1"/>
  <c r="K52" i="83"/>
  <c r="M50" i="83"/>
  <c r="N50" i="83" s="1"/>
  <c r="K50" i="83"/>
  <c r="J50" i="83" s="1"/>
  <c r="D53" i="83"/>
  <c r="J53" i="83"/>
  <c r="C8" i="66"/>
  <c r="C6" i="66"/>
  <c r="C7" i="66"/>
  <c r="C34" i="34"/>
  <c r="F2" i="82"/>
  <c r="I7" i="6" s="1"/>
  <c r="I13" i="3"/>
  <c r="G7" i="82"/>
  <c r="H7" i="82" s="1"/>
  <c r="C28" i="76"/>
  <c r="C30" i="44"/>
  <c r="C95" i="9"/>
  <c r="C92" i="9" s="1"/>
  <c r="E7" i="33"/>
  <c r="C58" i="33"/>
  <c r="D58" i="33" s="1"/>
  <c r="E58" i="33" s="1"/>
  <c r="F58" i="33" s="1"/>
  <c r="G58" i="33" s="1"/>
  <c r="H58" i="33" s="1"/>
  <c r="I58" i="33" s="1"/>
  <c r="J58" i="33" s="1"/>
  <c r="K58" i="33" s="1"/>
  <c r="L58" i="33" s="1"/>
  <c r="M58" i="33" s="1"/>
  <c r="N58" i="33" s="1"/>
  <c r="O58" i="33" s="1"/>
  <c r="G7" i="33"/>
  <c r="I7" i="33"/>
  <c r="J7" i="33" s="1"/>
  <c r="C23" i="83"/>
  <c r="P28" i="83"/>
  <c r="P27" i="83"/>
  <c r="P26" i="83"/>
  <c r="O23" i="83"/>
  <c r="P29" i="83"/>
  <c r="P25" i="83"/>
  <c r="AC33" i="33"/>
  <c r="W33" i="33"/>
  <c r="AA33" i="33"/>
  <c r="S33" i="33"/>
  <c r="J16" i="78"/>
  <c r="B24" i="78"/>
  <c r="C24" i="78" s="1"/>
  <c r="C28" i="75"/>
  <c r="M61" i="73"/>
  <c r="N61" i="73" s="1"/>
  <c r="K61" i="73"/>
  <c r="J61" i="73" s="1"/>
  <c r="M68" i="73"/>
  <c r="N68" i="73" s="1"/>
  <c r="K68" i="73"/>
  <c r="J68" i="73" s="1"/>
  <c r="M65" i="73"/>
  <c r="N65" i="73" s="1"/>
  <c r="K65" i="73"/>
  <c r="J65" i="73" s="1"/>
  <c r="M62" i="73"/>
  <c r="N62" i="73" s="1"/>
  <c r="K62" i="73"/>
  <c r="D72" i="59"/>
  <c r="C71" i="59"/>
  <c r="D71" i="59" s="1"/>
  <c r="D84" i="59"/>
  <c r="C83" i="59"/>
  <c r="D83" i="59" s="1"/>
  <c r="D52" i="59"/>
  <c r="C53" i="59"/>
  <c r="T33" i="59"/>
  <c r="D33" i="59"/>
  <c r="W9" i="35"/>
  <c r="AC9" i="35"/>
  <c r="AB24" i="36"/>
  <c r="U24" i="36"/>
  <c r="E29" i="6"/>
  <c r="G30" i="6"/>
  <c r="G31" i="6" s="1"/>
  <c r="W34" i="36"/>
  <c r="AC34" i="36"/>
  <c r="AB9" i="37"/>
  <c r="U9" i="37"/>
  <c r="AA46" i="34"/>
  <c r="S46" i="34"/>
  <c r="W41" i="40"/>
  <c r="AC41" i="40"/>
  <c r="AB27" i="34"/>
  <c r="U27" i="34"/>
  <c r="AB19" i="34"/>
  <c r="U19" i="34"/>
  <c r="AC27" i="33"/>
  <c r="W27" i="33"/>
  <c r="W11" i="33"/>
  <c r="AC11" i="33"/>
  <c r="AA15" i="33"/>
  <c r="S15" i="33"/>
  <c r="AC44" i="21"/>
  <c r="W44" i="21"/>
  <c r="AC13" i="21"/>
  <c r="W13" i="21"/>
  <c r="AB37" i="33"/>
  <c r="U37" i="33"/>
  <c r="AA37" i="33"/>
  <c r="S37" i="33"/>
  <c r="AB25" i="33"/>
  <c r="U25" i="33"/>
  <c r="AC7" i="37"/>
  <c r="V42" i="37" s="1"/>
  <c r="I42" i="37" s="1"/>
  <c r="W7" i="37"/>
  <c r="J52" i="46"/>
  <c r="D52" i="46"/>
  <c r="K34" i="9"/>
  <c r="D51" i="46"/>
  <c r="E50" i="46" s="1"/>
  <c r="B48" i="46" s="1"/>
  <c r="C28" i="46" s="1"/>
  <c r="I4" i="78" s="1"/>
  <c r="J51" i="46"/>
  <c r="F16" i="59"/>
  <c r="F15" i="59" s="1"/>
  <c r="F14" i="59" s="1"/>
  <c r="F13" i="59" s="1"/>
  <c r="V17" i="59"/>
  <c r="O14" i="1"/>
  <c r="P14" i="1" s="1"/>
  <c r="AB9" i="34"/>
  <c r="U9" i="34"/>
  <c r="AB15" i="34"/>
  <c r="U15" i="34"/>
  <c r="G21" i="83"/>
  <c r="C20" i="83" s="1"/>
  <c r="E5" i="83" s="1"/>
  <c r="M57" i="83"/>
  <c r="N57" i="83" s="1"/>
  <c r="K57" i="83"/>
  <c r="J57" i="83" s="1"/>
  <c r="M55" i="83"/>
  <c r="N55" i="83" s="1"/>
  <c r="K55" i="83"/>
  <c r="M51" i="83"/>
  <c r="N51" i="83" s="1"/>
  <c r="K51" i="83"/>
  <c r="C7" i="83"/>
  <c r="C23" i="73"/>
  <c r="F5" i="78" s="1"/>
  <c r="P25" i="73"/>
  <c r="P29" i="73"/>
  <c r="O23" i="73"/>
  <c r="P26" i="73"/>
  <c r="P28" i="73"/>
  <c r="P27" i="73"/>
  <c r="C23" i="46"/>
  <c r="O23" i="46"/>
  <c r="A1" i="70"/>
  <c r="P28" i="46"/>
  <c r="B67" i="40" s="1"/>
  <c r="P27" i="46"/>
  <c r="P26" i="46"/>
  <c r="P29" i="46"/>
  <c r="B72" i="39" s="1"/>
  <c r="P25" i="46"/>
  <c r="G7" i="34"/>
  <c r="I7" i="34"/>
  <c r="E7" i="34"/>
  <c r="C59" i="34"/>
  <c r="D59" i="34" s="1"/>
  <c r="E59" i="34" s="1"/>
  <c r="F59" i="34" s="1"/>
  <c r="G59" i="34" s="1"/>
  <c r="H59" i="34" s="1"/>
  <c r="I59" i="34" s="1"/>
  <c r="J59" i="34" s="1"/>
  <c r="K59" i="34" s="1"/>
  <c r="L59" i="34" s="1"/>
  <c r="M59" i="34" s="1"/>
  <c r="N59" i="34" s="1"/>
  <c r="O59" i="34" s="1"/>
  <c r="AB33" i="33"/>
  <c r="U33" i="33"/>
  <c r="C7" i="73"/>
  <c r="C5" i="78" s="1"/>
  <c r="E5" i="73"/>
  <c r="C5" i="73"/>
  <c r="D5" i="78"/>
  <c r="D24" i="78"/>
  <c r="E24" i="78" s="1"/>
  <c r="M63" i="73"/>
  <c r="N63" i="73" s="1"/>
  <c r="K63" i="73"/>
  <c r="M69" i="73"/>
  <c r="N69" i="73" s="1"/>
  <c r="K69" i="73"/>
  <c r="J69" i="73" s="1"/>
  <c r="M67" i="73"/>
  <c r="N67" i="73" s="1"/>
  <c r="K67" i="73"/>
  <c r="J67" i="73" s="1"/>
  <c r="M64" i="73"/>
  <c r="N64" i="73" s="1"/>
  <c r="K64" i="73"/>
  <c r="K66" i="73"/>
  <c r="M66" i="73"/>
  <c r="N66" i="73" s="1"/>
  <c r="D24" i="59"/>
  <c r="C23" i="59"/>
  <c r="O68" i="59"/>
  <c r="C67" i="59"/>
  <c r="D68" i="59"/>
  <c r="C79" i="59"/>
  <c r="D79" i="59" s="1"/>
  <c r="D80" i="59"/>
  <c r="D60" i="59"/>
  <c r="C61" i="59"/>
  <c r="T45" i="59"/>
  <c r="D45" i="59"/>
  <c r="M23" i="46"/>
  <c r="T41" i="59"/>
  <c r="D41" i="59"/>
  <c r="M23" i="73" s="1"/>
  <c r="AA9" i="35"/>
  <c r="S9" i="35"/>
  <c r="AB9" i="35"/>
  <c r="U9" i="35"/>
  <c r="AA26" i="37"/>
  <c r="S26" i="37"/>
  <c r="AA9" i="37"/>
  <c r="S9" i="37"/>
  <c r="AC46" i="34"/>
  <c r="W46" i="34"/>
  <c r="AA41" i="40"/>
  <c r="S41" i="40"/>
  <c r="AC27" i="34"/>
  <c r="W27" i="34"/>
  <c r="AA27" i="34"/>
  <c r="S27" i="34"/>
  <c r="AC19" i="34"/>
  <c r="W19" i="34"/>
  <c r="AA19" i="34"/>
  <c r="S19" i="34"/>
  <c r="S27" i="33"/>
  <c r="AA27" i="33"/>
  <c r="AB27" i="33"/>
  <c r="U27" i="33"/>
  <c r="AB44" i="21"/>
  <c r="U44" i="21"/>
  <c r="S13" i="21"/>
  <c r="AA13" i="21"/>
  <c r="AB13" i="21"/>
  <c r="U13" i="21"/>
  <c r="S7" i="21"/>
  <c r="AA7" i="21"/>
  <c r="R48" i="21" s="1"/>
  <c r="S7" i="37"/>
  <c r="AA7" i="37"/>
  <c r="R42" i="37" s="1"/>
  <c r="BL5" i="3"/>
  <c r="E46" i="36"/>
  <c r="S13" i="59"/>
  <c r="B12" i="59"/>
  <c r="B11" i="59" s="1"/>
  <c r="B10" i="59" s="1"/>
  <c r="B9" i="59" s="1"/>
  <c r="E48" i="35"/>
  <c r="E12" i="59"/>
  <c r="E11" i="59" s="1"/>
  <c r="E10" i="59" s="1"/>
  <c r="E9" i="59" s="1"/>
  <c r="U13" i="59"/>
  <c r="J60" i="44"/>
  <c r="J61" i="44" s="1"/>
  <c r="L47" i="44" s="1"/>
  <c r="F17" i="11"/>
  <c r="C17" i="11" s="1"/>
  <c r="C19" i="11" s="1"/>
  <c r="J20" i="44"/>
  <c r="J21" i="44"/>
  <c r="F1" i="76"/>
  <c r="Q53" i="76"/>
  <c r="F24" i="75"/>
  <c r="C24" i="75" s="1"/>
  <c r="N43" i="9"/>
  <c r="C32" i="9"/>
  <c r="Q63" i="44"/>
  <c r="Q76" i="44"/>
  <c r="Q74" i="76"/>
  <c r="Q61" i="76"/>
  <c r="Q58" i="76"/>
  <c r="Q67" i="76"/>
  <c r="F11" i="76"/>
  <c r="C52" i="76" s="1"/>
  <c r="F11" i="75"/>
  <c r="C52" i="75" s="1"/>
  <c r="F13" i="44"/>
  <c r="C12" i="44" s="1"/>
  <c r="C7" i="44" s="1"/>
  <c r="M11" i="76"/>
  <c r="J10" i="76" s="1"/>
  <c r="M11" i="75"/>
  <c r="J10" i="75" s="1"/>
  <c r="M13" i="44"/>
  <c r="J12" i="44" s="1"/>
  <c r="J7" i="44" s="1"/>
  <c r="L46" i="76"/>
  <c r="L59" i="75"/>
  <c r="Q60" i="75"/>
  <c r="Q73" i="75"/>
  <c r="L58" i="75"/>
  <c r="Q67" i="75"/>
  <c r="Q58" i="75"/>
  <c r="Q53" i="75"/>
  <c r="F1" i="75"/>
  <c r="C34" i="44"/>
  <c r="C35" i="44"/>
  <c r="Q62" i="44"/>
  <c r="Q75" i="44"/>
  <c r="Q62" i="76"/>
  <c r="Q75" i="76"/>
  <c r="Q54" i="44"/>
  <c r="F1" i="44"/>
  <c r="B3" i="67"/>
  <c r="B4" i="67"/>
  <c r="AE7" i="1"/>
  <c r="AE6" i="1"/>
  <c r="F26" i="12" l="1"/>
  <c r="C27" i="12" s="1"/>
  <c r="D26" i="12" s="1"/>
  <c r="C32" i="12" s="1"/>
  <c r="D30" i="12" s="1"/>
  <c r="C23" i="12"/>
  <c r="L36" i="73"/>
  <c r="Q36" i="73" s="1"/>
  <c r="F24" i="76"/>
  <c r="C24" i="76" s="1"/>
  <c r="F26" i="44"/>
  <c r="C26" i="44" s="1"/>
  <c r="F20" i="43"/>
  <c r="D20" i="43" s="1"/>
  <c r="L36" i="46"/>
  <c r="P36" i="46" s="1"/>
  <c r="F26" i="74"/>
  <c r="C27" i="74" s="1"/>
  <c r="D26" i="74" s="1"/>
  <c r="C32" i="74" s="1"/>
  <c r="D30" i="74" s="1"/>
  <c r="H64" i="40"/>
  <c r="G66" i="40"/>
  <c r="G26" i="82"/>
  <c r="H26" i="82" s="1"/>
  <c r="F12" i="82"/>
  <c r="G12" i="82" s="1"/>
  <c r="F27" i="82"/>
  <c r="T65" i="59"/>
  <c r="D65" i="59"/>
  <c r="AC23" i="34"/>
  <c r="W23" i="34"/>
  <c r="F7" i="34"/>
  <c r="H7" i="34"/>
  <c r="H7" i="33"/>
  <c r="F7" i="33"/>
  <c r="G69" i="39"/>
  <c r="F71" i="39"/>
  <c r="D5" i="46"/>
  <c r="C4" i="78"/>
  <c r="C5" i="46"/>
  <c r="R10" i="68"/>
  <c r="R14" i="68" s="1"/>
  <c r="M14" i="68"/>
  <c r="N14" i="68" s="1"/>
  <c r="T57" i="59"/>
  <c r="D57" i="59"/>
  <c r="AB23" i="34"/>
  <c r="U23" i="34"/>
  <c r="Q50" i="44"/>
  <c r="B8" i="59"/>
  <c r="B7" i="59" s="1"/>
  <c r="B6" i="59" s="1"/>
  <c r="B5" i="59" s="1"/>
  <c r="S9" i="59"/>
  <c r="R43" i="37"/>
  <c r="E42" i="37"/>
  <c r="AA7" i="34"/>
  <c r="S7" i="34"/>
  <c r="F12" i="59"/>
  <c r="F11" i="59" s="1"/>
  <c r="F10" i="59" s="1"/>
  <c r="F9" i="59" s="1"/>
  <c r="V13" i="59"/>
  <c r="AC7" i="33"/>
  <c r="V48" i="33" s="1"/>
  <c r="I48" i="33" s="1"/>
  <c r="W7" i="33"/>
  <c r="BB13" i="3"/>
  <c r="H13" i="3"/>
  <c r="F19" i="6"/>
  <c r="E19" i="6" s="1"/>
  <c r="I5" i="3"/>
  <c r="F34" i="34"/>
  <c r="H34" i="34"/>
  <c r="J34" i="34"/>
  <c r="J52" i="83"/>
  <c r="D52" i="83"/>
  <c r="C5" i="83"/>
  <c r="D5" i="83"/>
  <c r="K97" i="83"/>
  <c r="M97" i="83"/>
  <c r="N97" i="83" s="1"/>
  <c r="M93" i="83"/>
  <c r="N93" i="83" s="1"/>
  <c r="K93" i="83"/>
  <c r="J93" i="83" s="1"/>
  <c r="K96" i="83"/>
  <c r="M96" i="83"/>
  <c r="N96" i="83" s="1"/>
  <c r="K100" i="83"/>
  <c r="M100" i="83"/>
  <c r="N100" i="83" s="1"/>
  <c r="F46" i="36"/>
  <c r="R49" i="21"/>
  <c r="E48" i="21"/>
  <c r="T61" i="59"/>
  <c r="D61" i="59"/>
  <c r="J66" i="73"/>
  <c r="D66" i="73"/>
  <c r="AB7" i="34"/>
  <c r="U7" i="34"/>
  <c r="U9" i="59"/>
  <c r="E8" i="59"/>
  <c r="E7" i="59" s="1"/>
  <c r="E6" i="59" s="1"/>
  <c r="E5" i="59" s="1"/>
  <c r="U5" i="59" s="1"/>
  <c r="F48" i="35"/>
  <c r="O67" i="59"/>
  <c r="O66" i="59"/>
  <c r="D67" i="59"/>
  <c r="D23" i="59"/>
  <c r="C22" i="59"/>
  <c r="J64" i="73"/>
  <c r="D64" i="73"/>
  <c r="D63" i="73"/>
  <c r="J63" i="73"/>
  <c r="J7" i="34"/>
  <c r="F4" i="78"/>
  <c r="C41" i="46"/>
  <c r="C42" i="46"/>
  <c r="C37" i="46"/>
  <c r="C40" i="46"/>
  <c r="C38" i="46"/>
  <c r="C39" i="46"/>
  <c r="J51" i="83"/>
  <c r="D51" i="83"/>
  <c r="E50" i="83" s="1"/>
  <c r="B48" i="83" s="1"/>
  <c r="J55" i="83"/>
  <c r="D55" i="83"/>
  <c r="T8" i="46"/>
  <c r="V8" i="46" s="1"/>
  <c r="T5" i="46"/>
  <c r="V5" i="46" s="1"/>
  <c r="T4" i="46"/>
  <c r="V4" i="46" s="1"/>
  <c r="T9" i="46"/>
  <c r="V9" i="46" s="1"/>
  <c r="T3" i="46"/>
  <c r="V3" i="46" s="1"/>
  <c r="T11" i="46"/>
  <c r="V11" i="46" s="1"/>
  <c r="T13" i="46"/>
  <c r="V13" i="46" s="1"/>
  <c r="I47" i="37"/>
  <c r="J47" i="37" s="1"/>
  <c r="I46" i="37"/>
  <c r="J46" i="37" s="1"/>
  <c r="G47" i="37"/>
  <c r="H47" i="37" s="1"/>
  <c r="K15" i="1"/>
  <c r="E30" i="6"/>
  <c r="T53" i="59"/>
  <c r="D53" i="59"/>
  <c r="D62" i="73"/>
  <c r="E61" i="73" s="1"/>
  <c r="B59" i="73" s="1"/>
  <c r="C28" i="73" s="1"/>
  <c r="C40" i="73" s="1"/>
  <c r="J62" i="73"/>
  <c r="K16" i="78"/>
  <c r="L16" i="78" s="1"/>
  <c r="I16" i="78"/>
  <c r="AB7" i="33"/>
  <c r="T48" i="33" s="1"/>
  <c r="G48" i="33" s="1"/>
  <c r="U7" i="33"/>
  <c r="AA7" i="33"/>
  <c r="R48" i="33" s="1"/>
  <c r="S7" i="33"/>
  <c r="C11" i="34"/>
  <c r="G3" i="83"/>
  <c r="G3" i="73"/>
  <c r="G3" i="46"/>
  <c r="M99" i="83"/>
  <c r="N99" i="83" s="1"/>
  <c r="K99" i="83"/>
  <c r="J99" i="83" s="1"/>
  <c r="K95" i="83"/>
  <c r="M95" i="83"/>
  <c r="N95" i="83" s="1"/>
  <c r="K98" i="83"/>
  <c r="M98" i="83"/>
  <c r="N98" i="83" s="1"/>
  <c r="M101" i="83"/>
  <c r="N101" i="83" s="1"/>
  <c r="K101" i="83"/>
  <c r="K94" i="83"/>
  <c r="J94" i="83" s="1"/>
  <c r="D94" i="83" s="1"/>
  <c r="M94" i="83"/>
  <c r="N94" i="83" s="1"/>
  <c r="J19" i="44"/>
  <c r="C33" i="44"/>
  <c r="J26" i="44"/>
  <c r="J28" i="44"/>
  <c r="C40" i="44"/>
  <c r="Q74" i="75"/>
  <c r="Q61" i="75"/>
  <c r="O36" i="46"/>
  <c r="Q75" i="75"/>
  <c r="Q62" i="75"/>
  <c r="O43" i="9"/>
  <c r="O38" i="9"/>
  <c r="C42" i="9"/>
  <c r="P36" i="73"/>
  <c r="C20" i="11"/>
  <c r="C21" i="11" s="1"/>
  <c r="P36" i="83"/>
  <c r="N36" i="83"/>
  <c r="L37" i="83"/>
  <c r="Q36" i="83"/>
  <c r="O36" i="83"/>
  <c r="M36" i="83"/>
  <c r="F41" i="75"/>
  <c r="F46" i="44"/>
  <c r="L37" i="73" l="1"/>
  <c r="N37" i="73" s="1"/>
  <c r="M36" i="73"/>
  <c r="M36" i="46"/>
  <c r="O36" i="73"/>
  <c r="N36" i="73"/>
  <c r="N36" i="46"/>
  <c r="Q36" i="46"/>
  <c r="L37" i="46"/>
  <c r="O37" i="46" s="1"/>
  <c r="T12" i="46"/>
  <c r="V12" i="46" s="1"/>
  <c r="T2" i="46"/>
  <c r="V2" i="46" s="1"/>
  <c r="T6" i="46"/>
  <c r="V6" i="46" s="1"/>
  <c r="T15" i="46"/>
  <c r="V15" i="46" s="1"/>
  <c r="T14" i="46"/>
  <c r="V14" i="46" s="1"/>
  <c r="T10" i="46"/>
  <c r="V10" i="46" s="1"/>
  <c r="T7" i="46"/>
  <c r="V7" i="46" s="1"/>
  <c r="T16" i="46"/>
  <c r="V16" i="46" s="1"/>
  <c r="H69" i="39"/>
  <c r="G71" i="39"/>
  <c r="R19" i="68"/>
  <c r="R5" i="68" s="1"/>
  <c r="R25" i="68"/>
  <c r="G27" i="82"/>
  <c r="H27" i="82" s="1"/>
  <c r="F13" i="82"/>
  <c r="G13" i="82" s="1"/>
  <c r="H13" i="82" s="1"/>
  <c r="I64" i="40"/>
  <c r="H66" i="40"/>
  <c r="F68" i="75"/>
  <c r="D101" i="83"/>
  <c r="J101" i="83"/>
  <c r="Z7" i="73"/>
  <c r="F26" i="73"/>
  <c r="E26" i="73"/>
  <c r="J26" i="73"/>
  <c r="G26" i="73"/>
  <c r="B117" i="73"/>
  <c r="H26" i="73"/>
  <c r="H11" i="34"/>
  <c r="J11" i="34"/>
  <c r="F11" i="34"/>
  <c r="R49" i="33"/>
  <c r="E48" i="33"/>
  <c r="G52" i="33"/>
  <c r="H52" i="33" s="1"/>
  <c r="G53" i="33"/>
  <c r="H53" i="33" s="1"/>
  <c r="E40" i="73"/>
  <c r="G40" i="73"/>
  <c r="I40" i="73" s="1"/>
  <c r="I5" i="78"/>
  <c r="C37" i="73"/>
  <c r="C38" i="73"/>
  <c r="E39" i="46"/>
  <c r="G39" i="46"/>
  <c r="I39" i="46" s="1"/>
  <c r="G40" i="46"/>
  <c r="I40" i="46" s="1"/>
  <c r="E40" i="46"/>
  <c r="E42" i="46"/>
  <c r="G42" i="46"/>
  <c r="I42" i="46" s="1"/>
  <c r="T11" i="73"/>
  <c r="V11" i="73" s="1"/>
  <c r="T14" i="73"/>
  <c r="V14" i="73" s="1"/>
  <c r="T6" i="73"/>
  <c r="V6" i="73" s="1"/>
  <c r="T7" i="73"/>
  <c r="V7" i="73" s="1"/>
  <c r="T15" i="73"/>
  <c r="V15" i="73" s="1"/>
  <c r="T2" i="73"/>
  <c r="V2" i="73" s="1"/>
  <c r="T5" i="73"/>
  <c r="V5" i="73" s="1"/>
  <c r="T3" i="73"/>
  <c r="V3" i="73" s="1"/>
  <c r="C21" i="59"/>
  <c r="D22" i="59"/>
  <c r="C41" i="73"/>
  <c r="E53" i="21"/>
  <c r="F53" i="21" s="1"/>
  <c r="E52" i="21"/>
  <c r="F52" i="21" s="1"/>
  <c r="I53" i="21"/>
  <c r="J53" i="21" s="1"/>
  <c r="AC34" i="34"/>
  <c r="W34" i="34"/>
  <c r="AA34" i="34"/>
  <c r="S34" i="34"/>
  <c r="D33" i="83"/>
  <c r="D1" i="83" s="1"/>
  <c r="C9" i="74"/>
  <c r="C9" i="43"/>
  <c r="D3" i="34"/>
  <c r="K6" i="1"/>
  <c r="BA13" i="3"/>
  <c r="BB5" i="3"/>
  <c r="I52" i="33"/>
  <c r="J52" i="33" s="1"/>
  <c r="I53" i="33"/>
  <c r="J53" i="33" s="1"/>
  <c r="V9" i="59"/>
  <c r="F8" i="59"/>
  <c r="F7" i="59" s="1"/>
  <c r="F6" i="59" s="1"/>
  <c r="F5" i="59" s="1"/>
  <c r="V5" i="59" s="1"/>
  <c r="C43" i="37"/>
  <c r="B3" i="37" s="1"/>
  <c r="B2" i="37" s="1"/>
  <c r="C42" i="37"/>
  <c r="S5" i="59"/>
  <c r="J31" i="44"/>
  <c r="Q49" i="44" s="1"/>
  <c r="Q55" i="44" s="1"/>
  <c r="D98" i="83"/>
  <c r="J98" i="83"/>
  <c r="D95" i="83"/>
  <c r="J95" i="83"/>
  <c r="Z7" i="46"/>
  <c r="J26" i="46"/>
  <c r="G26" i="46"/>
  <c r="H26" i="46"/>
  <c r="B117" i="46"/>
  <c r="F26" i="46"/>
  <c r="E26" i="46"/>
  <c r="G26" i="83"/>
  <c r="H26" i="83"/>
  <c r="E26" i="83"/>
  <c r="B117" i="83"/>
  <c r="F26" i="83"/>
  <c r="J26" i="83"/>
  <c r="Z7" i="83"/>
  <c r="C39" i="73"/>
  <c r="E38" i="46"/>
  <c r="G38" i="46"/>
  <c r="I38" i="46" s="1"/>
  <c r="E37" i="46"/>
  <c r="G37" i="46"/>
  <c r="I37" i="46" s="1"/>
  <c r="G41" i="46"/>
  <c r="I41" i="46" s="1"/>
  <c r="E41" i="46"/>
  <c r="AC7" i="34"/>
  <c r="W7" i="34"/>
  <c r="T16" i="73"/>
  <c r="V16" i="73" s="1"/>
  <c r="T9" i="73"/>
  <c r="V9" i="73" s="1"/>
  <c r="T4" i="73"/>
  <c r="V4" i="73" s="1"/>
  <c r="T12" i="73"/>
  <c r="V12" i="73" s="1"/>
  <c r="T8" i="73"/>
  <c r="V8" i="73" s="1"/>
  <c r="T10" i="73"/>
  <c r="V10" i="73" s="1"/>
  <c r="T13" i="73"/>
  <c r="V13" i="73" s="1"/>
  <c r="G48" i="35"/>
  <c r="H48" i="35" s="1"/>
  <c r="I48" i="35" s="1"/>
  <c r="J48" i="35" s="1"/>
  <c r="K48" i="35" s="1"/>
  <c r="L48" i="35" s="1"/>
  <c r="M48" i="35" s="1"/>
  <c r="N48" i="35" s="1"/>
  <c r="O48" i="35" s="1"/>
  <c r="J7" i="35"/>
  <c r="H7" i="35"/>
  <c r="C42" i="73"/>
  <c r="C48" i="21"/>
  <c r="C49" i="21"/>
  <c r="B3" i="21" s="1"/>
  <c r="B2" i="21" s="1"/>
  <c r="G46" i="36"/>
  <c r="D100" i="83"/>
  <c r="J100" i="83"/>
  <c r="D96" i="83"/>
  <c r="J96" i="83"/>
  <c r="D97" i="83"/>
  <c r="J97" i="83"/>
  <c r="AB34" i="34"/>
  <c r="U34" i="34"/>
  <c r="I4" i="6"/>
  <c r="G13" i="3"/>
  <c r="H5" i="3"/>
  <c r="E47" i="37"/>
  <c r="F47" i="37" s="1"/>
  <c r="E46" i="37"/>
  <c r="F46" i="37" s="1"/>
  <c r="N68" i="9"/>
  <c r="D63" i="9"/>
  <c r="R5" i="54"/>
  <c r="B48" i="63" s="1"/>
  <c r="K26" i="9"/>
  <c r="K25" i="9"/>
  <c r="Q37" i="83"/>
  <c r="O37" i="83"/>
  <c r="M37" i="83"/>
  <c r="P37" i="83"/>
  <c r="N37" i="83"/>
  <c r="F43" i="75"/>
  <c r="F7" i="76"/>
  <c r="M29" i="76"/>
  <c r="M29" i="75"/>
  <c r="F7" i="75"/>
  <c r="F43" i="76"/>
  <c r="P37" i="46" l="1"/>
  <c r="M37" i="73"/>
  <c r="O37" i="73"/>
  <c r="Q37" i="73"/>
  <c r="P37" i="73"/>
  <c r="M37" i="46"/>
  <c r="N37" i="46"/>
  <c r="Q37" i="46"/>
  <c r="E93" i="83"/>
  <c r="B91" i="83" s="1"/>
  <c r="C28" i="83" s="1"/>
  <c r="T12" i="83" s="1"/>
  <c r="V12" i="83" s="1"/>
  <c r="J64" i="40"/>
  <c r="I66" i="40"/>
  <c r="D6" i="68"/>
  <c r="U5" i="68"/>
  <c r="H71" i="39"/>
  <c r="I69" i="39"/>
  <c r="Q58" i="44"/>
  <c r="Q67" i="44"/>
  <c r="F70" i="75"/>
  <c r="F70" i="76"/>
  <c r="M7" i="75"/>
  <c r="J6" i="75" s="1"/>
  <c r="F49" i="75"/>
  <c r="C48" i="75" s="1"/>
  <c r="F49" i="76"/>
  <c r="C48" i="76" s="1"/>
  <c r="M7" i="76"/>
  <c r="J6" i="76" s="1"/>
  <c r="G42" i="73"/>
  <c r="I42" i="73" s="1"/>
  <c r="E42" i="73"/>
  <c r="AC7" i="35"/>
  <c r="V38" i="35" s="1"/>
  <c r="I38" i="35" s="1"/>
  <c r="W7" i="35"/>
  <c r="BA5" i="3"/>
  <c r="E27" i="6" s="1"/>
  <c r="AZ13" i="3"/>
  <c r="AZ5" i="3" s="1"/>
  <c r="G38" i="73"/>
  <c r="I38" i="73" s="1"/>
  <c r="E38" i="73"/>
  <c r="C48" i="33"/>
  <c r="C49" i="33"/>
  <c r="B3" i="33" s="1"/>
  <c r="B2" i="33" s="1"/>
  <c r="AC11" i="34"/>
  <c r="W11" i="34"/>
  <c r="V49" i="34"/>
  <c r="I49" i="34" s="1"/>
  <c r="D26" i="83"/>
  <c r="C25" i="83" s="1"/>
  <c r="G5" i="3"/>
  <c r="B3" i="3" s="1"/>
  <c r="E13" i="3" s="1"/>
  <c r="H46" i="36"/>
  <c r="U7" i="35"/>
  <c r="AB7" i="35"/>
  <c r="T38" i="35" s="1"/>
  <c r="G38" i="35" s="1"/>
  <c r="G39" i="73"/>
  <c r="I39" i="73" s="1"/>
  <c r="E39" i="73"/>
  <c r="I123" i="83"/>
  <c r="J123" i="83" s="1"/>
  <c r="K123" i="83" s="1"/>
  <c r="L123" i="83" s="1"/>
  <c r="M123" i="83" s="1"/>
  <c r="B123" i="83"/>
  <c r="C123" i="83" s="1"/>
  <c r="I122" i="83"/>
  <c r="J122" i="83" s="1"/>
  <c r="K122" i="83" s="1"/>
  <c r="L122" i="83" s="1"/>
  <c r="M122" i="83" s="1"/>
  <c r="B122" i="83"/>
  <c r="C122" i="83" s="1"/>
  <c r="I121" i="83"/>
  <c r="J121" i="83" s="1"/>
  <c r="K121" i="83" s="1"/>
  <c r="L121" i="83" s="1"/>
  <c r="M121" i="83" s="1"/>
  <c r="B121" i="83"/>
  <c r="C121" i="83" s="1"/>
  <c r="I120" i="83"/>
  <c r="J120" i="83" s="1"/>
  <c r="K120" i="83" s="1"/>
  <c r="L120" i="83" s="1"/>
  <c r="M120" i="83" s="1"/>
  <c r="B120" i="83"/>
  <c r="C120" i="83" s="1"/>
  <c r="I119" i="83"/>
  <c r="J119" i="83" s="1"/>
  <c r="K119" i="83" s="1"/>
  <c r="L119" i="83" s="1"/>
  <c r="M119" i="83" s="1"/>
  <c r="B119" i="83"/>
  <c r="C119" i="83" s="1"/>
  <c r="D117" i="83"/>
  <c r="D122" i="83"/>
  <c r="E122" i="83" s="1"/>
  <c r="F122" i="83" s="1"/>
  <c r="D123" i="83"/>
  <c r="E123" i="83" s="1"/>
  <c r="F123" i="83" s="1"/>
  <c r="G123" i="83" s="1"/>
  <c r="H123" i="83" s="1"/>
  <c r="G122" i="83"/>
  <c r="H122" i="83" s="1"/>
  <c r="D121" i="83"/>
  <c r="E121" i="83" s="1"/>
  <c r="F121" i="83" s="1"/>
  <c r="G121" i="83" s="1"/>
  <c r="H121" i="83" s="1"/>
  <c r="D120" i="83"/>
  <c r="E120" i="83" s="1"/>
  <c r="F120" i="83" s="1"/>
  <c r="G120" i="83" s="1"/>
  <c r="H120" i="83" s="1"/>
  <c r="D119" i="83"/>
  <c r="E119" i="83" s="1"/>
  <c r="F119" i="83" s="1"/>
  <c r="G119" i="83" s="1"/>
  <c r="H119" i="83" s="1"/>
  <c r="D26" i="46"/>
  <c r="C25" i="46" s="1"/>
  <c r="B121" i="46"/>
  <c r="C121" i="46" s="1"/>
  <c r="B120" i="46"/>
  <c r="C120" i="46" s="1"/>
  <c r="D119" i="46"/>
  <c r="E119" i="46" s="1"/>
  <c r="F119" i="46" s="1"/>
  <c r="G119" i="46" s="1"/>
  <c r="H119" i="46" s="1"/>
  <c r="D122" i="46"/>
  <c r="E122" i="46" s="1"/>
  <c r="F122" i="46" s="1"/>
  <c r="D121" i="46"/>
  <c r="E121" i="46" s="1"/>
  <c r="F121" i="46" s="1"/>
  <c r="G121" i="46" s="1"/>
  <c r="H121" i="46" s="1"/>
  <c r="I120" i="46"/>
  <c r="J120" i="46" s="1"/>
  <c r="K120" i="46" s="1"/>
  <c r="L120" i="46" s="1"/>
  <c r="M120" i="46" s="1"/>
  <c r="D117" i="46"/>
  <c r="B122" i="46"/>
  <c r="C122" i="46" s="1"/>
  <c r="G122" i="46"/>
  <c r="H122" i="46" s="1"/>
  <c r="D123" i="46"/>
  <c r="E123" i="46" s="1"/>
  <c r="F123" i="46" s="1"/>
  <c r="G123" i="46" s="1"/>
  <c r="H123" i="46" s="1"/>
  <c r="I123" i="46"/>
  <c r="J123" i="46" s="1"/>
  <c r="K123" i="46" s="1"/>
  <c r="L123" i="46" s="1"/>
  <c r="M123" i="46" s="1"/>
  <c r="I119" i="46"/>
  <c r="J119" i="46" s="1"/>
  <c r="K119" i="46" s="1"/>
  <c r="L119" i="46" s="1"/>
  <c r="M119" i="46" s="1"/>
  <c r="B123" i="46"/>
  <c r="C123" i="46" s="1"/>
  <c r="D120" i="46"/>
  <c r="E120" i="46" s="1"/>
  <c r="F120" i="46" s="1"/>
  <c r="G120" i="46" s="1"/>
  <c r="H120" i="46" s="1"/>
  <c r="I121" i="46"/>
  <c r="J121" i="46" s="1"/>
  <c r="K121" i="46" s="1"/>
  <c r="L121" i="46" s="1"/>
  <c r="M121" i="46" s="1"/>
  <c r="B119" i="46"/>
  <c r="C119" i="46" s="1"/>
  <c r="I122" i="46"/>
  <c r="J122" i="46" s="1"/>
  <c r="K122" i="46" s="1"/>
  <c r="L122" i="46" s="1"/>
  <c r="M122" i="46" s="1"/>
  <c r="E8" i="6"/>
  <c r="E10" i="6"/>
  <c r="E14" i="6"/>
  <c r="E11" i="6"/>
  <c r="E15" i="6"/>
  <c r="E12" i="6"/>
  <c r="E13" i="6"/>
  <c r="M6" i="1"/>
  <c r="K16" i="1"/>
  <c r="Q16" i="1"/>
  <c r="H16" i="1"/>
  <c r="AP16" i="1"/>
  <c r="F22" i="11" s="1"/>
  <c r="C22" i="11" s="1"/>
  <c r="C23" i="11" s="1"/>
  <c r="B2" i="11" s="1"/>
  <c r="G16" i="1"/>
  <c r="G41" i="73"/>
  <c r="I41" i="73" s="1"/>
  <c r="E41" i="73"/>
  <c r="C20" i="59"/>
  <c r="D21" i="59"/>
  <c r="T21" i="59"/>
  <c r="G37" i="73"/>
  <c r="I37" i="73" s="1"/>
  <c r="E37" i="73"/>
  <c r="E53" i="33"/>
  <c r="F53" i="33" s="1"/>
  <c r="E52" i="33"/>
  <c r="F52" i="33" s="1"/>
  <c r="AA11" i="34"/>
  <c r="R49" i="34" s="1"/>
  <c r="S11" i="34"/>
  <c r="AB11" i="34"/>
  <c r="T49" i="34" s="1"/>
  <c r="G49" i="34" s="1"/>
  <c r="U11" i="34"/>
  <c r="I122" i="73"/>
  <c r="J122" i="73" s="1"/>
  <c r="K122" i="73" s="1"/>
  <c r="L122" i="73" s="1"/>
  <c r="M122" i="73" s="1"/>
  <c r="I120" i="73"/>
  <c r="J120" i="73" s="1"/>
  <c r="K120" i="73" s="1"/>
  <c r="L120" i="73" s="1"/>
  <c r="M120" i="73" s="1"/>
  <c r="D117" i="73"/>
  <c r="B123" i="73"/>
  <c r="C123" i="73" s="1"/>
  <c r="D122" i="73"/>
  <c r="E122" i="73" s="1"/>
  <c r="F122" i="73" s="1"/>
  <c r="B121" i="73"/>
  <c r="C121" i="73" s="1"/>
  <c r="D120" i="73"/>
  <c r="E120" i="73" s="1"/>
  <c r="F120" i="73" s="1"/>
  <c r="G120" i="73" s="1"/>
  <c r="H120" i="73" s="1"/>
  <c r="B119" i="73"/>
  <c r="C119" i="73" s="1"/>
  <c r="G122" i="73"/>
  <c r="H122" i="73" s="1"/>
  <c r="I119" i="73"/>
  <c r="J119" i="73" s="1"/>
  <c r="K119" i="73" s="1"/>
  <c r="L119" i="73" s="1"/>
  <c r="M119" i="73" s="1"/>
  <c r="B122" i="73"/>
  <c r="C122" i="73" s="1"/>
  <c r="D119" i="73"/>
  <c r="E119" i="73" s="1"/>
  <c r="F119" i="73" s="1"/>
  <c r="G119" i="73" s="1"/>
  <c r="H119" i="73" s="1"/>
  <c r="I123" i="73"/>
  <c r="J123" i="73" s="1"/>
  <c r="K123" i="73" s="1"/>
  <c r="L123" i="73" s="1"/>
  <c r="M123" i="73" s="1"/>
  <c r="I121" i="73"/>
  <c r="J121" i="73" s="1"/>
  <c r="K121" i="73" s="1"/>
  <c r="L121" i="73" s="1"/>
  <c r="M121" i="73" s="1"/>
  <c r="D123" i="73"/>
  <c r="E123" i="73" s="1"/>
  <c r="F123" i="73" s="1"/>
  <c r="G123" i="73" s="1"/>
  <c r="H123" i="73" s="1"/>
  <c r="D121" i="73"/>
  <c r="E121" i="73" s="1"/>
  <c r="F121" i="73" s="1"/>
  <c r="G121" i="73" s="1"/>
  <c r="H121" i="73" s="1"/>
  <c r="B120" i="73"/>
  <c r="C120" i="73" s="1"/>
  <c r="D26" i="73"/>
  <c r="C25" i="73" s="1"/>
  <c r="F7" i="35"/>
  <c r="C103" i="9"/>
  <c r="C90" i="9"/>
  <c r="C111" i="9"/>
  <c r="C104" i="9" s="1"/>
  <c r="C82" i="9"/>
  <c r="C81" i="9" s="1"/>
  <c r="C85" i="9" s="1"/>
  <c r="C86" i="9" s="1"/>
  <c r="D72" i="9" s="1"/>
  <c r="D71" i="9"/>
  <c r="D73" i="9"/>
  <c r="N73" i="9" s="1"/>
  <c r="C96" i="9"/>
  <c r="C91" i="9" s="1"/>
  <c r="D70" i="9"/>
  <c r="C16" i="75"/>
  <c r="C16" i="76"/>
  <c r="C40" i="83" l="1"/>
  <c r="E40" i="83" s="1"/>
  <c r="T4" i="83"/>
  <c r="V4" i="83" s="1"/>
  <c r="T13" i="83"/>
  <c r="V13" i="83" s="1"/>
  <c r="T16" i="83"/>
  <c r="V16" i="83" s="1"/>
  <c r="C13" i="85"/>
  <c r="T15" i="83"/>
  <c r="V15" i="83" s="1"/>
  <c r="T3" i="83"/>
  <c r="V3" i="83" s="1"/>
  <c r="C38" i="83"/>
  <c r="G38" i="83" s="1"/>
  <c r="I38" i="83" s="1"/>
  <c r="T11" i="83"/>
  <c r="V11" i="83" s="1"/>
  <c r="T2" i="83"/>
  <c r="V2" i="83" s="1"/>
  <c r="T7" i="83"/>
  <c r="V7" i="83" s="1"/>
  <c r="T10" i="83"/>
  <c r="V10" i="83" s="1"/>
  <c r="C42" i="83"/>
  <c r="C33" i="83"/>
  <c r="C10" i="85" s="1"/>
  <c r="C37" i="83"/>
  <c r="T8" i="83"/>
  <c r="V8" i="83" s="1"/>
  <c r="C39" i="83"/>
  <c r="E39" i="83" s="1"/>
  <c r="G39" i="83"/>
  <c r="I39" i="83" s="1"/>
  <c r="T6" i="83"/>
  <c r="V6" i="83" s="1"/>
  <c r="T5" i="83"/>
  <c r="V5" i="83" s="1"/>
  <c r="T14" i="83"/>
  <c r="V14" i="83" s="1"/>
  <c r="T9" i="83"/>
  <c r="V9" i="83" s="1"/>
  <c r="D18" i="68"/>
  <c r="D9" i="68"/>
  <c r="D15" i="68"/>
  <c r="C23" i="68"/>
  <c r="D16" i="68"/>
  <c r="D17" i="68"/>
  <c r="D10" i="68"/>
  <c r="J66" i="40"/>
  <c r="K64" i="40"/>
  <c r="J69" i="39"/>
  <c r="I71" i="39"/>
  <c r="AA7" i="35"/>
  <c r="R38" i="35" s="1"/>
  <c r="S7" i="35"/>
  <c r="E38" i="83"/>
  <c r="O6" i="1"/>
  <c r="O16" i="1" s="1"/>
  <c r="M16" i="1"/>
  <c r="E58" i="40"/>
  <c r="E63" i="39"/>
  <c r="E62" i="39"/>
  <c r="E57" i="40"/>
  <c r="H5" i="78"/>
  <c r="J5" i="78" s="1"/>
  <c r="C33" i="73"/>
  <c r="G40" i="83"/>
  <c r="I40" i="83" s="1"/>
  <c r="J12" i="39"/>
  <c r="H12" i="39"/>
  <c r="F12" i="39"/>
  <c r="J12" i="40"/>
  <c r="H12" i="40"/>
  <c r="F12" i="40"/>
  <c r="E59" i="40"/>
  <c r="E64" i="39"/>
  <c r="E66" i="39"/>
  <c r="E61" i="40"/>
  <c r="E65" i="39"/>
  <c r="E60" i="40"/>
  <c r="E53" i="40"/>
  <c r="F27" i="6"/>
  <c r="F31" i="6" s="1"/>
  <c r="E58" i="39"/>
  <c r="E16" i="6"/>
  <c r="H4" i="78"/>
  <c r="J4" i="78" s="1"/>
  <c r="C33" i="46"/>
  <c r="G43" i="35"/>
  <c r="H43" i="35" s="1"/>
  <c r="G42" i="35"/>
  <c r="H42" i="35" s="1"/>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I3" i="6"/>
  <c r="E292" i="3"/>
  <c r="E60" i="3"/>
  <c r="E178" i="3"/>
  <c r="E48" i="3"/>
  <c r="E455" i="3"/>
  <c r="E156" i="3"/>
  <c r="E542" i="3"/>
  <c r="E536" i="3"/>
  <c r="E489" i="3"/>
  <c r="I6" i="3"/>
  <c r="G41" i="83"/>
  <c r="I41" i="83" s="1"/>
  <c r="E41" i="83"/>
  <c r="I53" i="34"/>
  <c r="J53" i="34" s="1"/>
  <c r="G37" i="83"/>
  <c r="I37" i="83" s="1"/>
  <c r="E37" i="83"/>
  <c r="K23" i="6"/>
  <c r="M23" i="6" s="1"/>
  <c r="I23" i="6" s="1"/>
  <c r="S23" i="6" s="1"/>
  <c r="E31" i="6"/>
  <c r="K24" i="6"/>
  <c r="M24" i="6" s="1"/>
  <c r="I24" i="6" s="1"/>
  <c r="S24" i="6" s="1"/>
  <c r="K20" i="6"/>
  <c r="M20" i="6" s="1"/>
  <c r="I20" i="6" s="1"/>
  <c r="S20" i="6" s="1"/>
  <c r="K22" i="6"/>
  <c r="M22" i="6" s="1"/>
  <c r="I22" i="6" s="1"/>
  <c r="S22" i="6" s="1"/>
  <c r="K21" i="6"/>
  <c r="M21" i="6" s="1"/>
  <c r="I21" i="6" s="1"/>
  <c r="S21" i="6" s="1"/>
  <c r="K26" i="6"/>
  <c r="M26" i="6" s="1"/>
  <c r="I26" i="6" s="1"/>
  <c r="S26" i="6" s="1"/>
  <c r="K25" i="6"/>
  <c r="M25" i="6" s="1"/>
  <c r="I25" i="6" s="1"/>
  <c r="S25" i="6" s="1"/>
  <c r="K19" i="6"/>
  <c r="I42" i="35"/>
  <c r="J42" i="35" s="1"/>
  <c r="J18" i="76"/>
  <c r="J19" i="76"/>
  <c r="J5" i="76"/>
  <c r="C60" i="75"/>
  <c r="C47" i="75"/>
  <c r="G54" i="34"/>
  <c r="H54" i="34" s="1"/>
  <c r="G53" i="34"/>
  <c r="H53" i="34" s="1"/>
  <c r="R50" i="34"/>
  <c r="E49" i="34"/>
  <c r="D20" i="59"/>
  <c r="C19" i="59"/>
  <c r="I46" i="36"/>
  <c r="J46" i="36" s="1"/>
  <c r="K46" i="36" s="1"/>
  <c r="L46" i="36" s="1"/>
  <c r="M46" i="36" s="1"/>
  <c r="N46" i="36" s="1"/>
  <c r="O46" i="36" s="1"/>
  <c r="F7" i="36" s="1"/>
  <c r="G42" i="83"/>
  <c r="I42" i="83" s="1"/>
  <c r="E42" i="83"/>
  <c r="C34" i="83"/>
  <c r="E34" i="83" s="1"/>
  <c r="E3" i="6"/>
  <c r="AY6" i="3"/>
  <c r="C60" i="76"/>
  <c r="C47" i="76"/>
  <c r="J19" i="75"/>
  <c r="J18" i="75"/>
  <c r="J5" i="75"/>
  <c r="C113" i="9"/>
  <c r="C114" i="9" s="1"/>
  <c r="E114" i="9" s="1"/>
  <c r="E115" i="9" s="1"/>
  <c r="C97" i="9"/>
  <c r="E33" i="83" l="1"/>
  <c r="J71" i="39"/>
  <c r="K69" i="39"/>
  <c r="C29" i="68"/>
  <c r="D23" i="68"/>
  <c r="D7" i="68"/>
  <c r="C26" i="68" s="1"/>
  <c r="C32" i="68" s="1"/>
  <c r="C38" i="68" s="1"/>
  <c r="C39" i="68" s="1"/>
  <c r="J7" i="36"/>
  <c r="H6" i="3"/>
  <c r="L64" i="40"/>
  <c r="K66" i="40"/>
  <c r="D11" i="68"/>
  <c r="E11" i="68" s="1"/>
  <c r="E7" i="68" s="1"/>
  <c r="C27" i="68" s="1"/>
  <c r="C59" i="76"/>
  <c r="C65" i="76"/>
  <c r="D3" i="6"/>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C7" i="36"/>
  <c r="V36" i="36" s="1"/>
  <c r="I36" i="36" s="1"/>
  <c r="W7" i="36"/>
  <c r="C18" i="59"/>
  <c r="D19" i="59"/>
  <c r="E54" i="34"/>
  <c r="F54" i="34" s="1"/>
  <c r="E53" i="34"/>
  <c r="F53" i="34" s="1"/>
  <c r="C65" i="75"/>
  <c r="C59" i="75"/>
  <c r="J26" i="76"/>
  <c r="J29" i="76" s="1"/>
  <c r="J24" i="76"/>
  <c r="C30" i="83"/>
  <c r="B2" i="83" s="1"/>
  <c r="J26" i="75"/>
  <c r="J29" i="75" s="1"/>
  <c r="J24" i="75"/>
  <c r="G19" i="83"/>
  <c r="E19" i="83" s="1"/>
  <c r="G17" i="83" s="1"/>
  <c r="D46" i="9"/>
  <c r="E6" i="6"/>
  <c r="D13" i="11" s="1"/>
  <c r="C13" i="11" s="1"/>
  <c r="D45" i="9"/>
  <c r="D44" i="9"/>
  <c r="L38" i="9"/>
  <c r="C21" i="4"/>
  <c r="O5" i="54" s="1"/>
  <c r="B45" i="63" s="1"/>
  <c r="C33" i="9"/>
  <c r="S7" i="36"/>
  <c r="AA7" i="36"/>
  <c r="R36" i="36" s="1"/>
  <c r="C49" i="34"/>
  <c r="U6" i="1" s="1"/>
  <c r="C50" i="34"/>
  <c r="B3" i="34" s="1"/>
  <c r="B2" i="34" s="1"/>
  <c r="M19" i="6"/>
  <c r="K27" i="6"/>
  <c r="S6" i="1"/>
  <c r="I54" i="34"/>
  <c r="J54" i="34" s="1"/>
  <c r="C31" i="83"/>
  <c r="AC6" i="3"/>
  <c r="E6" i="3" s="1"/>
  <c r="K4" i="78"/>
  <c r="B17" i="78"/>
  <c r="U12" i="40"/>
  <c r="AB12" i="40"/>
  <c r="AA12" i="39"/>
  <c r="S12" i="39"/>
  <c r="AC12" i="39"/>
  <c r="W12" i="39"/>
  <c r="C34" i="73"/>
  <c r="E34" i="73" s="1"/>
  <c r="C31" i="73" s="1"/>
  <c r="E33" i="73"/>
  <c r="C30" i="73" s="1"/>
  <c r="B2" i="73" s="1"/>
  <c r="N16" i="1"/>
  <c r="L16" i="1"/>
  <c r="B3" i="11"/>
  <c r="R39" i="35"/>
  <c r="E38" i="35"/>
  <c r="E33" i="46"/>
  <c r="C30" i="46" s="1"/>
  <c r="B2" i="46" s="1"/>
  <c r="C34" i="46"/>
  <c r="E34" i="46" s="1"/>
  <c r="C31" i="46" s="1"/>
  <c r="AA12" i="40"/>
  <c r="S12" i="40"/>
  <c r="AC12" i="40"/>
  <c r="W12" i="40"/>
  <c r="U12" i="39"/>
  <c r="AB12" i="39"/>
  <c r="B18" i="78"/>
  <c r="K5" i="78"/>
  <c r="P6" i="1"/>
  <c r="H7" i="36"/>
  <c r="C115" i="9"/>
  <c r="D76" i="9" s="1"/>
  <c r="D74" i="9" s="1"/>
  <c r="N74" i="9" s="1"/>
  <c r="O77" i="9" s="1"/>
  <c r="O78" i="9" s="1"/>
  <c r="C98" i="9"/>
  <c r="E98" i="9" s="1"/>
  <c r="E99" i="9" s="1"/>
  <c r="C99" i="9"/>
  <c r="C17" i="76"/>
  <c r="C17" i="75"/>
  <c r="D22" i="74"/>
  <c r="D16" i="43"/>
  <c r="D16" i="74"/>
  <c r="F6" i="75"/>
  <c r="F6" i="76"/>
  <c r="L66" i="40" l="1"/>
  <c r="M64" i="40"/>
  <c r="L69" i="39"/>
  <c r="K71" i="39"/>
  <c r="D29" i="68"/>
  <c r="D38" i="68"/>
  <c r="D39" i="68" s="1"/>
  <c r="D26" i="68"/>
  <c r="D32" i="68" s="1"/>
  <c r="E23" i="68"/>
  <c r="Q77" i="9"/>
  <c r="C16" i="74"/>
  <c r="D19" i="74"/>
  <c r="C19" i="74" s="1"/>
  <c r="C16" i="43"/>
  <c r="C22" i="74"/>
  <c r="C20" i="74" s="1"/>
  <c r="C6" i="76"/>
  <c r="C6" i="75"/>
  <c r="P16" i="1"/>
  <c r="E43" i="35"/>
  <c r="F43" i="35" s="1"/>
  <c r="E42" i="35"/>
  <c r="F42" i="35" s="1"/>
  <c r="I43" i="35"/>
  <c r="J43" i="35" s="1"/>
  <c r="B3" i="73"/>
  <c r="E36" i="36"/>
  <c r="D42" i="9"/>
  <c r="Q5" i="54" s="1"/>
  <c r="B47" i="63" s="1"/>
  <c r="N38" i="9"/>
  <c r="K28" i="9" s="1"/>
  <c r="B3" i="83"/>
  <c r="D19" i="6"/>
  <c r="F1" i="83"/>
  <c r="D4" i="83" s="1"/>
  <c r="F1" i="73"/>
  <c r="D4" i="73" s="1"/>
  <c r="F1" i="46"/>
  <c r="D22" i="6"/>
  <c r="R22" i="6" s="1"/>
  <c r="E62" i="40"/>
  <c r="D11" i="6"/>
  <c r="D14" i="6"/>
  <c r="E44" i="9"/>
  <c r="D25" i="6"/>
  <c r="F46" i="9"/>
  <c r="D26" i="6"/>
  <c r="D10" i="6"/>
  <c r="D12" i="6"/>
  <c r="H20" i="6"/>
  <c r="R20" i="6" s="1"/>
  <c r="D23" i="6"/>
  <c r="F45" i="9"/>
  <c r="C22" i="4"/>
  <c r="D9" i="6"/>
  <c r="H22" i="6"/>
  <c r="D15" i="6"/>
  <c r="D13" i="6"/>
  <c r="D29" i="6"/>
  <c r="F44" i="9"/>
  <c r="H21" i="6"/>
  <c r="R21" i="6" s="1"/>
  <c r="E46" i="9"/>
  <c r="H25" i="6"/>
  <c r="D6" i="6"/>
  <c r="D8" i="6"/>
  <c r="D16" i="6" s="1"/>
  <c r="K38" i="9"/>
  <c r="E45" i="9"/>
  <c r="E67" i="39"/>
  <c r="D5" i="6"/>
  <c r="H24" i="6"/>
  <c r="H26" i="6"/>
  <c r="D28" i="6"/>
  <c r="D24" i="6"/>
  <c r="R24" i="6" s="1"/>
  <c r="H23" i="6"/>
  <c r="G22" i="9"/>
  <c r="C34" i="9"/>
  <c r="C35" i="9"/>
  <c r="F42" i="9" s="1"/>
  <c r="B4" i="11"/>
  <c r="B5" i="11"/>
  <c r="U7" i="36"/>
  <c r="AB7" i="36"/>
  <c r="T36" i="36" s="1"/>
  <c r="G36" i="36" s="1"/>
  <c r="B4" i="46"/>
  <c r="B3" i="46"/>
  <c r="D4" i="46"/>
  <c r="C38" i="35"/>
  <c r="C39" i="35"/>
  <c r="B3" i="35" s="1"/>
  <c r="B2" i="35" s="1"/>
  <c r="S16" i="1"/>
  <c r="I19" i="6"/>
  <c r="M27" i="6"/>
  <c r="D18" i="59"/>
  <c r="C17" i="59"/>
  <c r="I41" i="36"/>
  <c r="J41" i="36" s="1"/>
  <c r="I40" i="36"/>
  <c r="J40" i="36" s="1"/>
  <c r="O79" i="9"/>
  <c r="O80" i="9" s="1"/>
  <c r="B4" i="83" l="1"/>
  <c r="M69" i="39"/>
  <c r="L71" i="39"/>
  <c r="E38" i="68"/>
  <c r="E39" i="68" s="1"/>
  <c r="C40" i="68" s="1"/>
  <c r="E26" i="68"/>
  <c r="E32" i="68" s="1"/>
  <c r="E29" i="68"/>
  <c r="N64" i="40"/>
  <c r="N66" i="40" s="1"/>
  <c r="M66" i="40"/>
  <c r="O81" i="9"/>
  <c r="I27" i="6"/>
  <c r="S19" i="6"/>
  <c r="S27" i="6" s="1"/>
  <c r="T8" i="1"/>
  <c r="T7" i="1"/>
  <c r="T10" i="1"/>
  <c r="T11" i="1"/>
  <c r="T9" i="1"/>
  <c r="T13" i="1"/>
  <c r="T12" i="1"/>
  <c r="G41" i="36"/>
  <c r="H41" i="36" s="1"/>
  <c r="G40" i="36"/>
  <c r="H40" i="36" s="1"/>
  <c r="M38" i="9"/>
  <c r="K27" i="9" s="1"/>
  <c r="E42" i="9"/>
  <c r="P5" i="54" s="1"/>
  <c r="B46" i="63" s="1"/>
  <c r="D27" i="6"/>
  <c r="E40" i="36"/>
  <c r="F40" i="36" s="1"/>
  <c r="E41" i="36"/>
  <c r="F41" i="36" s="1"/>
  <c r="B4" i="73"/>
  <c r="C10" i="76"/>
  <c r="C5" i="76" s="1"/>
  <c r="C38" i="76" s="1"/>
  <c r="C32" i="76"/>
  <c r="C33" i="76"/>
  <c r="D17" i="59"/>
  <c r="T17" i="59"/>
  <c r="C16" i="59"/>
  <c r="T6" i="1"/>
  <c r="D30" i="6"/>
  <c r="A6" i="64"/>
  <c r="A20" i="64"/>
  <c r="N5" i="54"/>
  <c r="B43" i="63" s="1"/>
  <c r="A20" i="51"/>
  <c r="B15" i="63" s="1"/>
  <c r="A6" i="51"/>
  <c r="B7" i="63" s="1"/>
  <c r="R23" i="6"/>
  <c r="R26" i="6"/>
  <c r="R25" i="6"/>
  <c r="H19" i="6"/>
  <c r="H27" i="6" s="1"/>
  <c r="R37" i="36"/>
  <c r="C32" i="75"/>
  <c r="C33" i="75"/>
  <c r="C10" i="75"/>
  <c r="C5" i="75" s="1"/>
  <c r="C38" i="75" s="1"/>
  <c r="C16" i="44"/>
  <c r="C14" i="76"/>
  <c r="C13" i="74"/>
  <c r="C14" i="75"/>
  <c r="C13" i="43"/>
  <c r="J9" i="40" l="1"/>
  <c r="F9" i="40"/>
  <c r="H9" i="40"/>
  <c r="C41" i="68"/>
  <c r="B2" i="68"/>
  <c r="B3" i="68" s="1"/>
  <c r="M71" i="39"/>
  <c r="N69" i="39"/>
  <c r="N71" i="39" s="1"/>
  <c r="C15" i="75"/>
  <c r="C18" i="75"/>
  <c r="C14" i="43"/>
  <c r="C17" i="43"/>
  <c r="C18" i="76"/>
  <c r="C15" i="76"/>
  <c r="C17" i="74"/>
  <c r="C14" i="74"/>
  <c r="C17" i="44"/>
  <c r="C20" i="44"/>
  <c r="T16" i="1"/>
  <c r="R19" i="6"/>
  <c r="C37" i="36"/>
  <c r="B3" i="36" s="1"/>
  <c r="B2" i="36" s="1"/>
  <c r="C36" i="36"/>
  <c r="D16" i="59"/>
  <c r="C15" i="59"/>
  <c r="D31" i="6"/>
  <c r="S9" i="40" l="1"/>
  <c r="AA9" i="40"/>
  <c r="R44" i="40" s="1"/>
  <c r="F9" i="39"/>
  <c r="J9" i="39"/>
  <c r="H9" i="39"/>
  <c r="U9" i="40"/>
  <c r="AB9" i="40"/>
  <c r="T44" i="40" s="1"/>
  <c r="G44" i="40" s="1"/>
  <c r="AC9" i="40"/>
  <c r="V44" i="40" s="1"/>
  <c r="I44" i="40" s="1"/>
  <c r="W9" i="40"/>
  <c r="C19" i="75"/>
  <c r="C20" i="75" s="1"/>
  <c r="C26" i="75" s="1"/>
  <c r="C21" i="44"/>
  <c r="C22" i="44" s="1"/>
  <c r="C25" i="44" s="1"/>
  <c r="C19" i="76"/>
  <c r="C20" i="76" s="1"/>
  <c r="C23" i="76" s="1"/>
  <c r="C18" i="43"/>
  <c r="C19" i="43" s="1"/>
  <c r="C21" i="43" s="1"/>
  <c r="C18" i="74"/>
  <c r="C23" i="74" s="1"/>
  <c r="I5" i="6"/>
  <c r="I6" i="6"/>
  <c r="D15" i="59"/>
  <c r="C14" i="59"/>
  <c r="R6" i="1"/>
  <c r="R27" i="6"/>
  <c r="M21" i="75"/>
  <c r="M21" i="76"/>
  <c r="F35" i="75"/>
  <c r="F35" i="76"/>
  <c r="G49" i="40" l="1"/>
  <c r="H49" i="40" s="1"/>
  <c r="G48" i="40"/>
  <c r="H48" i="40" s="1"/>
  <c r="AB9" i="39"/>
  <c r="T49" i="39" s="1"/>
  <c r="G49" i="39" s="1"/>
  <c r="U9" i="39"/>
  <c r="AA9" i="39"/>
  <c r="R49" i="39" s="1"/>
  <c r="S9" i="39"/>
  <c r="I48" i="40"/>
  <c r="J48" i="40" s="1"/>
  <c r="AC9" i="39"/>
  <c r="V49" i="39" s="1"/>
  <c r="I49" i="39" s="1"/>
  <c r="W9" i="39"/>
  <c r="E44" i="40"/>
  <c r="R45" i="40"/>
  <c r="C20" i="43"/>
  <c r="C23" i="43" s="1"/>
  <c r="C27" i="43" s="1"/>
  <c r="B2" i="43" s="1"/>
  <c r="C34" i="76"/>
  <c r="C31" i="76" s="1"/>
  <c r="F62" i="76"/>
  <c r="C61" i="76" s="1"/>
  <c r="C58" i="76" s="1"/>
  <c r="J20" i="76"/>
  <c r="J17" i="76" s="1"/>
  <c r="J20" i="75"/>
  <c r="J17" i="75" s="1"/>
  <c r="C34" i="75"/>
  <c r="C31" i="75" s="1"/>
  <c r="F62" i="75"/>
  <c r="C61" i="75" s="1"/>
  <c r="C58" i="75" s="1"/>
  <c r="R16" i="1"/>
  <c r="C23" i="75"/>
  <c r="C29" i="75" s="1"/>
  <c r="C26" i="76"/>
  <c r="C29" i="76" s="1"/>
  <c r="C28" i="44"/>
  <c r="C31" i="44" s="1"/>
  <c r="C13" i="59"/>
  <c r="D14" i="59"/>
  <c r="B3" i="43"/>
  <c r="B5" i="43"/>
  <c r="E49" i="40" l="1"/>
  <c r="F49" i="40" s="1"/>
  <c r="E48" i="40"/>
  <c r="F48" i="40" s="1"/>
  <c r="I53" i="39"/>
  <c r="J53" i="39" s="1"/>
  <c r="R50" i="39"/>
  <c r="E49" i="39"/>
  <c r="G53" i="39"/>
  <c r="H53" i="39" s="1"/>
  <c r="G54" i="39"/>
  <c r="H54" i="39" s="1"/>
  <c r="C44" i="40"/>
  <c r="C45" i="40"/>
  <c r="I49" i="40"/>
  <c r="J49" i="40" s="1"/>
  <c r="T13" i="59"/>
  <c r="D13" i="59"/>
  <c r="C12" i="59"/>
  <c r="C13" i="76"/>
  <c r="C36" i="76"/>
  <c r="C56" i="76"/>
  <c r="C63" i="76" s="1"/>
  <c r="J14" i="76"/>
  <c r="Q50" i="76"/>
  <c r="C38" i="44"/>
  <c r="J16" i="44"/>
  <c r="Q51" i="44"/>
  <c r="C15" i="44"/>
  <c r="Q50" i="75"/>
  <c r="C36" i="75"/>
  <c r="J14" i="75"/>
  <c r="C56" i="75"/>
  <c r="C63" i="75" s="1"/>
  <c r="C13" i="75"/>
  <c r="B4" i="43"/>
  <c r="E53" i="39" l="1"/>
  <c r="F53" i="39" s="1"/>
  <c r="E54" i="39"/>
  <c r="F54" i="39" s="1"/>
  <c r="B54" i="40"/>
  <c r="F54" i="40" s="1"/>
  <c r="B57" i="40"/>
  <c r="F57" i="40" s="1"/>
  <c r="B53" i="40"/>
  <c r="F53" i="40" s="1"/>
  <c r="F62" i="40"/>
  <c r="B2" i="40" s="1"/>
  <c r="B55" i="40"/>
  <c r="F55" i="40" s="1"/>
  <c r="B59" i="40"/>
  <c r="F59" i="40" s="1"/>
  <c r="B56" i="40"/>
  <c r="F56" i="40" s="1"/>
  <c r="B60" i="40"/>
  <c r="F60" i="40" s="1"/>
  <c r="B58" i="40"/>
  <c r="F58" i="40" s="1"/>
  <c r="B61" i="40"/>
  <c r="F61" i="40" s="1"/>
  <c r="C49" i="39"/>
  <c r="C50" i="39"/>
  <c r="I54" i="39"/>
  <c r="J54" i="39" s="1"/>
  <c r="J15" i="44"/>
  <c r="J25" i="44" s="1"/>
  <c r="J24" i="44"/>
  <c r="J22" i="76"/>
  <c r="J13" i="76"/>
  <c r="J23" i="76" s="1"/>
  <c r="D12" i="59"/>
  <c r="C11" i="59"/>
  <c r="Q71" i="75"/>
  <c r="J35" i="75"/>
  <c r="C55" i="75"/>
  <c r="C64" i="75" s="1"/>
  <c r="C57" i="75" s="1"/>
  <c r="C66" i="75" s="1"/>
  <c r="C67" i="75" s="1"/>
  <c r="C37" i="75"/>
  <c r="C30" i="75" s="1"/>
  <c r="C39" i="75" s="1"/>
  <c r="J13" i="75"/>
  <c r="J23" i="75" s="1"/>
  <c r="J22" i="75"/>
  <c r="C55" i="76"/>
  <c r="C64" i="76" s="1"/>
  <c r="C57" i="76" s="1"/>
  <c r="C66" i="76" s="1"/>
  <c r="C67" i="76" s="1"/>
  <c r="C37" i="76"/>
  <c r="C30" i="76" s="1"/>
  <c r="C39" i="76" s="1"/>
  <c r="Q71" i="76"/>
  <c r="J35" i="76"/>
  <c r="Q72" i="44"/>
  <c r="C39" i="44"/>
  <c r="C32" i="44" s="1"/>
  <c r="C42" i="44" s="1"/>
  <c r="C43" i="44"/>
  <c r="J39" i="76" l="1"/>
  <c r="J40" i="76" s="1"/>
  <c r="B65" i="39"/>
  <c r="F65" i="39" s="1"/>
  <c r="B63" i="39"/>
  <c r="F63" i="39" s="1"/>
  <c r="B61" i="39"/>
  <c r="F61" i="39" s="1"/>
  <c r="B66" i="39"/>
  <c r="F66" i="39" s="1"/>
  <c r="B60" i="39"/>
  <c r="F60" i="39" s="1"/>
  <c r="B59" i="39"/>
  <c r="F59" i="39" s="1"/>
  <c r="B58" i="39"/>
  <c r="F58" i="39" s="1"/>
  <c r="F67" i="39"/>
  <c r="B2" i="39" s="1"/>
  <c r="B62" i="39"/>
  <c r="F62" i="39" s="1"/>
  <c r="B64" i="39"/>
  <c r="F64" i="39" s="1"/>
  <c r="B3" i="40"/>
  <c r="B5" i="40"/>
  <c r="B4" i="40"/>
  <c r="J18" i="44"/>
  <c r="J27" i="44" s="1"/>
  <c r="C70" i="76"/>
  <c r="C40" i="75"/>
  <c r="C46" i="75" s="1"/>
  <c r="Q70" i="75"/>
  <c r="Q69" i="75" s="1"/>
  <c r="J39" i="75"/>
  <c r="J40" i="75" s="1"/>
  <c r="C10" i="59"/>
  <c r="D11" i="59"/>
  <c r="C70" i="75"/>
  <c r="Q70" i="76"/>
  <c r="Q69" i="76" s="1"/>
  <c r="C40" i="76"/>
  <c r="J16" i="75"/>
  <c r="J25" i="75" s="1"/>
  <c r="J16" i="76"/>
  <c r="J25" i="76" s="1"/>
  <c r="C44" i="44"/>
  <c r="C45" i="44" s="1"/>
  <c r="Q71" i="44"/>
  <c r="Q70" i="44" s="1"/>
  <c r="L51" i="75"/>
  <c r="L51" i="76"/>
  <c r="B4" i="39" l="1"/>
  <c r="B3" i="39"/>
  <c r="B5" i="39"/>
  <c r="Q68" i="76"/>
  <c r="Q68" i="75"/>
  <c r="C10" i="74"/>
  <c r="C6" i="74" s="1"/>
  <c r="Q66" i="76"/>
  <c r="Q76" i="76" s="1"/>
  <c r="B2" i="76"/>
  <c r="B3" i="76" s="1"/>
  <c r="Q48" i="76"/>
  <c r="Q54" i="76" s="1"/>
  <c r="Q57" i="76"/>
  <c r="Q63" i="76" s="1"/>
  <c r="C43" i="76"/>
  <c r="B10" i="78" s="1"/>
  <c r="I10" i="78" s="1"/>
  <c r="J42" i="76"/>
  <c r="J43" i="76" s="1"/>
  <c r="L52" i="44"/>
  <c r="B2" i="44"/>
  <c r="C46" i="76"/>
  <c r="D10" i="59"/>
  <c r="C9" i="59"/>
  <c r="C10" i="12"/>
  <c r="C6" i="12" s="1"/>
  <c r="C24" i="12" s="1"/>
  <c r="Q48" i="75"/>
  <c r="Q54" i="75" s="1"/>
  <c r="C43" i="75"/>
  <c r="B9" i="78" s="1"/>
  <c r="I9" i="78" s="1"/>
  <c r="Q66" i="75"/>
  <c r="Q76" i="75" s="1"/>
  <c r="Q57" i="75"/>
  <c r="Q63" i="75" s="1"/>
  <c r="B2" i="75"/>
  <c r="B3" i="75" s="1"/>
  <c r="J42" i="75"/>
  <c r="J43" i="75" s="1"/>
  <c r="C35" i="12" l="1"/>
  <c r="C33" i="12" s="1"/>
  <c r="C28" i="12"/>
  <c r="C26" i="12" s="1"/>
  <c r="C31" i="12" s="1"/>
  <c r="C30" i="12" s="1"/>
  <c r="B3" i="44"/>
  <c r="B5" i="44"/>
  <c r="B4" i="44"/>
  <c r="C24" i="74"/>
  <c r="C8" i="59"/>
  <c r="D9" i="59"/>
  <c r="T9" i="59"/>
  <c r="L58" i="44"/>
  <c r="L61" i="44" s="1"/>
  <c r="Q69" i="44"/>
  <c r="C36" i="12" l="1"/>
  <c r="B2" i="12" s="1"/>
  <c r="D8" i="59"/>
  <c r="C7" i="59"/>
  <c r="C35" i="74"/>
  <c r="C33" i="74" s="1"/>
  <c r="C28" i="74"/>
  <c r="C26" i="74" s="1"/>
  <c r="C31" i="74" s="1"/>
  <c r="C30" i="74" s="1"/>
  <c r="Q59" i="44"/>
  <c r="Q64" i="44" s="1"/>
  <c r="Q68" i="44"/>
  <c r="Q77" i="44" s="1"/>
  <c r="B4" i="12"/>
  <c r="B3" i="12"/>
  <c r="C36" i="74" l="1"/>
  <c r="B2" i="74" s="1"/>
  <c r="J9" i="78"/>
  <c r="D7" i="59"/>
  <c r="C6" i="59"/>
  <c r="B5" i="12"/>
  <c r="B3" i="74"/>
  <c r="B5" i="74"/>
  <c r="C11" i="85" l="1"/>
  <c r="G10" i="85" s="1"/>
  <c r="J10" i="78"/>
  <c r="C5" i="59"/>
  <c r="D6" i="59"/>
  <c r="D17" i="78"/>
  <c r="K9" i="78"/>
  <c r="B4" i="74"/>
  <c r="B25" i="78" l="1"/>
  <c r="C25" i="78" s="1"/>
  <c r="J17" i="78"/>
  <c r="D25" i="78"/>
  <c r="E25" i="78" s="1"/>
  <c r="T5" i="59"/>
  <c r="D5" i="59"/>
  <c r="M24" i="73"/>
  <c r="M24" i="83"/>
  <c r="M24" i="46"/>
  <c r="C26" i="85"/>
  <c r="E25" i="85" s="1"/>
  <c r="F25" i="85" s="1"/>
  <c r="C14" i="85"/>
  <c r="E13" i="85" s="1"/>
  <c r="C20" i="85"/>
  <c r="E19" i="85" s="1"/>
  <c r="F19" i="85" s="1"/>
  <c r="E10" i="85"/>
  <c r="F10" i="85" s="1"/>
  <c r="K10" i="78"/>
  <c r="D18" i="78"/>
  <c r="K17" i="78" l="1"/>
  <c r="I17" i="78"/>
  <c r="D26" i="78"/>
  <c r="E26" i="78" s="1"/>
  <c r="B26" i="78"/>
  <c r="C26" i="78" s="1"/>
  <c r="J18" i="78"/>
  <c r="F13" i="85"/>
  <c r="D39" i="85" s="1"/>
  <c r="D32" i="85"/>
  <c r="F32" i="85" s="1"/>
  <c r="F33" i="85" s="1"/>
  <c r="F34" i="85" s="1"/>
  <c r="D14" i="66" s="1"/>
  <c r="F39" i="85" l="1"/>
  <c r="F40" i="85" s="1"/>
  <c r="F41" i="85" s="1"/>
  <c r="D46" i="85"/>
  <c r="F46" i="85" s="1"/>
  <c r="F47" i="85" s="1"/>
  <c r="F48" i="85" s="1"/>
  <c r="F14" i="66"/>
  <c r="E14" i="66"/>
  <c r="B5" i="66"/>
  <c r="I18" i="78"/>
  <c r="I19" i="78" s="1"/>
  <c r="K18" i="78"/>
  <c r="L18" i="78" s="1"/>
  <c r="D5" i="66" l="1"/>
  <c r="C5" i="66"/>
  <c r="I20" i="78"/>
  <c r="I22"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E22" authorId="0" shapeId="0" xr:uid="{00000000-0006-0000-1400-00000100000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9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100-000004000000}">
      <text>
        <r>
          <rPr>
            <b/>
            <sz val="12"/>
            <color indexed="81"/>
            <rFont val="宋体"/>
            <family val="3"/>
            <charset val="134"/>
          </rPr>
          <t>所属项目品质或
物业管理</t>
        </r>
      </text>
    </comment>
    <comment ref="B90" authorId="0" shapeId="0" xr:uid="{00000000-0006-0000-3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200-000004000000}">
      <text>
        <r>
          <rPr>
            <b/>
            <sz val="12"/>
            <color indexed="81"/>
            <rFont val="宋体"/>
            <family val="3"/>
            <charset val="134"/>
          </rPr>
          <t>所属项目品质或
物业管理</t>
        </r>
      </text>
    </comment>
    <comment ref="B86" authorId="0" shapeId="0" xr:uid="{00000000-0006-0000-3200-000005000000}">
      <text>
        <r>
          <rPr>
            <b/>
            <sz val="12"/>
            <color indexed="81"/>
            <rFont val="宋体"/>
            <family val="3"/>
            <charset val="134"/>
          </rPr>
          <t>所属项目品质</t>
        </r>
      </text>
    </comment>
    <comment ref="B89" authorId="0" shapeId="0" xr:uid="{00000000-0006-0000-3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1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100-00000F000000}">
      <text>
        <r>
          <rPr>
            <sz val="12"/>
            <color indexed="81"/>
            <rFont val="宋体"/>
            <family val="3"/>
            <charset val="134"/>
          </rPr>
          <t>1.05~1.1</t>
        </r>
        <r>
          <rPr>
            <sz val="9"/>
            <color indexed="81"/>
            <rFont val="宋体"/>
            <family val="3"/>
            <charset val="134"/>
          </rPr>
          <t xml:space="preserve">
</t>
        </r>
      </text>
    </comment>
    <comment ref="E16" authorId="1" shapeId="0" xr:uid="{00000000-0006-0000-11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1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100-000012000000}">
      <text>
        <r>
          <rPr>
            <b/>
            <sz val="16"/>
            <color indexed="81"/>
            <rFont val="宋体"/>
            <family val="3"/>
            <charset val="134"/>
          </rPr>
          <t>工业选“中心城区”</t>
        </r>
      </text>
    </comment>
    <comment ref="B35" authorId="3" shapeId="0" xr:uid="{00000000-0006-0000-11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100-000014000000}">
      <text>
        <r>
          <rPr>
            <sz val="10"/>
            <color indexed="81"/>
            <rFont val="宋体"/>
            <family val="3"/>
            <charset val="134"/>
          </rPr>
          <t xml:space="preserve">需在此处填写剩余土地年限
</t>
        </r>
      </text>
    </comment>
    <comment ref="C1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1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1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1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1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<sst xmlns="http://schemas.openxmlformats.org/spreadsheetml/2006/main" count="8968" uniqueCount="3414">
  <si>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</si>
  <si>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</si>
  <si>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</si>
  <si>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</si>
  <si>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</si>
  <si>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</si>
  <si>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</si>
  <si>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</si>
  <si>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</si>
  <si>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</si>
  <si>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</si>
  <si>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</si>
  <si>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</si>
  <si>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</si>
  <si>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</si>
  <si>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</si>
  <si>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</si>
  <si>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</si>
  <si>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</si>
  <si>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</si>
  <si>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</si>
  <si>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</si>
  <si>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</si>
  <si>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</si>
  <si>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</si>
  <si>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</si>
  <si>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</si>
  <si>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</si>
  <si>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</si>
  <si>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</si>
  <si>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</si>
  <si>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</si>
  <si>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</si>
  <si>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</si>
  <si>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</si>
  <si>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</si>
  <si>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</si>
  <si>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</si>
  <si>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</si>
  <si>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</si>
  <si>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</si>
  <si>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</si>
  <si>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</si>
  <si>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</si>
  <si>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</si>
  <si>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</si>
  <si>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</si>
  <si>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</si>
  <si>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</si>
  <si>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</si>
  <si>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</si>
  <si>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</si>
  <si>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</si>
  <si>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</si>
  <si>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</si>
  <si>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</si>
  <si>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</si>
  <si>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</si>
  <si>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</si>
  <si>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</si>
  <si>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</si>
  <si>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</si>
  <si>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</si>
  <si>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</si>
  <si>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</si>
  <si>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</si>
  <si>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</si>
  <si>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</si>
  <si>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</si>
  <si>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</si>
  <si>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</si>
  <si>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</si>
  <si>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</si>
  <si>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</si>
  <si>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</si>
  <si>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</si>
  <si>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</si>
  <si>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</si>
  <si>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</si>
  <si>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</si>
  <si>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</si>
  <si>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</si>
  <si>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</si>
  <si>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</si>
  <si>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</si>
  <si>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</si>
  <si>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</si>
  <si>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</si>
  <si>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</si>
  <si>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</si>
  <si>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</si>
  <si>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</si>
  <si>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</si>
  <si>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</si>
  <si>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</si>
  <si>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</si>
  <si>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</si>
  <si>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</si>
  <si>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</si>
  <si>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</si>
  <si>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</si>
  <si>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</si>
  <si>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</si>
  <si>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</si>
  <si>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</si>
  <si>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</si>
  <si>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</si>
  <si>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</si>
  <si>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</si>
  <si>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</si>
  <si>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</si>
  <si>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</si>
  <si>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</si>
  <si>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</si>
  <si>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</si>
  <si>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</si>
  <si>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</si>
  <si>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</si>
  <si>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</si>
  <si>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</si>
  <si>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</si>
  <si>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</si>
  <si>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</si>
  <si>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</si>
  <si>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</si>
  <si>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</si>
  <si>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</si>
  <si>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</si>
  <si>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</si>
  <si>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</si>
  <si>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</si>
  <si>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</si>
  <si>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</si>
  <si>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</si>
  <si>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</si>
  <si>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</si>
  <si>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</si>
  <si>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</si>
  <si>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</si>
  <si>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</si>
  <si>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</si>
  <si>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</si>
  <si>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</si>
  <si>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</si>
  <si>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</si>
  <si>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</si>
  <si>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</si>
  <si>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</si>
  <si>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</si>
  <si>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</si>
  <si>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</si>
  <si>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</si>
  <si>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</si>
  <si>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</si>
  <si>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</si>
  <si>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</si>
  <si>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</si>
  <si>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</si>
  <si>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</si>
  <si>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</si>
  <si>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</si>
  <si>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</si>
  <si>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</si>
  <si>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</si>
  <si>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</si>
  <si>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</si>
  <si>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</si>
  <si>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</si>
  <si>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</si>
  <si>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</si>
  <si>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</si>
  <si>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</si>
  <si>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</si>
  <si>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</si>
  <si>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</si>
  <si>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</si>
  <si>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</si>
  <si>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</si>
  <si>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</si>
  <si>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</si>
  <si>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</si>
  <si>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</si>
  <si>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</si>
  <si>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</si>
  <si>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</si>
  <si>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</si>
  <si>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</si>
  <si>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</si>
  <si>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</si>
  <si>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</si>
  <si>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</si>
  <si>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</si>
  <si>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</si>
  <si>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</si>
  <si>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</si>
  <si>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</si>
  <si>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</si>
  <si>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</si>
  <si>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</si>
  <si>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</si>
  <si>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</si>
  <si>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</si>
  <si>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</si>
  <si>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</si>
  <si>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</si>
  <si>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</si>
  <si>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</si>
  <si>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</si>
  <si>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</si>
  <si>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</si>
  <si>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</si>
  <si>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</si>
  <si>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</si>
  <si>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</si>
  <si>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</si>
  <si>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</si>
  <si>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</si>
  <si>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</si>
  <si>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</si>
  <si>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</si>
  <si>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</si>
  <si>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</si>
  <si>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</si>
  <si>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</si>
  <si>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</si>
  <si>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</si>
  <si>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</si>
  <si>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</si>
  <si>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</si>
  <si>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</si>
  <si>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</si>
  <si>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</si>
  <si>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</si>
  <si>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</si>
  <si>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</si>
  <si>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</si>
  <si>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</si>
  <si>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</si>
  <si>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</si>
  <si>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</si>
  <si>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</si>
  <si>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</si>
  <si>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</si>
  <si>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</si>
  <si>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</si>
  <si>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</si>
  <si>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</si>
  <si>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</si>
  <si>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</si>
  <si>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</si>
  <si>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</si>
  <si>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</si>
  <si>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</si>
  <si>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</si>
  <si>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</si>
  <si>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</si>
  <si>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</si>
  <si>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</si>
  <si>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</si>
  <si>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</si>
  <si>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</si>
  <si>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</si>
  <si>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</si>
  <si>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</si>
  <si>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</si>
  <si>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</si>
  <si>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</si>
  <si>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</si>
  <si>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</si>
  <si>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</si>
  <si>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</si>
  <si>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</si>
  <si>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</si>
  <si>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</si>
  <si>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</si>
  <si>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</si>
  <si>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</si>
  <si>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</si>
  <si>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</si>
  <si>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</si>
  <si>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</si>
  <si>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</si>
  <si>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</si>
  <si>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</si>
  <si>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</si>
  <si>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</si>
  <si>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</si>
  <si>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</si>
  <si>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</si>
  <si>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</si>
  <si>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</si>
  <si>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</si>
  <si>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</si>
  <si>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</si>
  <si>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</si>
  <si>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</si>
  <si>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</si>
  <si>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</si>
  <si>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</si>
  <si>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</si>
  <si>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</si>
  <si>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</si>
  <si>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</si>
  <si>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</si>
  <si>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</si>
  <si>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</si>
  <si>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</si>
  <si>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</si>
  <si>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</si>
  <si>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</si>
  <si>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</si>
  <si>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</si>
  <si>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</si>
  <si>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</si>
  <si>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</si>
  <si>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</si>
  <si>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</si>
  <si>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</si>
  <si>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</si>
  <si>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</si>
  <si>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</si>
  <si>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</si>
  <si>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</si>
  <si>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</si>
  <si>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</si>
  <si>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</si>
  <si>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</si>
  <si>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</si>
  <si>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</si>
  <si>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</si>
  <si>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</si>
  <si>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</si>
  <si>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</si>
  <si>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</si>
  <si>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</si>
  <si>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</si>
  <si>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</si>
  <si>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</si>
  <si>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</si>
  <si>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</si>
  <si>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</si>
  <si>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</si>
  <si>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</si>
  <si>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</si>
  <si>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</si>
  <si>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</si>
  <si>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</si>
  <si>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</si>
  <si>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</si>
  <si>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</si>
  <si>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</si>
  <si>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</si>
  <si>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</si>
  <si>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</si>
  <si>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</si>
  <si>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</si>
  <si>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</si>
  <si>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</si>
  <si>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</si>
  <si>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</si>
  <si>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</si>
  <si>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</si>
  <si>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</si>
  <si>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</si>
  <si>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</si>
  <si>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</si>
  <si>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</si>
  <si>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</si>
  <si>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</si>
  <si>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</si>
  <si>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</si>
  <si>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</si>
  <si>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</si>
  <si>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</si>
  <si>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</si>
  <si>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</si>
  <si>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</si>
  <si>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</si>
  <si>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</si>
  <si>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</si>
  <si>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</si>
  <si>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</si>
  <si>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</si>
  <si>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</si>
  <si>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</si>
  <si>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</si>
  <si>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</si>
  <si>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</si>
  <si>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</si>
  <si>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</si>
  <si>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</si>
  <si>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</si>
  <si>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</si>
  <si>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</si>
  <si>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</si>
  <si>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</si>
  <si>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</si>
  <si>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</si>
  <si>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</si>
  <si>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</si>
  <si>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</si>
  <si>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</si>
  <si>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</si>
  <si>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</si>
  <si>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</si>
  <si>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</si>
  <si>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</si>
  <si>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</si>
  <si>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</si>
  <si>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</si>
  <si>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</si>
  <si>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</si>
  <si>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</si>
  <si>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</si>
  <si>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</si>
  <si>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</si>
  <si>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</si>
  <si>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</si>
  <si>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</si>
  <si>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</si>
  <si>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</si>
  <si>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</si>
  <si>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</si>
  <si>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</si>
  <si>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</si>
  <si>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</si>
  <si>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</si>
  <si>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</si>
  <si>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</si>
  <si>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</si>
  <si>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</si>
  <si>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</si>
  <si>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</si>
  <si>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</si>
  <si>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</si>
  <si>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</si>
  <si>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</si>
  <si>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</si>
  <si>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</si>
  <si>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</si>
  <si>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</si>
  <si>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</si>
  <si>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</si>
  <si>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</si>
  <si>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</si>
  <si>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</si>
  <si>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</si>
  <si>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</si>
  <si>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</si>
  <si>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</si>
  <si>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</si>
  <si>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</si>
  <si>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</si>
  <si>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</si>
  <si>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</si>
  <si>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</si>
  <si>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</si>
  <si>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</si>
  <si>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</si>
  <si>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</si>
  <si>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</si>
  <si>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</si>
  <si>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</si>
  <si>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</si>
  <si>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</si>
  <si>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</si>
  <si>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</si>
  <si>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</si>
  <si>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</si>
  <si>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</si>
  <si>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</si>
  <si>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</si>
  <si>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</si>
  <si>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</si>
  <si>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</si>
  <si>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</si>
  <si>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</si>
  <si>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</si>
  <si>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</si>
  <si>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</si>
  <si>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</si>
  <si>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</si>
  <si>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</si>
  <si>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</si>
  <si>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</si>
  <si>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</si>
  <si>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</si>
  <si>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</si>
  <si>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</si>
  <si>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</si>
  <si>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</si>
  <si>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</si>
  <si>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</si>
  <si>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</si>
  <si>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</si>
  <si>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</si>
  <si>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</si>
  <si>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</si>
  <si>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</si>
  <si>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</si>
  <si>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</si>
  <si>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</si>
  <si>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</si>
  <si>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</si>
  <si>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</si>
  <si>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</si>
  <si>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</si>
  <si>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</si>
  <si>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</si>
  <si>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</si>
  <si>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</si>
  <si>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</si>
  <si>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</si>
  <si>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</si>
  <si>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</si>
  <si>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</si>
  <si>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</si>
  <si>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</si>
  <si>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</si>
  <si>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</si>
  <si>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</si>
  <si>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</si>
  <si>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</si>
  <si>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</si>
  <si>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</si>
  <si>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</si>
  <si>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</si>
  <si>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</si>
  <si>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</si>
  <si>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</si>
  <si>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</si>
  <si>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</si>
  <si>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</si>
  <si>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</si>
  <si>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</si>
  <si>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</si>
  <si>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</si>
  <si>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</si>
  <si>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</si>
  <si>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</si>
  <si>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</si>
  <si>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</si>
  <si>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</si>
  <si>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</si>
  <si>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</si>
  <si>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</si>
  <si>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</si>
  <si>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</si>
  <si>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</si>
  <si>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</si>
  <si>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</si>
  <si>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</si>
  <si>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</si>
  <si>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</si>
  <si>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</si>
  <si>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</si>
  <si>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</si>
  <si>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</si>
  <si>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</si>
  <si>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</si>
  <si>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</si>
  <si>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</si>
  <si>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</si>
  <si>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</si>
  <si>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</si>
  <si>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</si>
  <si>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</si>
  <si>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</si>
  <si>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</si>
  <si>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</si>
  <si>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</si>
  <si>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</si>
  <si>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</si>
  <si>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</si>
  <si>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</si>
  <si>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</si>
  <si>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</si>
  <si>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</si>
  <si>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</si>
  <si>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</si>
  <si>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</si>
  <si>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</si>
  <si>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</si>
  <si>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</si>
  <si>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</si>
  <si>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</si>
  <si>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</si>
  <si>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</si>
  <si>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</si>
  <si>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</si>
  <si>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</si>
  <si>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</si>
  <si>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</si>
  <si>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</si>
  <si>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</si>
  <si>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</si>
  <si>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</si>
  <si>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</si>
  <si>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</si>
  <si>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</si>
  <si>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</si>
  <si>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</si>
  <si>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</si>
  <si>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</si>
  <si>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</si>
  <si>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</si>
  <si>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</si>
  <si>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</si>
  <si>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</si>
  <si>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</si>
  <si>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</si>
  <si>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</si>
  <si>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</si>
  <si>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</si>
  <si>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</si>
  <si>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</si>
  <si>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</si>
  <si>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</si>
  <si>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</si>
  <si>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</si>
  <si>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</si>
  <si>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</si>
  <si>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</si>
  <si>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</si>
  <si>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</si>
  <si>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</si>
  <si>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</si>
  <si>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</si>
  <si>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</si>
  <si>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</si>
  <si>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</si>
  <si>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</si>
  <si>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</si>
  <si>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</si>
  <si>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</si>
  <si>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</si>
  <si>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</si>
  <si>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</si>
  <si>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</si>
  <si>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</si>
  <si>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</si>
  <si>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</si>
  <si>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</si>
  <si>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</si>
  <si>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</si>
  <si>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</si>
  <si>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</si>
  <si>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</si>
  <si>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</si>
  <si>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</si>
  <si>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</si>
  <si>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</si>
  <si>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</si>
  <si>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</si>
  <si>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</si>
  <si>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</si>
  <si>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</si>
  <si>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</si>
  <si>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</si>
  <si>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</si>
  <si>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</si>
  <si>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</si>
  <si>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</si>
  <si>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</si>
  <si>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</si>
  <si>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</si>
  <si>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</si>
  <si>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</si>
  <si>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</si>
  <si>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</si>
  <si>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</si>
  <si>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</si>
  <si>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</si>
  <si>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</si>
  <si>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</si>
  <si>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</si>
  <si>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</si>
  <si>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</si>
  <si>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</si>
  <si>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</si>
  <si>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</si>
  <si>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</si>
  <si>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</si>
  <si>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</si>
  <si>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</si>
  <si>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</si>
  <si>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</si>
  <si>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</si>
  <si>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</si>
  <si>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</si>
  <si>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</si>
  <si>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</si>
  <si>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</si>
  <si>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</si>
  <si>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</si>
  <si>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</si>
  <si>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</si>
  <si>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</si>
  <si>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</si>
  <si>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</si>
  <si>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</si>
  <si>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</si>
  <si>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</si>
  <si>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</si>
  <si>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</si>
  <si>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</si>
  <si>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</si>
  <si>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</si>
  <si>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</si>
  <si>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</si>
  <si>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</si>
  <si>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</si>
  <si>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</si>
  <si>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</si>
  <si>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</si>
  <si>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</si>
  <si>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</si>
  <si>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</si>
  <si>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</si>
  <si>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</si>
  <si>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</si>
  <si>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</si>
  <si>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</si>
  <si>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</si>
  <si>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</si>
  <si>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</si>
  <si>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</si>
  <si>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</si>
  <si>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</si>
  <si>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</si>
  <si>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</si>
  <si>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</si>
  <si>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</si>
  <si>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</si>
  <si>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</si>
  <si>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</si>
  <si>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</si>
  <si>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</si>
  <si>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</si>
  <si>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</si>
  <si>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</si>
  <si>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</si>
  <si>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</si>
  <si>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</si>
  <si>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</si>
  <si>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</si>
  <si>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</si>
  <si>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</si>
  <si>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</si>
  <si>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</si>
  <si>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</si>
  <si>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</si>
  <si>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</si>
  <si>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</si>
  <si>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</si>
  <si>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</si>
  <si>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</si>
  <si>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</si>
  <si>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</si>
  <si>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</si>
  <si>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</si>
  <si>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</si>
  <si>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</si>
  <si>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</si>
  <si>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</si>
  <si>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</si>
  <si>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</si>
  <si>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</si>
  <si>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</si>
  <si>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</si>
  <si>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</si>
  <si>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</si>
  <si>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</si>
  <si>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</si>
  <si>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</si>
  <si>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</si>
  <si>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</si>
  <si>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</si>
  <si>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</si>
  <si>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</si>
  <si>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</si>
  <si>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</si>
  <si>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</si>
  <si>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</si>
  <si>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</si>
  <si>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</si>
  <si>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</si>
  <si>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</si>
  <si>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</si>
  <si>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</si>
  <si>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</si>
  <si>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</si>
  <si>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</si>
  <si>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</si>
  <si>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</si>
  <si>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</si>
  <si>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</si>
  <si>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</si>
  <si>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</si>
  <si>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</si>
  <si>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</si>
  <si>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</si>
  <si>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</si>
  <si>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</si>
  <si>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</si>
  <si>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</si>
  <si>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</si>
  <si>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</si>
  <si>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</si>
  <si>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</si>
  <si>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</si>
  <si>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</si>
  <si>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</si>
  <si>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</si>
  <si>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</si>
  <si>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</si>
  <si>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</si>
  <si>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</si>
  <si>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</si>
  <si>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</si>
  <si>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</si>
  <si>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</si>
  <si>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</si>
  <si>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</si>
  <si>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</si>
  <si>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</si>
  <si>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</si>
  <si>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</si>
  <si>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</si>
  <si>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</si>
  <si>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</si>
  <si>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</si>
  <si>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</si>
  <si>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</si>
  <si>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</si>
  <si>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</si>
  <si>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</si>
  <si>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</si>
  <si>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</si>
  <si>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</si>
  <si>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</si>
  <si>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</si>
  <si>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</si>
  <si>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</si>
  <si>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</si>
  <si>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</si>
  <si>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</si>
  <si>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</si>
  <si>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</si>
  <si>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</si>
  <si>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</si>
  <si>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</si>
  <si>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</si>
  <si>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</si>
  <si>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</si>
  <si>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</si>
  <si>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</si>
  <si>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</si>
  <si>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</si>
  <si>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</si>
  <si>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</si>
  <si>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</si>
  <si>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</si>
  <si>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</si>
  <si>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</si>
  <si>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</si>
  <si>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</si>
  <si>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</si>
  <si>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</si>
  <si>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</si>
  <si>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</si>
  <si>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</si>
  <si>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</si>
  <si>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</si>
  <si>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</si>
  <si>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</si>
  <si>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</si>
  <si>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</si>
  <si>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</si>
  <si>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</si>
  <si>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</si>
  <si>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</si>
  <si>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</si>
  <si>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</si>
  <si>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</si>
  <si>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</si>
  <si>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</si>
  <si>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</si>
  <si>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</si>
  <si>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</si>
  <si>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</si>
  <si>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</si>
  <si>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</si>
  <si>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</si>
  <si>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</si>
  <si>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</si>
  <si>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</si>
  <si>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</si>
  <si>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</si>
  <si>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</si>
  <si>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</si>
  <si>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</si>
  <si>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</si>
  <si>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</si>
  <si>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</si>
  <si>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</si>
  <si>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</si>
  <si>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</si>
  <si>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</si>
  <si>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</si>
  <si>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</si>
  <si>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</si>
  <si>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</si>
  <si>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</si>
  <si>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</si>
  <si>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</si>
  <si>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</si>
  <si>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</si>
  <si>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</si>
  <si>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</si>
  <si>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</si>
  <si>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</si>
  <si>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</si>
  <si>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</si>
  <si>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</si>
  <si>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</si>
  <si>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</si>
  <si>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</si>
  <si>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</si>
  <si>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</si>
  <si>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</si>
  <si>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</si>
  <si>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</si>
  <si>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</si>
  <si>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</si>
  <si>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</si>
  <si>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</si>
  <si>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</si>
  <si>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</si>
  <si>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</si>
  <si>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</si>
  <si>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</si>
  <si>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</si>
  <si>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</si>
  <si>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</si>
  <si>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</si>
  <si>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</si>
  <si>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</si>
  <si>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</si>
  <si>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</si>
  <si>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</si>
  <si>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</si>
  <si>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</si>
  <si>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</si>
  <si>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</si>
  <si>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</si>
  <si>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</si>
  <si>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</si>
  <si>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</si>
  <si>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</si>
  <si>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</si>
  <si>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</si>
  <si>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</si>
  <si>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</si>
  <si>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</si>
  <si>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</si>
  <si>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</si>
  <si>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</si>
  <si>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</si>
  <si>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</si>
  <si>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</si>
  <si>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</si>
  <si>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</si>
  <si>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</si>
  <si>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</si>
  <si>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</si>
  <si>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</si>
  <si>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</si>
  <si>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</si>
  <si>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</si>
  <si>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</si>
  <si>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</si>
  <si>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</si>
  <si>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</si>
  <si>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</si>
  <si>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</si>
  <si>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</si>
  <si>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</si>
  <si>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</si>
  <si>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</si>
  <si>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</si>
  <si>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</si>
  <si>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</si>
  <si>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</si>
  <si>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</si>
  <si>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</si>
  <si>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</si>
  <si>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</si>
  <si>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</si>
  <si>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</si>
  <si>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</si>
  <si>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</si>
  <si>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</si>
  <si>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</si>
  <si>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</si>
  <si>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</si>
  <si>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</si>
  <si>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</si>
  <si>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</si>
  <si>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</si>
  <si>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</si>
  <si>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</si>
  <si>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</si>
  <si>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</si>
  <si>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</si>
  <si>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</si>
  <si>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</si>
  <si>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</si>
  <si>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</si>
  <si>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</si>
  <si>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</si>
  <si>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</si>
  <si>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</si>
  <si>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</si>
  <si>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</si>
  <si>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</si>
  <si>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</si>
  <si>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</si>
  <si>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</si>
  <si>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</si>
  <si>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</si>
  <si>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</si>
  <si>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</si>
  <si>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</si>
  <si>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</si>
  <si>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</si>
  <si>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</si>
  <si>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</si>
  <si>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</si>
  <si>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</si>
  <si>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</si>
  <si>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</si>
  <si>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</si>
  <si>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</si>
  <si>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</si>
  <si>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</si>
  <si>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</si>
  <si>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</si>
  <si>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</si>
  <si>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</si>
  <si>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</si>
  <si>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</si>
  <si>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</si>
  <si>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</si>
  <si>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</si>
  <si>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</si>
  <si>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</si>
  <si>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</si>
  <si>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</si>
  <si>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</si>
  <si>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</si>
  <si>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</si>
  <si>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</si>
  <si>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</si>
  <si>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</si>
  <si>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</si>
  <si>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</si>
  <si>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</si>
  <si>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</si>
  <si>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</si>
  <si>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</si>
  <si>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</si>
  <si>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</si>
  <si>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</si>
  <si>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</si>
  <si>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</si>
  <si>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</si>
  <si>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</si>
  <si>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</si>
  <si>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</si>
  <si>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</si>
  <si>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</si>
  <si>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</si>
  <si>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</si>
  <si>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</si>
  <si>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</si>
  <si>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</si>
  <si>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</si>
  <si>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</si>
  <si>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</si>
  <si>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</si>
  <si>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</si>
  <si>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</si>
  <si>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</si>
  <si>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</si>
  <si>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</si>
  <si>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</si>
  <si>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</si>
  <si>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</si>
  <si>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</si>
  <si>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</si>
  <si>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</si>
  <si>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</si>
  <si>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</si>
  <si>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</si>
  <si>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</si>
  <si>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</si>
  <si>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</si>
  <si>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</si>
  <si>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</si>
  <si>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</si>
  <si>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</si>
  <si>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</si>
  <si>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</si>
  <si>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</si>
  <si>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</si>
  <si>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</si>
  <si>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</si>
  <si>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</si>
  <si>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</si>
  <si>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</si>
  <si>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</si>
  <si>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</si>
  <si>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</si>
  <si>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</si>
  <si>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</si>
  <si>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</si>
  <si>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</si>
  <si>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</si>
  <si>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</si>
  <si>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</si>
  <si>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</si>
  <si>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</si>
  <si>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</si>
  <si>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</si>
  <si>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</si>
  <si>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</si>
  <si>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</si>
  <si>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</si>
  <si>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</si>
  <si>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</si>
  <si>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</si>
  <si>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</si>
  <si>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</si>
  <si>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</si>
  <si>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</si>
  <si>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</si>
  <si>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</si>
  <si>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</si>
  <si>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</si>
  <si>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</si>
  <si>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</si>
  <si>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</si>
  <si>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</si>
  <si>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</si>
  <si>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</si>
  <si>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</si>
  <si>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</si>
  <si>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</si>
  <si>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</si>
  <si>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</si>
  <si>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</si>
  <si>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</si>
  <si>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</si>
  <si>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</si>
  <si>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</si>
  <si>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</si>
  <si>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</si>
  <si>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</si>
  <si>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</si>
  <si>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</si>
  <si>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</si>
  <si>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</si>
  <si>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</si>
  <si>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</si>
  <si>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</si>
  <si>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</si>
  <si>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</si>
  <si>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</si>
  <si>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</si>
  <si>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</si>
  <si>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</si>
  <si>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</si>
  <si>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</si>
  <si>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</si>
  <si>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</si>
  <si>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</si>
  <si>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</si>
  <si>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</si>
  <si>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</si>
  <si>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</si>
  <si>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</si>
  <si>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</si>
  <si>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</si>
  <si>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</si>
  <si>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</si>
  <si>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</si>
  <si>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</si>
  <si>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</si>
  <si>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</si>
  <si>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</si>
  <si>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</si>
  <si>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</si>
  <si>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</si>
  <si>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</si>
  <si>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</si>
  <si>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</si>
  <si>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</si>
  <si>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</si>
  <si>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</si>
  <si>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</si>
  <si>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</si>
  <si>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</si>
  <si>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</si>
  <si>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</si>
  <si>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</si>
  <si>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</si>
  <si>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</si>
  <si>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</si>
  <si>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</si>
  <si>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</si>
  <si>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</si>
  <si>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</si>
  <si>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</si>
  <si>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</si>
  <si>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</si>
  <si>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</si>
  <si>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</si>
  <si>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</si>
  <si>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</si>
  <si>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</si>
  <si>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</si>
  <si>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</si>
  <si>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</si>
  <si>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</si>
  <si>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</si>
  <si>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</si>
  <si>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</si>
  <si>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</si>
  <si>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</si>
  <si>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</si>
  <si>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</si>
  <si>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</si>
  <si>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</si>
  <si>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</si>
  <si>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</si>
  <si>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</si>
  <si>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</si>
  <si>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</si>
  <si>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</si>
  <si>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</si>
  <si>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</si>
  <si>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</si>
  <si>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</si>
  <si>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</si>
  <si>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</si>
  <si>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</si>
  <si>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</si>
  <si>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</si>
  <si>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</si>
  <si>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</si>
  <si>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</si>
  <si>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</si>
  <si>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</si>
  <si>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</si>
  <si>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</si>
  <si>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</si>
  <si>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</si>
  <si>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</si>
  <si>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</si>
  <si>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</si>
  <si>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</si>
  <si>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</si>
  <si>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</si>
  <si>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</si>
  <si>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</si>
  <si>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</si>
  <si>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</si>
  <si>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</si>
  <si>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</si>
  <si>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</si>
  <si>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</si>
  <si>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</si>
  <si>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</si>
  <si>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</si>
  <si>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</si>
  <si>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</si>
  <si>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</si>
  <si>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</si>
  <si>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</si>
  <si>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</si>
  <si>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</si>
  <si>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</si>
  <si>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</si>
  <si>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</si>
  <si>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</si>
  <si>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</si>
  <si>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</si>
  <si>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</si>
  <si>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</si>
  <si>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</si>
  <si>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</si>
  <si>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</si>
  <si>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</si>
  <si>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</si>
  <si>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</si>
  <si>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</si>
  <si>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</si>
  <si>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</si>
  <si>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</si>
  <si>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</si>
  <si>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</si>
  <si>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</si>
  <si>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</si>
  <si>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</si>
  <si>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</si>
  <si>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</si>
  <si>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</si>
  <si>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</si>
  <si>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</si>
  <si>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</si>
  <si>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</si>
  <si>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</si>
  <si>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</si>
  <si>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</si>
  <si>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</si>
  <si>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</si>
  <si>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</si>
  <si>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</si>
  <si>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</si>
  <si>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</si>
  <si>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</si>
  <si>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</si>
  <si>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</si>
  <si>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</si>
  <si>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</si>
  <si>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</si>
  <si>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</si>
  <si>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</si>
  <si>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</si>
  <si>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</si>
  <si>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</si>
  <si>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</si>
  <si>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</si>
  <si>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</si>
  <si>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</si>
  <si>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</si>
  <si>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</si>
  <si>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</si>
  <si>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</si>
  <si>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</si>
  <si>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</si>
  <si>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</si>
  <si>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</si>
  <si>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</si>
  <si>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</si>
  <si>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</si>
  <si>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</si>
  <si>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</si>
  <si>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</si>
  <si>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</si>
  <si>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</si>
  <si>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</si>
  <si>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</si>
  <si>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</si>
  <si>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</si>
  <si>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</si>
  <si>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</si>
  <si>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</si>
  <si>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</si>
  <si>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</si>
  <si>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</si>
  <si>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</si>
  <si>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</si>
  <si>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</si>
  <si>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</si>
  <si>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</si>
  <si>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</si>
  <si>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</si>
  <si>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</si>
  <si>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</si>
  <si>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</si>
  <si>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</si>
  <si>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</si>
  <si>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</si>
  <si>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</si>
  <si>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</si>
  <si>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</si>
  <si>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</si>
  <si>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</si>
  <si>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</si>
  <si>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</si>
  <si>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</si>
  <si>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</si>
  <si>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</si>
  <si>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</si>
  <si>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</si>
  <si>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</si>
  <si>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</si>
  <si>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</si>
  <si>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</si>
  <si>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</si>
  <si>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</si>
  <si>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</si>
  <si>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</si>
  <si>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</si>
  <si>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</si>
  <si>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</si>
  <si>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</si>
  <si>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</si>
  <si>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</si>
  <si>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</si>
  <si>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</si>
  <si>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</si>
  <si>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</si>
  <si>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</si>
  <si>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</si>
  <si>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</si>
  <si>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</si>
  <si>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</si>
  <si>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</si>
  <si>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</si>
  <si>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</si>
  <si>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</si>
  <si>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</si>
  <si>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</si>
  <si>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</si>
  <si>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</si>
  <si>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</si>
  <si>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</si>
  <si>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</si>
  <si>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</si>
  <si>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</si>
  <si>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</si>
  <si>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</si>
  <si>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</si>
  <si>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</si>
  <si>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</si>
  <si>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</si>
  <si>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</si>
  <si>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</si>
  <si>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</si>
  <si>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</si>
  <si>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</si>
  <si>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</si>
  <si>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</si>
  <si>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</si>
  <si>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</si>
  <si>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</si>
  <si>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</si>
  <si>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</si>
  <si>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</si>
  <si>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</si>
  <si>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</si>
  <si>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</si>
  <si>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</si>
  <si>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</si>
  <si>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</si>
  <si>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</si>
  <si>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</si>
  <si>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</si>
  <si>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</si>
  <si>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</si>
  <si>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</si>
  <si>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</si>
  <si>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</si>
  <si>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</si>
  <si>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</si>
  <si>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</si>
  <si>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</si>
  <si>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</si>
  <si>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</si>
  <si>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</si>
  <si>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</si>
  <si>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</si>
  <si>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</si>
  <si>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</si>
  <si>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</si>
  <si>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</si>
  <si>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</si>
  <si>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</si>
  <si>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</si>
  <si>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</si>
  <si>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</si>
  <si>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</si>
  <si>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</si>
  <si>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</si>
  <si>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</si>
  <si>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</si>
  <si>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</si>
  <si>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</si>
  <si>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</si>
  <si>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</si>
  <si>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</si>
  <si>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</si>
  <si>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</si>
  <si>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</si>
  <si>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</si>
  <si>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</si>
  <si>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</si>
  <si>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</si>
  <si>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</si>
  <si>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</si>
  <si>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</si>
  <si>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</si>
  <si>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</si>
  <si>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</si>
  <si>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</si>
  <si>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</si>
  <si>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</si>
  <si>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</si>
  <si>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</si>
  <si>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</si>
  <si>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</si>
  <si>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</si>
  <si>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</si>
  <si>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</si>
  <si>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</si>
  <si>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</si>
  <si>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</si>
  <si>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</si>
  <si>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</si>
  <si>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</si>
  <si>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</si>
  <si>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</si>
  <si>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</si>
  <si>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</si>
  <si>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</si>
  <si>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</si>
  <si>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</si>
  <si>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</si>
  <si>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</si>
  <si>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</si>
  <si>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</si>
  <si>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</si>
  <si>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</si>
  <si>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</si>
  <si>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</si>
  <si>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</si>
  <si>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</si>
  <si>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</si>
  <si>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</si>
  <si>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</si>
  <si>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</si>
  <si>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</si>
  <si>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</si>
  <si>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</si>
  <si>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</si>
  <si>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</si>
  <si>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</si>
  <si>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</si>
  <si>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</si>
  <si>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</si>
  <si>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</si>
  <si>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</si>
  <si>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</si>
  <si>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</si>
  <si>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</si>
  <si>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</si>
  <si>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</si>
  <si>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</si>
  <si>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</si>
  <si>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</si>
  <si>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</si>
  <si>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</si>
  <si>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</si>
  <si>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</si>
  <si>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</si>
  <si>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</si>
  <si>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</si>
  <si>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</si>
  <si>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</si>
  <si>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</si>
  <si>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</si>
  <si>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</si>
  <si>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</si>
  <si>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</si>
  <si>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</si>
  <si>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</si>
  <si>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</si>
  <si>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</si>
  <si>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</si>
  <si>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</si>
  <si>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</si>
  <si>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</si>
  <si>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</si>
  <si>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</si>
  <si>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</si>
  <si>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</si>
  <si>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</si>
  <si>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</si>
  <si>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</si>
  <si>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</si>
  <si>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</si>
  <si>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</si>
  <si>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</si>
  <si>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</si>
  <si>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</si>
  <si>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</si>
  <si>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</si>
  <si>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</si>
  <si>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</si>
  <si>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</si>
  <si>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</si>
  <si>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</si>
  <si>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</si>
  <si>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</si>
  <si>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</si>
  <si>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</si>
  <si>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</si>
  <si>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</si>
  <si>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</si>
  <si>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</si>
  <si>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</si>
  <si>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</si>
  <si>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</si>
  <si>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</si>
  <si>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</si>
  <si>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</si>
  <si>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</si>
  <si>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</si>
  <si>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</si>
  <si>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</si>
  <si>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</si>
  <si>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</si>
  <si>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</si>
  <si>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</si>
  <si>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</si>
  <si>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</si>
  <si>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</si>
  <si>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</si>
  <si>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</si>
  <si>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</si>
  <si>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</si>
  <si>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</si>
  <si>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</si>
  <si>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</si>
  <si>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</si>
  <si>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</si>
  <si>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</si>
  <si>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</si>
  <si>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</si>
  <si>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</si>
  <si>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</si>
  <si>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</si>
  <si>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</si>
  <si>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</si>
  <si>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</si>
  <si>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</si>
  <si>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</si>
  <si>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</si>
  <si>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</si>
  <si>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</si>
  <si>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</si>
  <si>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</si>
  <si>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</si>
  <si>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</si>
  <si>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</si>
  <si>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</si>
  <si>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</si>
  <si>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</si>
  <si>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</si>
  <si>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</si>
  <si>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</si>
  <si>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</si>
  <si>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</si>
  <si>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</si>
  <si>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</si>
  <si>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</si>
  <si>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</si>
  <si>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</si>
  <si>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</si>
  <si>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</si>
  <si>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</si>
  <si>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</si>
  <si>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</si>
  <si>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</si>
  <si>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</si>
  <si>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</si>
  <si>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</si>
  <si>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</si>
  <si>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</si>
  <si>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</si>
  <si>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</si>
  <si>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</si>
  <si>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</si>
  <si>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</si>
  <si>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</si>
  <si>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</si>
  <si>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</si>
  <si>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</si>
  <si>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</si>
  <si>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</si>
  <si>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</si>
  <si>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</si>
  <si>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</si>
  <si>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</si>
  <si>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</si>
  <si>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</si>
  <si>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</si>
  <si>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</si>
  <si>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</si>
  <si>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</si>
  <si>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</si>
  <si>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</si>
  <si>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</si>
  <si>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</si>
  <si>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</si>
  <si>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</si>
  <si>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</si>
  <si>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</si>
  <si>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</si>
  <si>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</si>
  <si>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</si>
  <si>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</si>
  <si>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</si>
  <si>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</si>
  <si>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</si>
  <si>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</si>
  <si>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</si>
  <si>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</si>
  <si>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</si>
  <si>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</si>
  <si>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</si>
  <si>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</si>
  <si>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</si>
  <si>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</si>
  <si>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</si>
  <si>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</si>
  <si>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</si>
  <si>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</si>
  <si>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</si>
  <si>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</si>
  <si>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</si>
  <si>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</si>
  <si>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</si>
  <si>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</si>
  <si>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</si>
  <si>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</si>
  <si>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</si>
  <si>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</si>
  <si>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</si>
  <si>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</si>
  <si>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</si>
  <si>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</si>
  <si>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</si>
  <si>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</si>
  <si>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</si>
  <si>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</si>
  <si>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</si>
  <si>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</si>
  <si>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</si>
  <si>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</si>
  <si>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</si>
  <si>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</si>
  <si>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</si>
  <si>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</si>
  <si>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</si>
  <si>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</si>
  <si>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</si>
  <si>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</si>
  <si>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</si>
  <si>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</si>
  <si>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</si>
  <si>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</si>
  <si>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</si>
  <si>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</si>
  <si>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</si>
  <si>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</si>
  <si>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</si>
  <si>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</si>
  <si>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</si>
  <si>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</si>
  <si>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</si>
  <si>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</si>
  <si>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</si>
  <si>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</si>
  <si>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</si>
  <si>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</si>
  <si>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</si>
  <si>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</si>
  <si>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</si>
  <si>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</si>
  <si>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</si>
  <si>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</si>
  <si>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</si>
  <si>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</si>
  <si>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</si>
  <si>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</si>
  <si>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</si>
  <si>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</si>
  <si>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</si>
  <si>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</si>
  <si>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</si>
  <si>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</si>
  <si>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</si>
  <si>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</si>
  <si>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</si>
  <si>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</si>
  <si>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</si>
  <si>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</si>
  <si>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</si>
  <si>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</si>
  <si>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</si>
  <si>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</si>
  <si>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</si>
  <si>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</si>
  <si>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</si>
  <si>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</si>
  <si>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</si>
  <si>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</si>
  <si>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</si>
  <si>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</si>
  <si>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</si>
  <si>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</si>
  <si>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</si>
  <si>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</si>
  <si>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</si>
  <si>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</si>
  <si>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</si>
  <si>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</si>
  <si>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</si>
  <si>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</si>
  <si>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</si>
  <si>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</si>
  <si>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</si>
  <si>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</si>
  <si>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</si>
  <si>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</si>
  <si>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</si>
  <si>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</si>
  <si>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</si>
  <si>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</si>
  <si>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</si>
  <si>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</si>
  <si>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</si>
  <si>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</si>
  <si>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</si>
  <si>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</si>
  <si>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</si>
  <si>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</si>
  <si>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</si>
  <si>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</si>
  <si>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</si>
  <si>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</si>
  <si>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</si>
  <si>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</si>
  <si>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</si>
  <si>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</si>
  <si>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</si>
  <si>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</si>
  <si>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</si>
  <si>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</si>
  <si>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</si>
  <si>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</si>
  <si>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</si>
  <si>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</si>
  <si>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</si>
  <si>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</si>
  <si>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</si>
  <si>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</si>
  <si>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</si>
  <si>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</si>
  <si>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</si>
  <si>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</si>
  <si>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</si>
  <si>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</si>
  <si>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</si>
  <si>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</si>
  <si>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</si>
  <si>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</si>
  <si>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</si>
  <si>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</si>
  <si>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</si>
  <si>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</si>
  <si>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</si>
  <si>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</si>
  <si>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</si>
  <si>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</si>
  <si>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</si>
  <si>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</si>
  <si>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</si>
  <si>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</si>
  <si>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</si>
  <si>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</si>
  <si>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</si>
  <si>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</si>
  <si>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</si>
  <si>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</si>
  <si>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</si>
  <si>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</si>
  <si>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</si>
  <si>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</si>
  <si>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</si>
  <si>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</si>
  <si>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</si>
  <si>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</si>
  <si>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</si>
  <si>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</si>
  <si>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</si>
  <si>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</si>
  <si>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</si>
  <si>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</si>
  <si>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</si>
  <si>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</si>
  <si>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</si>
  <si>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</si>
  <si>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</si>
  <si>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</si>
  <si>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</si>
  <si>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</si>
  <si>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</si>
  <si>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</si>
  <si>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</si>
  <si>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</si>
  <si>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</si>
  <si>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</si>
  <si>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</si>
  <si>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</si>
  <si>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</si>
  <si>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</si>
  <si>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</si>
  <si>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</si>
  <si>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</si>
  <si>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</si>
  <si>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</si>
  <si>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</si>
  <si>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</si>
  <si>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</si>
  <si>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</si>
  <si>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</si>
  <si>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</si>
  <si>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</si>
  <si>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</si>
  <si>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</si>
  <si>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</si>
  <si>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</si>
  <si>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</si>
  <si>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</si>
  <si>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</si>
  <si>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</si>
  <si>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</si>
  <si>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</si>
  <si>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</si>
  <si>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</si>
  <si>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</si>
  <si>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</si>
  <si>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</si>
  <si>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</si>
  <si>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</si>
  <si>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</si>
  <si>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</si>
  <si>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</si>
  <si>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</si>
  <si>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</si>
  <si>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</si>
  <si>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</si>
  <si>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</si>
  <si>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</si>
  <si>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</si>
  <si>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</si>
  <si>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</si>
  <si>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</si>
  <si>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</si>
  <si>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</si>
  <si>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</si>
  <si>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</si>
  <si>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</si>
  <si>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</si>
  <si>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</si>
  <si>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</si>
  <si>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</si>
  <si>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</si>
  <si>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</si>
  <si>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</si>
  <si>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</si>
  <si>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</si>
  <si>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</si>
  <si>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</si>
  <si>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</si>
  <si>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</si>
  <si>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</si>
  <si>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</si>
  <si>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</si>
  <si>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</si>
  <si>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</si>
  <si>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</si>
  <si>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</si>
  <si>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</si>
  <si>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</si>
  <si>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</si>
  <si>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</si>
  <si>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</si>
  <si>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</si>
  <si>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</si>
  <si>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</si>
  <si>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</si>
  <si>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</si>
  <si>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</si>
  <si>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</si>
  <si>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</si>
  <si>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</si>
  <si>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</si>
  <si>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</si>
  <si>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</si>
  <si>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</si>
  <si>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</si>
  <si>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</si>
  <si>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</si>
  <si>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</si>
  <si>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</si>
  <si>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</si>
  <si>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</si>
  <si>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</si>
  <si>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</si>
  <si>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</si>
  <si>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</si>
  <si>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</si>
  <si>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</si>
  <si>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</si>
  <si>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</si>
  <si>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</si>
  <si>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</si>
  <si>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</si>
  <si>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</si>
  <si>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</si>
  <si>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</si>
  <si>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</si>
  <si>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</si>
  <si>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</si>
  <si>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</si>
  <si>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</si>
  <si>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</si>
  <si>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</si>
  <si>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</si>
  <si>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</si>
  <si>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</si>
  <si>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</si>
  <si>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</si>
  <si>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</si>
  <si>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</si>
  <si>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</si>
  <si>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</si>
  <si>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</si>
  <si>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</si>
  <si>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</si>
  <si>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</si>
  <si>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</si>
  <si>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</si>
  <si>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</si>
  <si>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</si>
  <si>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</si>
  <si>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</si>
  <si>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</si>
  <si>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</si>
  <si>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</si>
  <si>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</si>
  <si>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</si>
  <si>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</si>
  <si>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</si>
  <si>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</si>
  <si>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</si>
  <si>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</si>
  <si>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</si>
  <si>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</si>
  <si>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</si>
  <si>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</si>
  <si>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</si>
  <si>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</si>
  <si>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</si>
  <si>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</si>
  <si>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</si>
  <si>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</si>
  <si>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</si>
  <si>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</si>
  <si>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</si>
  <si>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</si>
  <si>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</si>
  <si>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</si>
  <si>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</si>
  <si>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</si>
  <si>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</si>
  <si>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</si>
  <si>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</si>
  <si>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</si>
  <si>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</si>
  <si>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</si>
  <si>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</si>
  <si>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</si>
  <si>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</si>
  <si>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</si>
  <si>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</si>
  <si>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</si>
  <si>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</si>
  <si>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</si>
  <si>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</si>
  <si>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</si>
  <si>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</si>
  <si>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</si>
  <si>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</si>
  <si>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</si>
  <si>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</si>
  <si>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</si>
  <si>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</si>
  <si>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</si>
  <si>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</si>
  <si>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</si>
  <si>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</si>
  <si>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</si>
  <si>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</si>
  <si>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</si>
  <si>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</si>
  <si>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</si>
  <si>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</si>
  <si>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</si>
  <si>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</si>
  <si>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</si>
  <si>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</si>
  <si>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</si>
  <si>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</si>
  <si>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</si>
  <si>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</si>
  <si>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</si>
  <si>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</si>
  <si>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</si>
  <si>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</si>
  <si>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</si>
  <si>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</si>
  <si>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</si>
  <si>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</si>
  <si>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</si>
  <si>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</si>
  <si>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</si>
  <si>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</si>
  <si>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</si>
  <si>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</si>
  <si>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</si>
  <si>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</si>
  <si>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</si>
  <si>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</si>
  <si>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</si>
  <si>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</si>
  <si>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</si>
  <si>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</si>
  <si>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</si>
  <si>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</si>
  <si>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</si>
  <si>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</si>
  <si>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</si>
  <si>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</si>
  <si>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</si>
  <si>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</si>
  <si>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</si>
  <si>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</si>
  <si>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</si>
  <si>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</si>
  <si>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</si>
  <si>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</si>
  <si>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</si>
  <si>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</si>
  <si>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</si>
  <si>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</si>
  <si>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</si>
  <si>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</si>
  <si>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</si>
  <si>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</si>
  <si>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</si>
  <si>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</si>
  <si>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</si>
  <si>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</si>
  <si>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</si>
  <si>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</si>
  <si>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</si>
  <si>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</si>
  <si>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</si>
  <si>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</si>
  <si>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</si>
  <si>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</si>
  <si>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</si>
  <si>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</si>
  <si>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</si>
  <si>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</si>
  <si>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</si>
  <si>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</si>
  <si>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</si>
  <si>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</si>
  <si>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</si>
  <si>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</si>
  <si>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</si>
  <si>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</si>
  <si>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</si>
  <si>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</si>
  <si>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</si>
  <si>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</si>
  <si>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</si>
  <si>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</si>
  <si>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</si>
  <si>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</si>
  <si>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</si>
  <si>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</si>
  <si>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</si>
  <si>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</si>
  <si>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</si>
  <si>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</si>
  <si>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</si>
  <si>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</si>
  <si>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</si>
  <si>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</si>
  <si>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</si>
  <si>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</si>
  <si>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</si>
  <si>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</si>
  <si>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</si>
  <si>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</si>
  <si>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</si>
  <si>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</si>
  <si>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</si>
  <si>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</si>
  <si>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</si>
  <si>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</si>
  <si>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</si>
  <si>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</si>
  <si>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</si>
  <si>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</si>
  <si>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</si>
  <si>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</si>
  <si>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</si>
  <si>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</si>
  <si>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</si>
  <si>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</si>
  <si>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</si>
  <si>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</si>
  <si>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</si>
  <si>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</si>
  <si>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</si>
  <si>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</si>
  <si>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</si>
  <si>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</si>
  <si>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</si>
  <si>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</si>
  <si>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</si>
  <si>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</si>
  <si>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</si>
  <si>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</si>
  <si>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</si>
  <si>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</si>
  <si>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</si>
  <si>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</si>
  <si>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</si>
  <si>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</si>
  <si>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</si>
  <si>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</si>
  <si>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</si>
  <si>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</si>
  <si>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</si>
  <si>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</si>
  <si>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</si>
  <si>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</si>
  <si>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</si>
  <si>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</si>
  <si>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</si>
  <si>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</si>
  <si>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</si>
  <si>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</si>
  <si>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</si>
  <si>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</si>
  <si>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</si>
  <si>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</si>
  <si>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</si>
  <si>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</si>
  <si>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</si>
  <si>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</si>
  <si>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</si>
  <si>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</si>
  <si>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</si>
  <si>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</si>
  <si>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</si>
  <si>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</si>
  <si>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</si>
  <si>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</si>
  <si>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</si>
  <si>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</si>
  <si>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</si>
  <si>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</si>
  <si>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</si>
  <si>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</si>
  <si>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</si>
  <si>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</si>
  <si>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</si>
  <si>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</si>
  <si>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</si>
  <si>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</si>
  <si>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</si>
  <si>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</si>
  <si>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</si>
  <si>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</si>
  <si>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</si>
  <si>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</si>
  <si>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</si>
  <si>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</si>
  <si>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</si>
  <si>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</si>
  <si>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</si>
  <si>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</si>
  <si>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</si>
  <si>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</si>
  <si>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</si>
  <si>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</si>
  <si>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</si>
  <si>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</si>
  <si>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</si>
  <si>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</si>
  <si>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</si>
  <si>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</si>
  <si>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</si>
  <si>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</si>
  <si>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</si>
  <si>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</si>
  <si>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</si>
  <si>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</si>
  <si>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</si>
  <si>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</si>
  <si>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</si>
  <si>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</si>
  <si>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</si>
  <si>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</si>
  <si>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</si>
  <si>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</si>
  <si>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</si>
  <si>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</si>
  <si>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</si>
  <si>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</si>
  <si>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</si>
  <si>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</si>
  <si>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</si>
  <si>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</si>
  <si>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</si>
  <si>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</si>
  <si>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</si>
  <si>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</si>
  <si>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</si>
  <si>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</si>
  <si>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</si>
  <si>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</si>
  <si>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</si>
  <si>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</si>
  <si>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</si>
  <si>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</si>
  <si>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</si>
  <si>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</si>
  <si>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</si>
  <si>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</si>
  <si>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</si>
  <si>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</si>
  <si>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</si>
  <si>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</si>
  <si>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</si>
  <si>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</si>
  <si>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</si>
  <si>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</si>
  <si>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</si>
  <si>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</si>
  <si>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</si>
  <si>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</si>
  <si>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</si>
  <si>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</si>
  <si>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</si>
  <si>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</si>
  <si>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</si>
  <si>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</si>
  <si>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</si>
  <si>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</si>
  <si>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</si>
  <si>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</si>
  <si>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</si>
  <si>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</si>
  <si>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</si>
  <si>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</si>
  <si>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</si>
  <si>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</si>
  <si>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</si>
  <si>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</si>
  <si>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</si>
  <si>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</si>
  <si>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</si>
  <si>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</si>
  <si>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</si>
  <si>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</si>
  <si>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</si>
  <si>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</si>
  <si>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</si>
  <si>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</si>
  <si>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</si>
  <si>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</si>
  <si>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</si>
  <si>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</si>
  <si>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</si>
  <si>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</si>
  <si>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</si>
  <si>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</si>
  <si>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</si>
  <si>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</si>
  <si>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</si>
  <si>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</si>
  <si>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</si>
  <si>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</si>
  <si>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</si>
  <si>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</si>
  <si>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</si>
  <si>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</si>
  <si>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</si>
  <si>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</si>
  <si>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</si>
  <si>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</si>
  <si>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</si>
  <si>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</si>
  <si>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</si>
  <si>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</si>
  <si>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</si>
  <si>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</si>
  <si>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</si>
  <si>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</si>
  <si>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</si>
  <si>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</si>
  <si>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</si>
  <si>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</si>
  <si>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</si>
  <si>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</si>
  <si>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</si>
  <si>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</si>
  <si>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</si>
  <si>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</si>
  <si>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</si>
  <si>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</si>
  <si>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</si>
  <si>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</si>
  <si>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</si>
  <si>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</si>
  <si>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</si>
  <si>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</si>
  <si>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</si>
  <si>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</si>
  <si>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</si>
  <si>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</si>
  <si>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</si>
  <si>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</si>
  <si>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</si>
  <si>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</si>
  <si>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</si>
  <si>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</si>
  <si>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</si>
  <si>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</si>
  <si>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</si>
  <si>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</si>
  <si>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</si>
  <si>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</si>
  <si>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</si>
  <si>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</si>
  <si>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</si>
  <si>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</si>
  <si>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</si>
  <si>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</si>
  <si>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</si>
  <si>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</si>
  <si>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</si>
  <si>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</si>
  <si>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</si>
  <si>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</si>
  <si>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</si>
  <si>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</si>
  <si>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</si>
  <si>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</si>
  <si>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</si>
  <si>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</si>
  <si>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</si>
  <si>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</si>
  <si>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</si>
  <si>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</si>
  <si>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</si>
  <si>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</si>
  <si>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</si>
  <si>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</si>
  <si>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</si>
  <si>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</si>
  <si>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</si>
  <si>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</si>
  <si>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</si>
  <si>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</si>
  <si>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</si>
  <si>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</si>
  <si>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</si>
  <si>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</si>
  <si>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</si>
  <si>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</si>
  <si>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</si>
  <si>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</si>
  <si>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</si>
  <si>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</si>
  <si>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</si>
  <si>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</si>
  <si>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</si>
  <si>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</si>
  <si>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</si>
  <si>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</si>
  <si>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</si>
  <si>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</si>
  <si>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</si>
  <si>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</si>
  <si>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</si>
  <si>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</si>
  <si>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</si>
  <si>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</si>
  <si>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</si>
  <si>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</si>
  <si>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</si>
  <si>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</si>
  <si>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</si>
  <si>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</si>
  <si>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</si>
  <si>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</si>
  <si>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</si>
  <si>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</si>
  <si>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</si>
  <si>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</si>
  <si>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</si>
  <si>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</si>
  <si>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</si>
  <si>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</si>
  <si>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</si>
  <si>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</si>
  <si>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</si>
  <si>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</si>
  <si>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</si>
  <si>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</si>
  <si>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</si>
  <si>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</si>
  <si>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</si>
  <si>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</si>
  <si>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</si>
  <si>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</si>
  <si>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</si>
  <si>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</si>
  <si>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</si>
  <si>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</si>
  <si>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</si>
  <si>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</si>
  <si>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</si>
  <si>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</si>
  <si>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</si>
  <si>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</si>
  <si>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</si>
  <si>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</si>
  <si>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</si>
  <si>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</si>
  <si>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</si>
  <si>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</si>
  <si>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</si>
  <si>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</si>
  <si>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</si>
  <si>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</si>
  <si>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</si>
  <si>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</si>
  <si>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</si>
  <si>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</si>
  <si>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</si>
  <si>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</si>
  <si>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</si>
  <si>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</si>
  <si>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</si>
  <si>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</si>
  <si>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</si>
  <si>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</si>
  <si>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</si>
  <si>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</si>
  <si>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</si>
  <si>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</si>
  <si>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</si>
  <si>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</si>
  <si>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</si>
  <si>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</si>
  <si>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</si>
  <si>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</si>
  <si>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</si>
  <si>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</si>
  <si>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</si>
  <si>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</si>
  <si>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</si>
  <si>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</si>
  <si>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</si>
  <si>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</si>
  <si>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</si>
  <si>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</si>
  <si>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</si>
  <si>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</si>
  <si>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</si>
  <si>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</si>
  <si>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</si>
  <si>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</si>
  <si>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</si>
  <si>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</si>
  <si>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</si>
  <si>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</si>
  <si>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</si>
  <si>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</si>
  <si>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</si>
  <si>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</si>
  <si>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</si>
  <si>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</si>
  <si>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</si>
  <si>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</si>
  <si>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</si>
  <si>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</si>
  <si>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</si>
  <si>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</si>
  <si>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</si>
  <si>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</si>
  <si>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</si>
  <si>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</si>
  <si>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</si>
  <si>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</si>
  <si>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</si>
  <si>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</si>
  <si>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</si>
  <si>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</si>
  <si>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</si>
  <si>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</si>
  <si>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</si>
  <si>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</si>
  <si>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</si>
  <si>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</si>
  <si>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</si>
  <si>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</si>
  <si>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</si>
  <si>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</si>
  <si>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</si>
  <si>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</si>
  <si>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</si>
  <si>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</si>
  <si>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</si>
  <si>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</si>
  <si>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</si>
  <si>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</si>
  <si>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</si>
  <si>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</si>
  <si>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</si>
  <si>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</si>
  <si>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</si>
  <si>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</si>
  <si>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</si>
  <si>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</si>
  <si>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</si>
  <si>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</si>
  <si>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</si>
  <si>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</si>
  <si>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</si>
  <si>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</si>
  <si>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</si>
  <si>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</si>
  <si>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</si>
  <si>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</si>
  <si>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</si>
  <si>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</si>
  <si>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</si>
  <si>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</si>
  <si>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</si>
  <si>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</si>
  <si>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</si>
  <si>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</si>
  <si>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</si>
  <si>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</si>
  <si>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</si>
  <si>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</si>
  <si>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</si>
  <si>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</si>
  <si>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</si>
  <si>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</si>
  <si>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</si>
  <si>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</si>
  <si>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</si>
  <si>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</si>
  <si>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</si>
  <si>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</si>
  <si>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</si>
  <si>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</si>
  <si>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</si>
  <si>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</si>
  <si>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</si>
  <si>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</si>
  <si>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</si>
  <si>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</si>
  <si>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</si>
  <si>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</si>
  <si>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</si>
  <si>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</si>
  <si>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</si>
  <si>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</si>
  <si>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</si>
  <si>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</si>
  <si>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</si>
  <si>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</si>
  <si>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</si>
  <si>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</si>
  <si>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</si>
  <si>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</si>
  <si>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</si>
  <si>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</si>
  <si>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</si>
  <si>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</si>
  <si>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</si>
  <si>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</si>
  <si>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</si>
  <si>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</si>
  <si>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</si>
  <si>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</si>
  <si>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</si>
  <si>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</si>
  <si>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</si>
  <si>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</si>
  <si>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</si>
  <si>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</si>
  <si>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</si>
  <si>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</si>
  <si>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</si>
  <si>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</si>
  <si>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</si>
  <si>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</si>
  <si>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</si>
  <si>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</si>
  <si>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</si>
  <si>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</si>
  <si>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</si>
  <si>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</si>
  <si>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</si>
  <si>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</si>
  <si>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</si>
  <si>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</si>
  <si>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</si>
  <si>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</si>
  <si>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</si>
  <si>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</si>
  <si>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</si>
  <si>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</si>
  <si>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</si>
  <si>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</si>
  <si>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</si>
  <si>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</si>
  <si>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</si>
  <si>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</si>
  <si>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</si>
  <si>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</si>
  <si>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</si>
  <si>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</si>
  <si>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</si>
  <si>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</si>
  <si>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</si>
  <si>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</si>
  <si>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</si>
  <si>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</si>
  <si>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</si>
  <si>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</si>
  <si>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</si>
  <si>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</si>
  <si>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</si>
  <si>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</si>
  <si>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</si>
  <si>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</si>
  <si>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</si>
  <si>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</si>
  <si>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</si>
  <si>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</si>
  <si>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</si>
  <si>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</si>
  <si>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</si>
  <si>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</si>
  <si>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</si>
  <si>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</si>
  <si>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</si>
  <si>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</si>
  <si>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</si>
  <si>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</si>
  <si>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</si>
  <si>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</si>
  <si>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</si>
  <si>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</si>
  <si>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</si>
  <si>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</si>
  <si>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</si>
  <si>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</si>
  <si>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</si>
  <si>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</si>
  <si>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</si>
  <si>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</si>
  <si>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</si>
  <si>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</si>
  <si>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</si>
  <si>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</si>
  <si>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</si>
  <si>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</si>
  <si>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</si>
  <si>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</si>
  <si>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</si>
  <si>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</si>
  <si>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</si>
  <si>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</si>
  <si>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</si>
  <si>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</si>
  <si>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</si>
  <si>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</si>
  <si>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</si>
  <si>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</si>
  <si>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</si>
  <si>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</si>
  <si>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</si>
  <si>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</si>
  <si>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</si>
  <si>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</si>
  <si>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</si>
  <si>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</si>
  <si>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</si>
  <si>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</si>
  <si>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</si>
  <si>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</si>
  <si>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</si>
  <si>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</si>
  <si>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</si>
  <si>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</si>
  <si>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</si>
  <si>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</si>
  <si>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</si>
  <si>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</si>
  <si>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</si>
  <si>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</si>
  <si>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</si>
  <si>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</si>
  <si>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</si>
  <si>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</si>
  <si>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</si>
  <si>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</si>
  <si>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</si>
  <si>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</si>
  <si>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</si>
  <si>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</si>
  <si>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</si>
  <si>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</si>
  <si>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</si>
  <si>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</si>
  <si>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</si>
  <si>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</si>
  <si>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</si>
  <si>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</si>
  <si>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</si>
  <si>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</si>
  <si>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</si>
  <si>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</si>
  <si>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</si>
  <si>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</si>
  <si>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</si>
  <si>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</si>
  <si>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</si>
  <si>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</si>
  <si>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</si>
  <si>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</si>
  <si>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</si>
  <si>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</si>
  <si>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</si>
  <si>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</si>
  <si>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</si>
  <si>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</si>
  <si>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</si>
  <si>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</si>
  <si>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</si>
  <si>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</si>
  <si>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</si>
  <si>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</si>
  <si>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</si>
  <si>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</si>
  <si>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</si>
  <si>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</si>
  <si>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</si>
  <si>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</si>
  <si>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</si>
  <si>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</si>
  <si>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</si>
  <si>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</si>
  <si>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</si>
  <si>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</si>
  <si>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</si>
  <si>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</si>
  <si>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</si>
  <si>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</si>
  <si>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</si>
  <si>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</si>
  <si>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</si>
  <si>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</si>
  <si>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</si>
  <si>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</si>
  <si>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</si>
  <si>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</si>
  <si>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</si>
  <si>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</si>
  <si>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</si>
  <si>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</si>
  <si>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</si>
  <si>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</si>
  <si>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</si>
  <si>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</si>
  <si>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</si>
  <si>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</si>
  <si>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</si>
  <si>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</si>
  <si>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</si>
  <si>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</si>
  <si>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</si>
  <si>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</si>
  <si>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</si>
  <si>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</si>
  <si>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</si>
  <si>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</si>
  <si>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</si>
  <si>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</si>
  <si>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</si>
  <si>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</si>
  <si>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</si>
  <si>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</si>
  <si>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</si>
  <si>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</si>
  <si>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</si>
  <si>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</si>
  <si>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</si>
  <si>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</si>
  <si>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</si>
  <si>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</si>
  <si>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</si>
  <si>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</si>
  <si>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</si>
  <si>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</si>
  <si>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</si>
  <si>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</si>
  <si>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</si>
  <si>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</si>
  <si>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</si>
  <si>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</si>
  <si>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</si>
  <si>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</si>
  <si>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</si>
  <si>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</si>
  <si>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</si>
  <si>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</si>
  <si>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</si>
  <si>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</si>
  <si>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</si>
  <si>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</si>
  <si>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</si>
  <si>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</si>
  <si>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</si>
  <si>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</si>
  <si>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</si>
  <si>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</si>
  <si>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</si>
  <si>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</si>
  <si>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</si>
  <si>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</si>
  <si>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</si>
  <si>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</si>
  <si>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</si>
  <si>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</si>
  <si>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</si>
  <si>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</si>
  <si>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</si>
  <si>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</si>
  <si>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</si>
  <si>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</si>
  <si>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</si>
  <si>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</si>
  <si>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</si>
  <si>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</si>
  <si>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</si>
  <si>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</si>
  <si>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</si>
  <si>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</si>
  <si>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</si>
  <si>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</si>
  <si>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</si>
  <si>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</si>
  <si>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</si>
  <si>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</si>
  <si>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</si>
  <si>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</si>
  <si>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</si>
  <si>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</si>
  <si>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</si>
  <si>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</si>
  <si>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</si>
  <si>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</si>
  <si>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</si>
  <si>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</si>
  <si>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</si>
  <si>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</si>
  <si>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</si>
  <si>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</si>
  <si>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</si>
  <si>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</si>
  <si>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</si>
  <si>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</si>
  <si>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</si>
  <si>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</si>
  <si>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</si>
  <si>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</si>
  <si>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</si>
  <si>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</si>
  <si>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</si>
  <si>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</si>
  <si>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</si>
  <si>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</si>
  <si>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</si>
  <si>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</si>
  <si>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</si>
  <si>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</si>
  <si>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</si>
  <si>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</si>
  <si>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</si>
  <si>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</si>
  <si>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</si>
  <si>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</si>
  <si>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</si>
  <si>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</si>
  <si>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</si>
  <si>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</si>
  <si>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</si>
  <si>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</si>
  <si>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</si>
  <si>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</si>
  <si>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</si>
  <si>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</si>
  <si>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</si>
  <si>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</si>
  <si>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</si>
  <si>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</si>
  <si>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</si>
  <si>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</si>
  <si>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</si>
  <si>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</si>
  <si>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</si>
  <si>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</si>
  <si>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</si>
  <si>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</si>
  <si>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</si>
  <si>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</si>
  <si>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</si>
  <si>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</si>
  <si>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</si>
  <si>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</si>
  <si>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</si>
  <si>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</si>
  <si>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</si>
  <si>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</si>
  <si>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</si>
  <si>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</si>
  <si>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</si>
  <si>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</si>
  <si>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</si>
  <si>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</si>
  <si>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</si>
  <si>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</si>
  <si>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</si>
  <si>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</si>
  <si>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</si>
  <si>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</si>
  <si>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</si>
  <si>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</si>
  <si>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</si>
  <si>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</si>
  <si>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</si>
  <si>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</si>
  <si>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</si>
  <si>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</si>
  <si>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</si>
  <si>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</si>
  <si>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</si>
  <si>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</si>
  <si>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</si>
  <si>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</si>
  <si>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</si>
  <si>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</si>
  <si>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</si>
  <si>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</si>
  <si>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</si>
  <si>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</si>
  <si>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</si>
  <si>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</si>
  <si>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</si>
  <si>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</si>
  <si>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</si>
  <si>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</si>
  <si>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</si>
  <si>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</si>
  <si>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</si>
  <si>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</si>
  <si>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</si>
  <si>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</si>
  <si>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</si>
  <si>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</si>
  <si>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</si>
  <si>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</si>
  <si>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</si>
  <si>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</si>
  <si>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</si>
  <si>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</si>
  <si>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</si>
  <si>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</si>
  <si>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</si>
  <si>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</si>
  <si>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</si>
  <si>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</si>
  <si>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</si>
  <si>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</si>
  <si>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</si>
  <si>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</si>
  <si>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</si>
  <si>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</si>
  <si>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</si>
  <si>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</si>
  <si>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</si>
  <si>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</si>
  <si>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</si>
  <si>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</si>
  <si>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</si>
  <si>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</si>
  <si>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</si>
  <si>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</si>
  <si>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</si>
  <si>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</si>
  <si>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</si>
  <si>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</si>
  <si>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</si>
  <si>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</si>
  <si>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</si>
  <si>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</si>
  <si>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</si>
  <si>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</si>
  <si>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</si>
  <si>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</si>
  <si>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</si>
  <si>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</si>
  <si>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</si>
  <si>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</si>
  <si>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</si>
  <si>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</si>
  <si>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</si>
  <si>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</si>
  <si>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</si>
  <si>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</si>
  <si>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</si>
  <si>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</si>
  <si>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</si>
  <si>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</si>
  <si>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</si>
  <si>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</si>
  <si>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</si>
  <si>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</si>
  <si>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</si>
  <si>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</si>
  <si>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</si>
  <si>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</si>
  <si>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</si>
  <si>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</si>
  <si>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</si>
  <si>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</si>
  <si>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</si>
  <si>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</si>
  <si>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</si>
  <si>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</si>
  <si>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</si>
  <si>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</si>
  <si>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</si>
  <si>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</si>
  <si>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</si>
  <si>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</si>
  <si>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</si>
  <si>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</si>
  <si>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</si>
  <si>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</si>
  <si>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</si>
  <si>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</si>
  <si>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</si>
  <si>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</si>
  <si>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</si>
  <si>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</si>
  <si>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</si>
  <si>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</si>
  <si>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</si>
  <si>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</si>
  <si>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</si>
  <si>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</si>
  <si>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</si>
  <si>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</si>
  <si>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</si>
  <si>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</si>
  <si>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</si>
  <si>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</si>
  <si>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</si>
  <si>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</si>
  <si>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</si>
  <si>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</si>
  <si>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</si>
  <si>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</si>
  <si>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</si>
  <si>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</si>
  <si>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</si>
  <si>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</si>
  <si>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</si>
  <si>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</si>
  <si>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</si>
  <si>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</si>
  <si>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</si>
  <si>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</si>
  <si>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</si>
  <si>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</si>
  <si>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</si>
  <si>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</si>
  <si>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</si>
  <si>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</si>
  <si>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</si>
  <si>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</si>
  <si>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</si>
  <si>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</si>
  <si>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</si>
  <si>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</si>
  <si>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</si>
  <si>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</si>
  <si>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</si>
  <si>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</si>
  <si>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</si>
  <si>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</si>
  <si>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</si>
  <si>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</si>
  <si>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</si>
  <si>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</si>
  <si>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</si>
  <si>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</si>
  <si>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</si>
  <si>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</si>
  <si>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</si>
  <si>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</si>
  <si>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</si>
  <si>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</si>
  <si>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</si>
  <si>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</si>
  <si>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</si>
  <si>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</si>
  <si>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</si>
  <si>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</si>
  <si>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</si>
  <si>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</si>
  <si>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</si>
  <si>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</si>
  <si>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</si>
  <si>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</si>
  <si>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</si>
  <si>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</si>
  <si>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</si>
  <si>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</si>
  <si>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</si>
  <si>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</si>
  <si>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</si>
  <si>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</si>
  <si>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</si>
  <si>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</si>
  <si>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</si>
  <si>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</si>
  <si>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</si>
  <si>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</si>
  <si>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</si>
  <si>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</si>
  <si>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</si>
  <si>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</si>
  <si>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</si>
  <si>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</si>
  <si>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</si>
  <si>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</si>
  <si>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</si>
  <si>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</si>
  <si>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</si>
  <si>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</si>
  <si>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</si>
  <si>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</si>
  <si>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</si>
  <si>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</si>
  <si>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</si>
  <si>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</si>
  <si>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</si>
  <si>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</si>
  <si>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</si>
  <si>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</si>
  <si>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</si>
  <si>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</si>
  <si>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</si>
  <si>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</si>
  <si>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</si>
  <si>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</si>
  <si>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</si>
  <si>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</si>
  <si>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</si>
  <si>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</si>
  <si>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</si>
  <si>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</si>
  <si>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</si>
  <si>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</si>
  <si>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</si>
  <si>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</si>
  <si>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</si>
  <si>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</si>
  <si>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</si>
  <si>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</si>
  <si>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</si>
  <si>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</si>
  <si>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</si>
  <si>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</si>
  <si>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</si>
  <si>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</si>
  <si>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</si>
  <si>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</si>
  <si>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</si>
  <si>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</si>
  <si>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</si>
  <si>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</si>
  <si>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</si>
  <si>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</si>
  <si>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</si>
  <si>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</si>
  <si>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</si>
  <si>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</si>
  <si>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</si>
  <si>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</si>
  <si>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</si>
  <si>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</si>
  <si>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</si>
  <si>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</si>
  <si>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</si>
  <si>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</si>
  <si>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</si>
  <si>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</si>
  <si>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</si>
  <si>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</si>
  <si>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</si>
  <si>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</si>
  <si>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</si>
  <si>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</si>
  <si>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</si>
  <si>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</si>
  <si>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</si>
  <si>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</si>
  <si>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</si>
  <si>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</si>
  <si>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</si>
  <si>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</si>
  <si>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</si>
  <si>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</si>
  <si>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</si>
  <si>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</si>
  <si>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</si>
  <si>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</si>
  <si>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</si>
  <si>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</si>
  <si>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</si>
  <si>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</si>
  <si>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</si>
  <si>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</si>
  <si>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</si>
  <si>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</si>
  <si>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</si>
  <si>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</si>
  <si>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</si>
  <si>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</si>
  <si>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</si>
  <si>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</si>
  <si>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</si>
  <si>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</si>
  <si>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</si>
  <si>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</si>
  <si>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</si>
  <si>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</si>
  <si>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</si>
  <si>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</si>
  <si>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</si>
  <si>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</si>
  <si>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</si>
  <si>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</si>
  <si>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</si>
  <si>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</si>
  <si>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</si>
  <si>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</si>
  <si>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</si>
  <si>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</si>
  <si>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</si>
  <si>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</si>
  <si>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</si>
  <si>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</si>
  <si>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</si>
  <si>
    <t>基准地价级别楼面地价</t>
    <phoneticPr fontId="224" type="noConversion"/>
  </si>
  <si>
    <t>比例</t>
    <phoneticPr fontId="224" type="noConversion"/>
  </si>
  <si>
    <t>最低价</t>
    <phoneticPr fontId="224" type="noConversion"/>
  </si>
  <si>
    <t>政府土地出让收益总价</t>
    <phoneticPr fontId="224" type="noConversion"/>
  </si>
  <si>
    <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phoneticPr fontId="224" type="noConversion"/>
  </si>
  <si>
    <t>楼面熟地价</t>
  </si>
  <si>
    <t>地下科研</t>
  </si>
  <si>
    <t>VII-顺2</t>
    <phoneticPr fontId="224" type="noConversion"/>
  </si>
  <si>
    <t>所在级别基准地价</t>
    <phoneticPr fontId="224" type="noConversion"/>
  </si>
  <si>
    <t>租金</t>
    <phoneticPr fontId="27" type="noConversion"/>
  </si>
  <si>
    <t>用途</t>
    <phoneticPr fontId="224" type="noConversion"/>
  </si>
  <si>
    <t>期日</t>
    <phoneticPr fontId="224" type="noConversion"/>
  </si>
  <si>
    <t>年期</t>
    <phoneticPr fontId="224" type="noConversion"/>
  </si>
  <si>
    <t>容积率</t>
    <phoneticPr fontId="224" type="noConversion"/>
  </si>
  <si>
    <t>地下空间</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</si>
</sst>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
      <b/>
      <sz val="9"/>
      <color rgb="FF000000"/>
      <name val="KaiTi"/>
      <family val="3"/>
      <charset val="134"/>
    </font>
    <font>
      <sz val="9"/>
      <color rgb="FF000000"/>
      <name val="KaiTi"/>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29">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xf numFmtId="10" fontId="0" fillId="0" borderId="0" xfId="0" applyNumberFormat="1">
      <alignment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0" fontId="71" fillId="28" borderId="2" xfId="2" applyNumberFormat="1" applyFont="1" applyFill="1" applyBorder="1" applyAlignment="1" applyProtection="1">
      <alignment horizontal="left" vertical="center"/>
    </xf>
    <xf numFmtId="0" fontId="324" fillId="0" borderId="82" xfId="0" applyFont="1" applyBorder="1" applyAlignment="1">
      <alignment vertical="center" wrapText="1"/>
    </xf>
    <xf numFmtId="0" fontId="324" fillId="0" borderId="38" xfId="0" applyFont="1" applyBorder="1" applyAlignment="1">
      <alignmen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325" fillId="0" borderId="35" xfId="0" applyFont="1" applyBorder="1" applyAlignment="1">
      <alignment horizontal="center" vertical="center" wrapText="1"/>
    </xf>
    <xf numFmtId="0" fontId="325" fillId="0" borderId="80" xfId="0" applyFont="1" applyBorder="1" applyAlignment="1">
      <alignment horizontal="center" vertical="center" wrapText="1"/>
    </xf>
    <xf numFmtId="0" fontId="324" fillId="0" borderId="35" xfId="0" applyFont="1" applyBorder="1" applyAlignment="1">
      <alignment horizontal="center" vertical="center" wrapText="1"/>
    </xf>
    <xf numFmtId="0" fontId="324" fillId="0" borderId="80" xfId="0" applyFont="1" applyBorder="1" applyAlignment="1">
      <alignment horizontal="center" vertical="center" wrapText="1"/>
    </xf>
    <xf numFmtId="0" fontId="325" fillId="0" borderId="35" xfId="0" applyFont="1" applyBorder="1" applyAlignment="1">
      <alignment vertical="center" wrapText="1"/>
    </xf>
    <xf numFmtId="0" fontId="325" fillId="0" borderId="80" xfId="0" applyFont="1" applyBorder="1" applyAlignment="1">
      <alignment vertical="center" wrapText="1"/>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322" fillId="0" borderId="66" xfId="0" applyFont="1" applyBorder="1" applyAlignment="1">
      <alignment horizontal="center" vertical="center" wrapText="1"/>
    </xf>
    <xf numFmtId="0" fontId="318" fillId="0" borderId="82" xfId="0" applyFont="1" applyBorder="1" applyAlignment="1">
      <alignment horizontal="center" vertical="center" wrapText="1"/>
    </xf>
    <xf numFmtId="0" fontId="318" fillId="0" borderId="38" xfId="0" applyFont="1" applyBorder="1" applyAlignment="1">
      <alignment horizontal="center" vertical="center" wrapText="1"/>
    </xf>
    <xf numFmtId="0" fontId="323" fillId="0" borderId="80" xfId="0" applyFont="1" applyBorder="1" applyAlignment="1">
      <alignment horizontal="center" vertical="center"/>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198" fontId="312" fillId="0" borderId="19" xfId="21" applyFont="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198" fontId="311" fillId="0" borderId="0" xfId="2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19" xfId="21" applyBorder="1" applyAlignment="1">
      <alignment horizontal="center" vertical="center"/>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08" fillId="6" borderId="2" xfId="0" applyFont="1" applyFill="1" applyBorder="1" applyAlignment="1" applyProtection="1">
      <alignment horizontal="center" vertical="center"/>
      <protection locked="0"/>
    </xf>
  </cellXfs>
  <cellStyles count="22">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3" xfId="21"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141817</xdr:colOff>
      <xdr:row>0</xdr:row>
      <xdr:rowOff>0</xdr:rowOff>
    </xdr:from>
    <xdr:to>
      <xdr:col>17</xdr:col>
      <xdr:colOff>379498</xdr:colOff>
      <xdr:row>24</xdr:row>
      <xdr:rowOff>107950</xdr:rowOff>
    </xdr:to>
    <xdr:pic>
      <xdr:nvPicPr>
        <xdr:cNvPr id="2" name="图片 1">
          <a:extLst>
            <a:ext uri="{FF2B5EF4-FFF2-40B4-BE49-F238E27FC236}">
              <a16:creationId xmlns:a16="http://schemas.microsoft.com/office/drawing/2014/main" id="{5740B688-CEF2-4122-B92E-9ECF43B2CC4A}"/>
            </a:ext>
          </a:extLst>
        </xdr:cNvPr>
        <xdr:cNvPicPr>
          <a:picLocks noChangeAspect="1"/>
        </xdr:cNvPicPr>
      </xdr:nvPicPr>
      <xdr:blipFill>
        <a:blip xmlns:r="http://schemas.openxmlformats.org/officeDocument/2006/relationships" r:embed="rId1"/>
        <a:stretch>
          <a:fillRect/>
        </a:stretch>
      </xdr:blipFill>
      <xdr:spPr>
        <a:xfrm>
          <a:off x="10725150" y="0"/>
          <a:ext cx="3539681" cy="3589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136071</xdr:colOff>
      <xdr:row>0</xdr:row>
      <xdr:rowOff>95251</xdr:rowOff>
    </xdr:from>
    <xdr:to>
      <xdr:col>24</xdr:col>
      <xdr:colOff>389643</xdr:colOff>
      <xdr:row>23</xdr:row>
      <xdr:rowOff>64810</xdr:rowOff>
    </xdr:to>
    <xdr:pic>
      <xdr:nvPicPr>
        <xdr:cNvPr id="26" name="图片 25">
          <a:extLst>
            <a:ext uri="{FF2B5EF4-FFF2-40B4-BE49-F238E27FC236}">
              <a16:creationId xmlns:a16="http://schemas.microsoft.com/office/drawing/2014/main" id="{D7EFE573-0C81-4B40-B1D4-6DCAA6C59505}"/>
            </a:ext>
          </a:extLst>
        </xdr:cNvPr>
        <xdr:cNvPicPr>
          <a:picLocks noChangeAspect="1"/>
        </xdr:cNvPicPr>
      </xdr:nvPicPr>
      <xdr:blipFill>
        <a:blip xmlns:r="http://schemas.openxmlformats.org/officeDocument/2006/relationships" r:embed="rId8"/>
        <a:stretch>
          <a:fillRect/>
        </a:stretch>
      </xdr:blipFill>
      <xdr:spPr>
        <a:xfrm>
          <a:off x="9661071" y="95251"/>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0">
          <cell r="C40"/>
          <cell r="F40"/>
        </row>
        <row r="42">
          <cell r="C42"/>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32106.47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2023年5月30日（评估专业人员勘察现场之日）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根据《国有土地使用证》[]，估价对象（分摊）出让国有建设用地使用权面积为12128平方米。根据《建设工程规划许可证》[]、《出让合同》[]，估价对象规划建筑面积为32106.47平方米。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估价期日：2023年5月30日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32106.47</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45076</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-123.49</v>
      </c>
      <c r="D5" s="2946">
        <f>IF(ISERROR(ROUND(POWER(1+E5,A5-C5)*(POWER(1+E5,C5)-1)/(POWER(1+E5,A5)-1),3)),0,ROUND(POWER(1+E5,A5-C5)*(POWER(1+E5,C5)-1)/(POWER(1+E5,A5)-1),4))</f>
        <v>0</v>
      </c>
      <c r="E5" s="2947"/>
      <c r="F5" s="2940"/>
    </row>
    <row r="6" spans="1:6">
      <c r="A6" s="2945"/>
      <c r="B6" s="2942"/>
      <c r="C6" s="2944">
        <f>ROUNDDOWN(MIN((B6-B3)/365,A6),2)</f>
        <v>-123.49</v>
      </c>
      <c r="D6" s="2946">
        <f>IF(ISERROR(ROUND(POWER(1+E6,A6-C6)*(POWER(1+E6,C6)-1)/(POWER(1+E6,A6)-1),3)),0,ROUND(POWER(1+E6,A6-C6)*(POWER(1+E6,C6)-1)/(POWER(1+E6,A6)-1),4))</f>
        <v>0</v>
      </c>
      <c r="E6" s="2947"/>
      <c r="F6" s="2940"/>
    </row>
    <row r="7" spans="1:6">
      <c r="A7" s="2945"/>
      <c r="B7" s="2942"/>
      <c r="C7" s="2944">
        <f>ROUNDDOWN(MIN((B7-B3)/365,A7),2)</f>
        <v>-123.49</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80" zoomScaleNormal="100" zoomScaleSheetLayoutView="80" workbookViewId="0">
      <selection activeCell="B8" sqref="B8"/>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4002" t="str">
        <f>IF(B10="北京市","北京市",C10)&amp;F10&amp;A17&amp;"国有建设用地使用权"&amp;B9&amp;"预评估"</f>
        <v>北京市出让国有建设用地使用权市场价格预评估</v>
      </c>
      <c r="C1" s="4003"/>
      <c r="D1" s="4003"/>
      <c r="E1" s="4003"/>
      <c r="F1" s="4003"/>
      <c r="G1" s="4003"/>
      <c r="H1" s="4003"/>
      <c r="I1" s="4004"/>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f>B3</f>
        <v>45076</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4008"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4009"/>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4005"/>
      <c r="C12" s="4006"/>
      <c r="D12" s="4007"/>
      <c r="E12" s="1333" t="s">
        <v>1498</v>
      </c>
      <c r="F12" s="4023" t="s">
        <v>2071</v>
      </c>
      <c r="G12" s="4024"/>
      <c r="H12" s="4024"/>
      <c r="I12" s="4025"/>
      <c r="J12" s="2508"/>
      <c r="K12" s="2491"/>
      <c r="L12" s="2487"/>
      <c r="M12" s="2487"/>
      <c r="N12" s="2488"/>
      <c r="O12" s="2489"/>
      <c r="P12" s="2488"/>
      <c r="Q12" s="2488"/>
      <c r="R12" s="2488"/>
      <c r="S12" s="2488"/>
      <c r="T12" s="2488"/>
      <c r="U12" s="2488"/>
    </row>
    <row r="13" spans="1:21">
      <c r="A13" s="1324" t="s">
        <v>1496</v>
      </c>
      <c r="B13" s="4005"/>
      <c r="C13" s="4006"/>
      <c r="D13" s="4007"/>
      <c r="E13" s="1333" t="s">
        <v>1498</v>
      </c>
      <c r="F13" s="4023" t="s">
        <v>2072</v>
      </c>
      <c r="G13" s="4024"/>
      <c r="H13" s="4024"/>
      <c r="I13" s="4025"/>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
      </c>
      <c r="O16" s="1879" t="str">
        <f>IF(F17="","",F16&amp;TEXT(F17,"yyyy年m月d日;;"))</f>
        <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c r="G17" s="2986"/>
      <c r="H17" s="2986">
        <f>E17</f>
        <v>63339</v>
      </c>
      <c r="I17" s="2986">
        <f>E17</f>
        <v>63339</v>
      </c>
      <c r="J17" s="2508"/>
      <c r="K17" s="2486" t="str">
        <f>CONCATENATE(K16,L16,M16,N16,O16,P16,Q16,R16,S16,T16,,U16)</f>
        <v>商业2063年5月30日、办公2073年5月30日工业2073年5月30日、公共服务2073年5月30日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4020"/>
      <c r="E20" s="4021"/>
      <c r="F20" s="4021"/>
      <c r="G20" s="4021"/>
      <c r="H20" s="4021"/>
      <c r="I20" s="4022"/>
      <c r="J20" s="2508"/>
      <c r="K20" s="2491"/>
      <c r="L20" s="2487"/>
      <c r="M20" s="2487"/>
      <c r="N20" s="2488"/>
      <c r="O20" s="2489"/>
      <c r="P20" s="2488"/>
      <c r="Q20" s="2488"/>
      <c r="R20" s="2488"/>
      <c r="S20" s="2488"/>
      <c r="T20" s="2488"/>
      <c r="U20" s="2488"/>
    </row>
    <row r="21" spans="1:21">
      <c r="A21" s="1391" t="s">
        <v>1395</v>
      </c>
      <c r="B21" s="1392" t="s">
        <v>1396</v>
      </c>
      <c r="C21" s="1387">
        <f>'数据-汇总表'!E3</f>
        <v>32106.47</v>
      </c>
      <c r="D21" s="1388" t="s">
        <v>1397</v>
      </c>
      <c r="E21" s="4010" t="s">
        <v>1435</v>
      </c>
      <c r="F21" s="4011"/>
      <c r="G21" s="4011"/>
      <c r="H21" s="4011"/>
      <c r="I21" s="4012"/>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4010" t="s">
        <v>2073</v>
      </c>
      <c r="F22" s="4011"/>
      <c r="G22" s="4011"/>
      <c r="H22" s="4011"/>
      <c r="I22" s="4012"/>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4013" t="s">
        <v>1403</v>
      </c>
      <c r="C24" s="4014"/>
      <c r="D24" s="4015" t="s">
        <v>1404</v>
      </c>
      <c r="E24" s="4016"/>
      <c r="F24" s="1341" t="s">
        <v>1405</v>
      </c>
      <c r="G24" s="2508"/>
      <c r="H24" s="2508"/>
      <c r="I24" s="2512"/>
      <c r="J24" s="2508"/>
      <c r="K24" s="4001"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4001"/>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4001"/>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3987" t="s">
        <v>1438</v>
      </c>
      <c r="B31" s="1392" t="s">
        <v>1439</v>
      </c>
      <c r="C31" s="4026" t="s">
        <v>3168</v>
      </c>
      <c r="D31" s="4027"/>
      <c r="E31" s="2508"/>
      <c r="F31" s="2508"/>
      <c r="G31" s="2508"/>
      <c r="H31" s="2508"/>
      <c r="I31" s="2512"/>
      <c r="J31" s="2508"/>
      <c r="K31" s="2494"/>
      <c r="L31" s="2488"/>
      <c r="M31" s="2488"/>
      <c r="N31" s="2488"/>
      <c r="O31" s="2488"/>
      <c r="P31" s="2488"/>
      <c r="Q31" s="2488"/>
      <c r="R31" s="2488"/>
      <c r="S31" s="2488"/>
      <c r="T31" s="2488"/>
      <c r="U31" s="2488"/>
    </row>
    <row r="32" spans="1:21">
      <c r="A32" s="3987"/>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3987"/>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3988"/>
      <c r="B34" s="1303" t="s">
        <v>1442</v>
      </c>
      <c r="C34" s="3989"/>
      <c r="D34" s="3990"/>
      <c r="E34" s="2508"/>
      <c r="F34" s="2508"/>
      <c r="G34" s="2508"/>
      <c r="H34" s="2508"/>
      <c r="I34" s="2512"/>
      <c r="J34" s="2508"/>
      <c r="K34" s="2494"/>
      <c r="L34" s="2488"/>
      <c r="M34" s="2488"/>
      <c r="N34" s="2488"/>
      <c r="O34" s="2488"/>
      <c r="P34" s="2488"/>
      <c r="Q34" s="2488"/>
      <c r="R34" s="2488"/>
      <c r="S34" s="2488"/>
      <c r="T34" s="2488"/>
      <c r="U34" s="2488"/>
    </row>
    <row r="35" spans="1:28">
      <c r="A35" s="3991" t="s">
        <v>785</v>
      </c>
      <c r="B35" s="1355" t="s">
        <v>3169</v>
      </c>
      <c r="C35" s="1401" t="str">
        <f>IF(B35="场地平整","——","具体情况：")</f>
        <v>——</v>
      </c>
      <c r="D35" s="3993"/>
      <c r="E35" s="3994"/>
      <c r="F35" s="3994"/>
      <c r="G35" s="3994"/>
      <c r="H35" s="3994"/>
      <c r="I35" s="3995"/>
      <c r="J35" s="2508"/>
      <c r="K35" s="2495"/>
      <c r="L35" s="2487"/>
      <c r="M35" s="2487"/>
      <c r="N35" s="2488"/>
      <c r="O35" s="2489"/>
      <c r="P35" s="2488"/>
      <c r="Q35" s="2488"/>
      <c r="R35" s="2488"/>
      <c r="S35" s="2488"/>
      <c r="T35" s="2488"/>
      <c r="U35" s="2488"/>
    </row>
    <row r="36" spans="1:28">
      <c r="A36" s="3987"/>
      <c r="B36" s="3996" t="s">
        <v>1491</v>
      </c>
      <c r="C36" s="3997"/>
      <c r="D36" s="1417" t="s">
        <v>2679</v>
      </c>
      <c r="E36" s="3998"/>
      <c r="F36" s="3998"/>
      <c r="G36" s="1324" t="str">
        <f>IF(B35="场地未平整","估价结果处理","")</f>
        <v/>
      </c>
      <c r="H36" s="3999"/>
      <c r="I36" s="3999"/>
      <c r="J36" s="2508"/>
      <c r="K36" s="2495"/>
      <c r="L36" s="2487"/>
      <c r="M36" s="2487"/>
      <c r="N36" s="2488"/>
      <c r="O36" s="2489"/>
      <c r="P36" s="2488"/>
      <c r="Q36" s="2488"/>
      <c r="R36" s="2488"/>
      <c r="S36" s="2488"/>
      <c r="T36" s="2488"/>
      <c r="U36" s="2488"/>
    </row>
    <row r="37" spans="1:28" ht="28.5">
      <c r="A37" s="3987"/>
      <c r="B37" s="4017"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3987"/>
      <c r="B38" s="4018"/>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3988"/>
      <c r="B39" s="4019"/>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4000" t="s">
        <v>1422</v>
      </c>
      <c r="T40" s="1364" t="str">
        <f>NUMBERSTRING(7-K40,1)&amp;"通"</f>
        <v>七通</v>
      </c>
      <c r="U40" s="2488"/>
    </row>
    <row r="41" spans="1:28">
      <c r="A41" s="1305"/>
      <c r="B41" s="3992" t="s">
        <v>1250</v>
      </c>
      <c r="C41" s="3992"/>
      <c r="D41" s="3992"/>
      <c r="E41" s="3992"/>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4000"/>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K16" sqref="AK16"/>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32106.47</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32106.47</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3023.92</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3023.92</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32106.47</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3023.92</v>
      </c>
      <c r="BM5" s="26">
        <f t="shared" si="1"/>
        <v>0</v>
      </c>
      <c r="BN5" s="26">
        <f t="shared" si="1"/>
        <v>0</v>
      </c>
      <c r="BO5" s="26">
        <f t="shared" si="1"/>
        <v>0</v>
      </c>
      <c r="BP5" s="26">
        <f t="shared" si="1"/>
        <v>0</v>
      </c>
      <c r="BQ5" s="26">
        <f t="shared" si="1"/>
        <v>0</v>
      </c>
      <c r="BR5" s="26">
        <f t="shared" si="1"/>
        <v>3023.92</v>
      </c>
      <c r="BS5" s="26">
        <f t="shared" si="1"/>
        <v>0</v>
      </c>
      <c r="BT5" s="27">
        <f t="shared" si="1"/>
        <v>0</v>
      </c>
    </row>
    <row r="6" spans="1:72" s="34" customFormat="1" ht="12.75">
      <c r="A6" s="23" t="s">
        <v>135</v>
      </c>
      <c r="B6" s="28"/>
      <c r="C6" s="28"/>
      <c r="D6" s="29"/>
      <c r="E6" s="24">
        <f>H6+AC6+AT6</f>
        <v>12128</v>
      </c>
      <c r="F6" s="24" t="s">
        <v>0</v>
      </c>
      <c r="G6" s="24" t="s">
        <v>1</v>
      </c>
      <c r="H6" s="30">
        <f>SUMIF(I$12:AB$12,"总值",I6:AB6)</f>
        <v>10985.73</v>
      </c>
      <c r="I6" s="24">
        <f t="shared" ref="I6:AB6" si="2">ROUND($A$3*I5/$B$3,2)</f>
        <v>10985.73</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1142.27</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1142.27</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10985.73</v>
      </c>
      <c r="BB6" s="24">
        <f>ROUND($AY$6*BB5/$AZ$5,2)</f>
        <v>10985.73</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1142.27</v>
      </c>
      <c r="BM6" s="24">
        <f t="shared" si="5"/>
        <v>0</v>
      </c>
      <c r="BN6" s="24">
        <f t="shared" si="5"/>
        <v>0</v>
      </c>
      <c r="BO6" s="24">
        <f t="shared" si="5"/>
        <v>0</v>
      </c>
      <c r="BP6" s="24">
        <f t="shared" si="5"/>
        <v>0</v>
      </c>
      <c r="BQ6" s="24">
        <f t="shared" si="5"/>
        <v>0</v>
      </c>
      <c r="BR6" s="24">
        <f t="shared" si="5"/>
        <v>1142.27</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32106.47</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3023.92</v>
      </c>
      <c r="AD13" s="2205"/>
      <c r="AE13" s="2205"/>
      <c r="AF13" s="2205"/>
      <c r="AG13" s="2205"/>
      <c r="AH13" s="2205"/>
      <c r="AI13" s="2205"/>
      <c r="AJ13" s="2205"/>
      <c r="AK13" s="2205"/>
      <c r="AL13" s="2205"/>
      <c r="AM13" s="2205"/>
      <c r="AN13" s="2205">
        <f>面积表!F10</f>
        <v>3023.92</v>
      </c>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32106.47</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3023.92</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3023.92</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37" t="s">
        <v>169</v>
      </c>
      <c r="B2" s="4037"/>
      <c r="C2" s="4037"/>
      <c r="D2" s="1557" t="s">
        <v>170</v>
      </c>
      <c r="E2" s="101" t="s">
        <v>171</v>
      </c>
      <c r="F2" s="2517"/>
      <c r="G2" s="975"/>
      <c r="H2" s="976"/>
      <c r="I2" s="977" t="s">
        <v>795</v>
      </c>
      <c r="J2" s="2517"/>
      <c r="K2" s="2517"/>
      <c r="L2" s="2517"/>
      <c r="M2" s="2517"/>
      <c r="N2" s="2517"/>
      <c r="O2" s="2517"/>
      <c r="P2" s="2517"/>
    </row>
    <row r="3" spans="1:16" ht="15.75" thickBot="1">
      <c r="A3" s="4038" t="s">
        <v>172</v>
      </c>
      <c r="B3" s="4038"/>
      <c r="C3" s="4038"/>
      <c r="D3" s="102">
        <f>'数据-基础表'!AY6</f>
        <v>12128</v>
      </c>
      <c r="E3" s="102">
        <f>'数据-基础表'!AZ5</f>
        <v>32106.47</v>
      </c>
      <c r="F3" s="2517"/>
      <c r="G3" s="170" t="s">
        <v>796</v>
      </c>
      <c r="H3" s="165" t="s">
        <v>797</v>
      </c>
      <c r="I3" s="1558">
        <f>ROUND('数据-基础表'!B3/'数据-基础表'!A3,2)</f>
        <v>2.65</v>
      </c>
      <c r="J3" s="2517"/>
      <c r="K3" s="2517"/>
      <c r="L3" s="2517"/>
      <c r="M3" s="2517"/>
      <c r="N3" s="2517"/>
      <c r="O3" s="2517"/>
      <c r="P3" s="2517"/>
    </row>
    <row r="4" spans="1:16" ht="15">
      <c r="A4" s="4039"/>
      <c r="B4" s="4040"/>
      <c r="C4" s="4041"/>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42" t="s">
        <v>196</v>
      </c>
      <c r="C5" s="4042"/>
      <c r="D5" s="106">
        <f>ROUND($D$3*E5/$E$3,2)</f>
        <v>0</v>
      </c>
      <c r="E5" s="107">
        <f>SUMIF('数据-基础表'!$11:$11,"住宅",'数据-基础表'!$5:$5)</f>
        <v>0</v>
      </c>
      <c r="F5" s="2517"/>
      <c r="G5" s="170" t="s">
        <v>799</v>
      </c>
      <c r="H5" s="165" t="s">
        <v>797</v>
      </c>
      <c r="I5" s="1558">
        <f>ROUND(E31/D31,2)</f>
        <v>2.65</v>
      </c>
      <c r="J5" s="2517"/>
      <c r="K5" s="2517"/>
      <c r="L5" s="2517"/>
      <c r="M5" s="2517"/>
      <c r="N5" s="2517"/>
      <c r="O5" s="2517"/>
      <c r="P5" s="2517"/>
    </row>
    <row r="6" spans="1:16" ht="15" thickBot="1">
      <c r="A6" s="108"/>
      <c r="B6" s="4042" t="s">
        <v>174</v>
      </c>
      <c r="C6" s="4042"/>
      <c r="D6" s="106">
        <f>ROUND($D$3*E6/$E$3,2)</f>
        <v>12128</v>
      </c>
      <c r="E6" s="107">
        <f>E3-E5</f>
        <v>32106.47</v>
      </c>
      <c r="F6" s="2517"/>
      <c r="G6" s="978"/>
      <c r="H6" s="165" t="s">
        <v>798</v>
      </c>
      <c r="I6" s="1558">
        <f>ROUND(F31/D31,2)</f>
        <v>2.4</v>
      </c>
      <c r="J6" s="2517"/>
      <c r="K6" s="2517"/>
      <c r="L6" s="2517"/>
      <c r="M6" s="2517"/>
      <c r="N6" s="2517"/>
      <c r="O6" s="2517"/>
      <c r="P6" s="2517"/>
    </row>
    <row r="7" spans="1:16" ht="15">
      <c r="A7" s="4034"/>
      <c r="B7" s="4035"/>
      <c r="C7" s="4036"/>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10985.73</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10985.73</v>
      </c>
      <c r="E16" s="115">
        <f>SUM(E8:E15)</f>
        <v>29082.55</v>
      </c>
      <c r="F16" s="2517"/>
      <c r="G16" s="2518"/>
      <c r="H16" s="811" t="s">
        <v>185</v>
      </c>
      <c r="I16" s="812"/>
      <c r="J16" s="1561"/>
      <c r="K16" s="4028" t="s">
        <v>1758</v>
      </c>
      <c r="L16" s="4029"/>
      <c r="M16" s="4029"/>
      <c r="N16" s="4029"/>
      <c r="O16" s="4029"/>
      <c r="P16" s="4030"/>
    </row>
    <row r="17" spans="1:19" ht="15">
      <c r="A17" s="116" t="s">
        <v>182</v>
      </c>
      <c r="B17" s="117" t="s">
        <v>183</v>
      </c>
      <c r="C17" s="1811" t="s">
        <v>1587</v>
      </c>
      <c r="D17" s="103" t="s">
        <v>170</v>
      </c>
      <c r="E17" s="118" t="s">
        <v>171</v>
      </c>
      <c r="F17" s="119"/>
      <c r="G17" s="1076"/>
      <c r="H17" s="813" t="s">
        <v>184</v>
      </c>
      <c r="I17" s="814" t="s">
        <v>1586</v>
      </c>
      <c r="J17" s="1561"/>
      <c r="K17" s="4031" t="s">
        <v>1759</v>
      </c>
      <c r="L17" s="4032"/>
      <c r="M17" s="4033"/>
      <c r="N17" s="4031" t="s">
        <v>1760</v>
      </c>
      <c r="O17" s="4032"/>
      <c r="P17" s="4033"/>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10985.73</v>
      </c>
      <c r="E19" s="127">
        <f t="shared" ref="E19:E26" si="2">SUM(F19:G19)</f>
        <v>29082.55</v>
      </c>
      <c r="F19" s="2519">
        <f>'数据-基础表'!I13</f>
        <v>29082.55</v>
      </c>
      <c r="G19" s="2520"/>
      <c r="H19" s="817">
        <f>ROUND($D$3*I19/$E$3,2)</f>
        <v>1142.27</v>
      </c>
      <c r="I19" s="111">
        <f>IF($I$17="自定义",P19,M19)</f>
        <v>3023.92</v>
      </c>
      <c r="J19" s="1561"/>
      <c r="K19" s="1980">
        <f t="shared" ref="K19:K26" si="3">ROUND(E$28*E19/E$27,2)</f>
        <v>3023.92</v>
      </c>
      <c r="L19" s="165">
        <f>ROUND(IF(COUNTIF(C19,"*住宅*")&gt;0,E$29*E19/E$32,0),2)</f>
        <v>0</v>
      </c>
      <c r="M19" s="1981">
        <f>K19+L19</f>
        <v>3023.92</v>
      </c>
      <c r="N19" s="1982"/>
      <c r="O19" s="1983"/>
      <c r="P19" s="1984">
        <f>N19+O19</f>
        <v>0</v>
      </c>
      <c r="R19" s="165">
        <f t="shared" ref="R19:S26" si="4">D19+H19</f>
        <v>12128</v>
      </c>
      <c r="S19" s="1814">
        <f t="shared" si="4"/>
        <v>32106.47</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10985.73</v>
      </c>
      <c r="E27" s="132">
        <f>IF(SUM(E19:E26)='数据-基础表'!BA5,SUM(E19:E26),IF(F27="地上面积有误","面积有误","地下面积有误"))</f>
        <v>29082.55</v>
      </c>
      <c r="F27" s="127">
        <f>IF(SUM(F19:F26)=E8,SUM(F19:F26),"地上面积有误")</f>
        <v>29082.55</v>
      </c>
      <c r="G27" s="107">
        <f>SUM(G19:G26)</f>
        <v>0</v>
      </c>
      <c r="H27" s="818">
        <f>SUM(H19:H26)</f>
        <v>1142.27</v>
      </c>
      <c r="I27" s="819">
        <f>SUM(I19:I26)</f>
        <v>3023.92</v>
      </c>
      <c r="J27" s="1561"/>
      <c r="K27" s="1989">
        <f t="shared" ref="K27:P27" si="10">SUM(K19:K26)</f>
        <v>3023.92</v>
      </c>
      <c r="L27" s="1990">
        <f t="shared" si="10"/>
        <v>0</v>
      </c>
      <c r="M27" s="1991">
        <f t="shared" si="10"/>
        <v>3023.92</v>
      </c>
      <c r="N27" s="1989">
        <f t="shared" si="10"/>
        <v>0</v>
      </c>
      <c r="O27" s="1990">
        <f t="shared" si="10"/>
        <v>0</v>
      </c>
      <c r="P27" s="1992">
        <f t="shared" si="10"/>
        <v>0</v>
      </c>
      <c r="R27" s="1817">
        <f>IF(SUM(R19:R26)=$D$3,SUM(R19:R26),SUM(R19:R26)&amp;"误差"&amp;ROUND(SUM(R19:R26)-$D$3,2))</f>
        <v>12128</v>
      </c>
      <c r="S27" s="165">
        <f>IF(SUM(S19:S26)=$E$3,SUM(S19:S26),SUM(S19:S26)&amp;"误差"&amp;ROUND(SUM(S19:S26)-E3,2))</f>
        <v>32106.47</v>
      </c>
    </row>
    <row r="28" spans="1:19">
      <c r="A28" s="130"/>
      <c r="B28" s="110" t="s">
        <v>193</v>
      </c>
      <c r="C28" s="128" t="s">
        <v>194</v>
      </c>
      <c r="D28" s="3659">
        <f>ROUND($D$3*E28/$E$3,2)</f>
        <v>1142.27</v>
      </c>
      <c r="E28" s="127">
        <f>SUM(F28:G28)</f>
        <v>3023.92</v>
      </c>
      <c r="F28" s="133">
        <f>'数据-基础表'!BQ5+'数据-基础表'!BS5</f>
        <v>0</v>
      </c>
      <c r="G28" s="134">
        <f>'数据-基础表'!BR5+'数据-基础表'!BT5</f>
        <v>3023.92</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1142.27</v>
      </c>
      <c r="E30" s="127">
        <f>SUM(E28:E29)</f>
        <v>3023.92</v>
      </c>
      <c r="F30" s="127">
        <f>SUM(F28:F29)</f>
        <v>0</v>
      </c>
      <c r="G30" s="107">
        <f>SUM(G28:G29)</f>
        <v>3023.92</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32106.47</v>
      </c>
      <c r="F31" s="1081">
        <f>F27+F30</f>
        <v>29082.55</v>
      </c>
      <c r="G31" s="1082">
        <f>G27+G30</f>
        <v>3023.92</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F1" sqref="F1:F1048576"/>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45076</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3023.92</v>
      </c>
      <c r="T6" s="3510">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2E-3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3023.92</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32106.47</v>
      </c>
      <c r="L16" s="3545">
        <f>ROUND(M16*10000/SUM(K6:K14),0)</f>
        <v>4076</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3023.92</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3949">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43" t="s">
        <v>1198</v>
      </c>
      <c r="B1" s="4044"/>
      <c r="C1" s="4044"/>
      <c r="D1" s="4044"/>
      <c r="E1" s="4044"/>
      <c r="F1" s="4044"/>
      <c r="G1" s="4044"/>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89" t="str">
        <f>项目基本情况!K2</f>
        <v>北京市出让国有建设用地使用权</v>
      </c>
      <c r="B2" s="4090"/>
      <c r="C2" s="4091"/>
      <c r="D2" s="4091"/>
      <c r="E2" s="4091"/>
      <c r="F2" s="4091"/>
      <c r="G2" s="4090"/>
      <c r="H2" s="4090"/>
      <c r="I2" s="4092"/>
      <c r="J2" s="1568"/>
      <c r="K2" s="1567"/>
      <c r="L2" s="1567"/>
      <c r="M2" s="1567"/>
      <c r="N2" s="1567"/>
      <c r="O2" s="1567"/>
      <c r="P2" s="1567"/>
      <c r="Q2" s="1567"/>
      <c r="R2" s="1567"/>
      <c r="S2" s="1567"/>
      <c r="T2" s="1567"/>
      <c r="U2" s="1567"/>
      <c r="V2" s="1567"/>
    </row>
    <row r="3" spans="1:22" ht="14.25">
      <c r="A3" s="4082" t="s">
        <v>264</v>
      </c>
      <c r="B3" s="4083"/>
      <c r="C3" s="4083"/>
      <c r="D3" s="4083"/>
      <c r="E3" s="4083"/>
      <c r="F3" s="4083"/>
      <c r="G3" s="4083"/>
      <c r="H3" s="4083"/>
      <c r="I3" s="4083"/>
      <c r="J3" s="1568"/>
      <c r="K3" s="1567"/>
      <c r="L3" s="1567"/>
      <c r="M3" s="1567"/>
      <c r="N3" s="1567"/>
      <c r="O3" s="1567"/>
      <c r="P3" s="1567"/>
      <c r="Q3" s="1567"/>
      <c r="R3" s="1567"/>
      <c r="S3" s="1567"/>
      <c r="T3" s="1567"/>
      <c r="U3" s="1567"/>
      <c r="V3" s="1567"/>
    </row>
    <row r="4" spans="1:22" ht="14.25">
      <c r="A4" s="148" t="s">
        <v>265</v>
      </c>
      <c r="B4" s="149" t="s">
        <v>266</v>
      </c>
      <c r="C4" s="150"/>
      <c r="D4" s="150"/>
      <c r="E4" s="4048" t="s">
        <v>267</v>
      </c>
      <c r="F4" s="4049"/>
      <c r="G4" s="4049"/>
      <c r="H4" s="4049"/>
      <c r="I4" s="4084"/>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47" t="s">
        <v>268</v>
      </c>
      <c r="B5" s="4076">
        <v>25</v>
      </c>
      <c r="C5" s="4074"/>
      <c r="D5" s="4078"/>
      <c r="E5" s="151" t="s">
        <v>269</v>
      </c>
      <c r="F5" s="152"/>
      <c r="G5" s="152"/>
      <c r="H5" s="152"/>
      <c r="I5" s="153"/>
      <c r="J5" s="1568"/>
      <c r="K5" s="1567"/>
      <c r="L5" s="1567"/>
      <c r="M5" s="1567"/>
      <c r="N5" s="1567"/>
      <c r="O5" s="1567"/>
      <c r="P5" s="1567"/>
      <c r="Q5" s="1567"/>
      <c r="R5" s="1567"/>
      <c r="S5" s="1567"/>
      <c r="T5" s="1567"/>
      <c r="U5" s="1567"/>
      <c r="V5" s="1567"/>
    </row>
    <row r="6" spans="1:22" ht="14.25">
      <c r="A6" s="4047"/>
      <c r="B6" s="4076"/>
      <c r="C6" s="4077"/>
      <c r="D6" s="4078"/>
      <c r="E6" s="151" t="s">
        <v>270</v>
      </c>
      <c r="F6" s="152"/>
      <c r="G6" s="152"/>
      <c r="H6" s="152"/>
      <c r="I6" s="153"/>
      <c r="J6" s="1568"/>
      <c r="K6" s="1567"/>
      <c r="L6" s="1567"/>
      <c r="M6" s="1567"/>
      <c r="N6" s="1567"/>
      <c r="O6" s="1567"/>
      <c r="P6" s="1567"/>
      <c r="Q6" s="1567"/>
      <c r="R6" s="1567"/>
      <c r="S6" s="1567"/>
      <c r="T6" s="1567"/>
      <c r="U6" s="1567"/>
      <c r="V6" s="1567"/>
    </row>
    <row r="7" spans="1:22" ht="14.25">
      <c r="A7" s="4047"/>
      <c r="B7" s="4076"/>
      <c r="C7" s="4075"/>
      <c r="D7" s="4078"/>
      <c r="E7" s="151" t="s">
        <v>271</v>
      </c>
      <c r="F7" s="152"/>
      <c r="G7" s="152"/>
      <c r="H7" s="152"/>
      <c r="I7" s="153"/>
      <c r="J7" s="1568"/>
      <c r="K7" s="1567"/>
      <c r="L7" s="1567"/>
      <c r="M7" s="1567"/>
      <c r="N7" s="1567"/>
      <c r="O7" s="1567"/>
      <c r="P7" s="1567"/>
      <c r="Q7" s="1567"/>
      <c r="R7" s="1567"/>
      <c r="S7" s="1567"/>
      <c r="T7" s="1567"/>
      <c r="U7" s="1567"/>
      <c r="V7" s="1567"/>
    </row>
    <row r="8" spans="1:22" ht="14.25">
      <c r="A8" s="4047" t="s">
        <v>272</v>
      </c>
      <c r="B8" s="4076">
        <v>15</v>
      </c>
      <c r="C8" s="4074"/>
      <c r="D8" s="4078"/>
      <c r="E8" s="151" t="s">
        <v>273</v>
      </c>
      <c r="F8" s="152"/>
      <c r="G8" s="152"/>
      <c r="H8" s="152"/>
      <c r="I8" s="153"/>
      <c r="J8" s="1568"/>
      <c r="K8" s="1567"/>
      <c r="L8" s="1567"/>
      <c r="M8" s="1567"/>
      <c r="N8" s="1567"/>
      <c r="O8" s="1567"/>
      <c r="P8" s="1567"/>
      <c r="Q8" s="1567"/>
      <c r="R8" s="1567"/>
      <c r="S8" s="1567"/>
      <c r="T8" s="1567"/>
      <c r="U8" s="1567"/>
      <c r="V8" s="1567"/>
    </row>
    <row r="9" spans="1:22" ht="14.25">
      <c r="A9" s="4047"/>
      <c r="B9" s="4076"/>
      <c r="C9" s="4075"/>
      <c r="D9" s="4078"/>
      <c r="E9" s="151" t="s">
        <v>274</v>
      </c>
      <c r="F9" s="152"/>
      <c r="G9" s="152"/>
      <c r="H9" s="152"/>
      <c r="I9" s="153"/>
      <c r="J9" s="1568"/>
      <c r="K9" s="1567"/>
      <c r="L9" s="1567"/>
      <c r="M9" s="1567"/>
      <c r="N9" s="1567"/>
      <c r="O9" s="1567"/>
      <c r="P9" s="1567"/>
      <c r="Q9" s="1567"/>
      <c r="R9" s="1567"/>
      <c r="S9" s="1567"/>
      <c r="T9" s="1567"/>
      <c r="U9" s="1567"/>
      <c r="V9" s="1567"/>
    </row>
    <row r="10" spans="1:22" ht="14.25">
      <c r="A10" s="4047" t="s">
        <v>275</v>
      </c>
      <c r="B10" s="4076">
        <v>15</v>
      </c>
      <c r="C10" s="4074"/>
      <c r="D10" s="4078"/>
      <c r="E10" s="151" t="s">
        <v>276</v>
      </c>
      <c r="F10" s="152"/>
      <c r="G10" s="152"/>
      <c r="H10" s="152"/>
      <c r="I10" s="153"/>
      <c r="J10" s="1568"/>
      <c r="K10" s="1567"/>
      <c r="L10" s="1567"/>
      <c r="M10" s="1567"/>
      <c r="N10" s="1567"/>
      <c r="O10" s="1567"/>
      <c r="P10" s="1567"/>
      <c r="Q10" s="1567"/>
      <c r="R10" s="1567"/>
      <c r="S10" s="1567"/>
      <c r="T10" s="1567"/>
      <c r="U10" s="1567"/>
      <c r="V10" s="1567"/>
    </row>
    <row r="11" spans="1:22" ht="14.25">
      <c r="A11" s="4047"/>
      <c r="B11" s="4076"/>
      <c r="C11" s="4075"/>
      <c r="D11" s="4078"/>
      <c r="E11" s="151" t="s">
        <v>277</v>
      </c>
      <c r="F11" s="152"/>
      <c r="G11" s="152"/>
      <c r="H11" s="152"/>
      <c r="I11" s="153"/>
      <c r="J11" s="1568"/>
      <c r="K11" s="1567"/>
      <c r="L11" s="1567"/>
      <c r="M11" s="1567"/>
      <c r="N11" s="1567"/>
      <c r="O11" s="1567"/>
      <c r="P11" s="1567"/>
      <c r="Q11" s="1567"/>
      <c r="R11" s="1567"/>
      <c r="S11" s="1567"/>
      <c r="T11" s="1567"/>
      <c r="U11" s="1567"/>
      <c r="V11" s="1567"/>
    </row>
    <row r="12" spans="1:22" ht="14.25">
      <c r="A12" s="4047" t="s">
        <v>278</v>
      </c>
      <c r="B12" s="4076">
        <v>15</v>
      </c>
      <c r="C12" s="4074"/>
      <c r="D12" s="4078"/>
      <c r="E12" s="151" t="s">
        <v>279</v>
      </c>
      <c r="F12" s="152"/>
      <c r="G12" s="152"/>
      <c r="H12" s="152"/>
      <c r="I12" s="153"/>
      <c r="J12" s="1568"/>
      <c r="K12" s="1567"/>
      <c r="L12" s="1567"/>
      <c r="M12" s="1567"/>
      <c r="N12" s="1567"/>
      <c r="O12" s="1567"/>
      <c r="P12" s="1567"/>
      <c r="Q12" s="1567"/>
      <c r="R12" s="1567"/>
      <c r="S12" s="1567"/>
      <c r="T12" s="1567"/>
      <c r="U12" s="1567"/>
      <c r="V12" s="1567"/>
    </row>
    <row r="13" spans="1:22" ht="14.25">
      <c r="A13" s="4047"/>
      <c r="B13" s="4076"/>
      <c r="C13" s="4075"/>
      <c r="D13" s="4078"/>
      <c r="E13" s="151" t="s">
        <v>280</v>
      </c>
      <c r="F13" s="152"/>
      <c r="G13" s="152"/>
      <c r="H13" s="152"/>
      <c r="I13" s="153"/>
      <c r="J13" s="1568"/>
      <c r="K13" s="1567"/>
      <c r="L13" s="1567"/>
      <c r="M13" s="1567"/>
      <c r="N13" s="1567"/>
      <c r="O13" s="1567"/>
      <c r="P13" s="1567"/>
      <c r="Q13" s="1567"/>
      <c r="R13" s="1567"/>
      <c r="S13" s="1567"/>
      <c r="T13" s="1567"/>
      <c r="U13" s="1567"/>
      <c r="V13" s="1567"/>
    </row>
    <row r="14" spans="1:22" ht="14.25">
      <c r="A14" s="4047" t="s">
        <v>281</v>
      </c>
      <c r="B14" s="4076">
        <v>30</v>
      </c>
      <c r="C14" s="4074"/>
      <c r="D14" s="4078"/>
      <c r="E14" s="151" t="s">
        <v>282</v>
      </c>
      <c r="F14" s="152"/>
      <c r="G14" s="152"/>
      <c r="H14" s="152"/>
      <c r="I14" s="153"/>
      <c r="J14" s="1568"/>
      <c r="K14" s="1567"/>
      <c r="L14" s="1567"/>
      <c r="M14" s="1567"/>
      <c r="N14" s="1567"/>
      <c r="O14" s="1567"/>
      <c r="P14" s="1567"/>
      <c r="Q14" s="1567"/>
      <c r="R14" s="1567"/>
      <c r="S14" s="1567"/>
      <c r="T14" s="1567"/>
      <c r="U14" s="1567"/>
      <c r="V14" s="1567"/>
    </row>
    <row r="15" spans="1:22" ht="14.25">
      <c r="A15" s="4047"/>
      <c r="B15" s="4076"/>
      <c r="C15" s="4077"/>
      <c r="D15" s="4078"/>
      <c r="E15" s="151" t="s">
        <v>283</v>
      </c>
      <c r="F15" s="152"/>
      <c r="G15" s="152"/>
      <c r="H15" s="152"/>
      <c r="I15" s="153"/>
      <c r="J15" s="1568"/>
      <c r="K15" s="1567"/>
      <c r="L15" s="1567"/>
      <c r="M15" s="1567"/>
      <c r="N15" s="1567"/>
      <c r="O15" s="1567"/>
      <c r="P15" s="1567"/>
      <c r="Q15" s="1567"/>
      <c r="R15" s="1567"/>
      <c r="S15" s="1567"/>
      <c r="T15" s="1567"/>
      <c r="U15" s="1567"/>
      <c r="V15" s="1567"/>
    </row>
    <row r="16" spans="1:22" ht="14.25">
      <c r="A16" s="4047"/>
      <c r="B16" s="4076"/>
      <c r="C16" s="4075"/>
      <c r="D16" s="4078"/>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79" t="s">
        <v>2160</v>
      </c>
      <c r="F18" s="4080"/>
      <c r="G18" s="4080"/>
      <c r="H18" s="4080"/>
      <c r="I18" s="4080"/>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53"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054"/>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081" t="s">
        <v>2162</v>
      </c>
      <c r="B31" s="4081"/>
      <c r="C31" s="4081"/>
      <c r="D31" s="4081"/>
      <c r="E31" s="4081"/>
      <c r="F31" s="4081"/>
      <c r="G31" s="4081"/>
      <c r="H31" s="4081"/>
      <c r="I31" s="4081"/>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53"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097"/>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098"/>
      <c r="F35" s="191" t="s">
        <v>308</v>
      </c>
      <c r="G35" s="823"/>
      <c r="H35" s="822" t="s">
        <v>309</v>
      </c>
      <c r="I35" s="201"/>
      <c r="J35" s="1567"/>
      <c r="K35" s="4071" t="s">
        <v>316</v>
      </c>
      <c r="L35" s="4071" t="s">
        <v>317</v>
      </c>
      <c r="M35" s="996" t="s">
        <v>318</v>
      </c>
      <c r="N35" s="4071" t="s">
        <v>319</v>
      </c>
      <c r="O35" s="4071" t="s">
        <v>320</v>
      </c>
      <c r="P35" s="1567"/>
      <c r="V35" s="1567"/>
    </row>
    <row r="36" spans="1:26" ht="16.5" customHeight="1">
      <c r="A36" s="193" t="s">
        <v>310</v>
      </c>
      <c r="B36" s="194" t="s">
        <v>299</v>
      </c>
      <c r="C36" s="195" t="s">
        <v>311</v>
      </c>
      <c r="D36" s="195" t="s">
        <v>312</v>
      </c>
      <c r="E36" s="196" t="s">
        <v>313</v>
      </c>
      <c r="F36" s="201"/>
      <c r="G36" s="201"/>
      <c r="H36" s="201"/>
      <c r="I36" s="201"/>
      <c r="J36" s="1569"/>
      <c r="K36" s="4072"/>
      <c r="L36" s="4072"/>
      <c r="M36" s="998" t="s">
        <v>321</v>
      </c>
      <c r="N36" s="4072"/>
      <c r="O36" s="4072"/>
      <c r="P36" s="1567"/>
      <c r="V36" s="1567"/>
    </row>
    <row r="37" spans="1:26" ht="16.5" customHeight="1" thickBot="1">
      <c r="A37" s="992" t="s">
        <v>314</v>
      </c>
      <c r="B37" s="197"/>
      <c r="C37" s="184"/>
      <c r="D37" s="184"/>
      <c r="E37" s="185"/>
      <c r="F37" s="201"/>
      <c r="G37" s="201"/>
      <c r="H37" s="201"/>
      <c r="I37" s="201"/>
      <c r="J37" s="1569"/>
      <c r="K37" s="4073"/>
      <c r="L37" s="4073"/>
      <c r="M37" s="999"/>
      <c r="N37" s="4073"/>
      <c r="O37" s="4073"/>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32106.47</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111" t="str">
        <f>MID(A44,3,LEN(A44)-2)</f>
        <v/>
      </c>
      <c r="L39" s="4112"/>
      <c r="M39" s="4112"/>
      <c r="N39" s="4113"/>
      <c r="O39" s="1095" t="str">
        <f>C44</f>
        <v>——</v>
      </c>
      <c r="P39" s="1567"/>
      <c r="V39" s="1567"/>
    </row>
    <row r="40" spans="1:26" ht="19.5" thickBot="1">
      <c r="A40" s="99" t="s">
        <v>810</v>
      </c>
      <c r="B40" s="201"/>
      <c r="C40" s="201"/>
      <c r="D40" s="201"/>
      <c r="E40" s="201"/>
      <c r="F40" s="201"/>
      <c r="G40" s="201"/>
      <c r="H40" s="201"/>
      <c r="I40" s="201"/>
      <c r="J40" s="1569"/>
      <c r="K40" s="4111" t="str">
        <f>MID(A45,3,LEN(A45)-2)</f>
        <v/>
      </c>
      <c r="L40" s="4112"/>
      <c r="M40" s="4112"/>
      <c r="N40" s="4113"/>
      <c r="O40" s="1095" t="str">
        <f>C45</f>
        <v>——</v>
      </c>
      <c r="P40" s="1567"/>
      <c r="V40" s="1567"/>
    </row>
    <row r="41" spans="1:26" ht="16.5" thickBot="1">
      <c r="A41" s="202" t="s">
        <v>322</v>
      </c>
      <c r="B41" s="203"/>
      <c r="C41" s="204" t="s">
        <v>323</v>
      </c>
      <c r="D41" s="205" t="s">
        <v>324</v>
      </c>
      <c r="E41" s="205" t="s">
        <v>325</v>
      </c>
      <c r="F41" s="206" t="s">
        <v>326</v>
      </c>
      <c r="G41" s="201"/>
      <c r="H41" s="201"/>
      <c r="I41" s="201"/>
      <c r="J41" s="1569"/>
      <c r="K41" s="4111" t="str">
        <f>MID(A46,3,LEN(A46)-2)</f>
        <v/>
      </c>
      <c r="L41" s="4112"/>
      <c r="M41" s="4112"/>
      <c r="N41" s="4113"/>
      <c r="O41" s="1095" t="str">
        <f>C46</f>
        <v>——</v>
      </c>
      <c r="P41" s="1567"/>
      <c r="V41" s="1567"/>
    </row>
    <row r="42" spans="1:26" ht="29.25">
      <c r="A42" s="4055" t="s">
        <v>1504</v>
      </c>
      <c r="B42" s="4056"/>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066" t="s">
        <v>1921</v>
      </c>
      <c r="B43" s="4067"/>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055" t="str">
        <f>IF(OR(项目基本情况!E8="抵押价格",项目基本情况!E8="已注销及未注销"),"3.抵押价格","——")</f>
        <v>——</v>
      </c>
      <c r="B44" s="4056"/>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061" t="str">
        <f>IF(项目基本情况!E8="已注销及未注销","4.抵押担保权已注销时的抵押价格",IF(项目基本情况!E8="已注销","3.抵押担保权已注销时的抵押价格","——"))</f>
        <v>——</v>
      </c>
      <c r="B45" s="4062"/>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057" t="str">
        <f>IF(项目基本情况!E9="抵押净值",IF(A45="——","4.抵押净值","5.抵押净值"),"——")</f>
        <v>——</v>
      </c>
      <c r="B46" s="4058"/>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105" t="s">
        <v>340</v>
      </c>
      <c r="B63" s="4106"/>
      <c r="C63" s="4107"/>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063" t="s">
        <v>344</v>
      </c>
      <c r="B64" s="4064"/>
      <c r="C64" s="4064"/>
      <c r="D64" s="4064"/>
      <c r="E64" s="4064"/>
      <c r="F64" s="4064"/>
      <c r="G64" s="4065"/>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059" t="s">
        <v>352</v>
      </c>
      <c r="B66" s="4060"/>
      <c r="C66" s="4060"/>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120" t="s">
        <v>351</v>
      </c>
      <c r="M66" s="4121"/>
      <c r="N66" s="1881"/>
      <c r="O66" s="1882"/>
      <c r="P66" s="1883"/>
      <c r="Q66" s="1567"/>
      <c r="R66" s="1567"/>
      <c r="S66" s="1567"/>
      <c r="T66" s="1567"/>
      <c r="U66" s="1567"/>
      <c r="V66" s="1567"/>
    </row>
    <row r="67" spans="1:22" ht="25.5" customHeight="1">
      <c r="A67" s="242" t="s">
        <v>355</v>
      </c>
      <c r="B67" s="4050" t="s">
        <v>356</v>
      </c>
      <c r="C67" s="4050"/>
      <c r="D67" s="243">
        <v>0</v>
      </c>
      <c r="E67" s="38" t="s">
        <v>357</v>
      </c>
      <c r="F67" s="59" t="s">
        <v>15</v>
      </c>
      <c r="G67" s="4108"/>
      <c r="H67" s="2442" t="s">
        <v>2163</v>
      </c>
      <c r="I67" s="2444"/>
      <c r="J67" s="1574"/>
      <c r="K67" s="1559">
        <v>2</v>
      </c>
      <c r="L67" s="4114" t="s">
        <v>354</v>
      </c>
      <c r="M67" s="4114"/>
      <c r="N67" s="1057">
        <f>'数据-取费表'!B2</f>
        <v>45076</v>
      </c>
      <c r="O67" s="1057"/>
      <c r="P67" s="1057"/>
      <c r="Q67" s="1567"/>
      <c r="R67" s="1567"/>
      <c r="S67" s="1567"/>
      <c r="T67" s="1567"/>
      <c r="U67" s="1567"/>
      <c r="V67" s="1567"/>
    </row>
    <row r="68" spans="1:22" ht="25.5" customHeight="1">
      <c r="A68" s="244"/>
      <c r="B68" s="4050" t="s">
        <v>359</v>
      </c>
      <c r="C68" s="4050"/>
      <c r="D68" s="245"/>
      <c r="E68" s="74"/>
      <c r="F68" s="246"/>
      <c r="G68" s="4109"/>
      <c r="H68" s="2443" t="s">
        <v>2164</v>
      </c>
      <c r="I68" s="2444"/>
      <c r="J68" s="1574"/>
      <c r="K68" s="1559">
        <v>3</v>
      </c>
      <c r="L68" s="4114" t="s">
        <v>358</v>
      </c>
      <c r="M68" s="4114"/>
      <c r="N68" s="1025" t="e">
        <f ca="1">C42</f>
        <v>#REF!</v>
      </c>
      <c r="O68" s="1025"/>
      <c r="P68" s="1025"/>
      <c r="Q68" s="1567"/>
      <c r="R68" s="1567"/>
      <c r="S68" s="1567"/>
      <c r="T68" s="1567"/>
      <c r="U68" s="1567"/>
      <c r="V68" s="1567"/>
    </row>
    <row r="69" spans="1:22" ht="23.45" customHeight="1">
      <c r="A69" s="247"/>
      <c r="B69" s="4050" t="s">
        <v>360</v>
      </c>
      <c r="C69" s="4050"/>
      <c r="D69" s="248"/>
      <c r="E69" s="70"/>
      <c r="F69" s="246"/>
      <c r="G69" s="4110"/>
      <c r="H69" s="2443" t="s">
        <v>2165</v>
      </c>
      <c r="I69" s="2444"/>
      <c r="J69" s="1574"/>
      <c r="K69" s="1026">
        <v>4</v>
      </c>
      <c r="L69" s="4124" t="s">
        <v>2065</v>
      </c>
      <c r="M69" s="4125"/>
      <c r="N69" s="1027" t="str">
        <f>C44</f>
        <v>——</v>
      </c>
      <c r="O69" s="1027"/>
      <c r="P69" s="1027"/>
      <c r="Q69" s="1567"/>
      <c r="R69" s="1567"/>
      <c r="S69" s="1567"/>
      <c r="T69" s="1567"/>
      <c r="U69" s="1567"/>
      <c r="V69" s="1567"/>
    </row>
    <row r="70" spans="1:22" ht="24" customHeight="1">
      <c r="A70" s="249" t="s">
        <v>361</v>
      </c>
      <c r="B70" s="4050" t="s">
        <v>362</v>
      </c>
      <c r="C70" s="4050"/>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51" t="s">
        <v>2191</v>
      </c>
      <c r="C71" s="4052"/>
      <c r="D71" s="248" t="e">
        <f ca="1">ROUND(D63*'数据-取费表'!B41/(1+'数据-取费表'!C42),0)</f>
        <v>#REF!</v>
      </c>
      <c r="E71" s="14" t="s">
        <v>363</v>
      </c>
      <c r="F71" s="250">
        <f>'数据-取费表'!B41</f>
        <v>5.5000000000000007E-2</v>
      </c>
      <c r="G71" s="251"/>
      <c r="H71" s="201"/>
      <c r="I71" s="1024"/>
      <c r="J71" s="1574"/>
      <c r="K71" s="2221" t="s">
        <v>364</v>
      </c>
      <c r="L71" s="4126" t="s">
        <v>365</v>
      </c>
      <c r="M71" s="4126"/>
      <c r="N71" s="2221" t="s">
        <v>366</v>
      </c>
      <c r="O71" s="2221" t="s">
        <v>367</v>
      </c>
      <c r="P71" s="2221" t="s">
        <v>368</v>
      </c>
      <c r="Q71" s="1567"/>
      <c r="R71" s="1567"/>
      <c r="S71" s="1567"/>
      <c r="T71" s="1567"/>
      <c r="U71" s="1567"/>
      <c r="V71" s="1567"/>
    </row>
    <row r="72" spans="1:22" ht="12" customHeight="1">
      <c r="A72" s="249" t="s">
        <v>371</v>
      </c>
      <c r="B72" s="4051" t="s">
        <v>2192</v>
      </c>
      <c r="C72" s="4052"/>
      <c r="D72" s="248" t="e">
        <f ca="1">C86</f>
        <v>#REF!</v>
      </c>
      <c r="E72" s="70" t="s">
        <v>372</v>
      </c>
      <c r="F72" s="250">
        <f>'数据-取费表'!B41</f>
        <v>5.5000000000000007E-2</v>
      </c>
      <c r="G72" s="251"/>
      <c r="H72" s="1030"/>
      <c r="I72" s="1024"/>
      <c r="J72" s="1574"/>
      <c r="K72" s="1559">
        <v>1</v>
      </c>
      <c r="L72" s="4101" t="s">
        <v>370</v>
      </c>
      <c r="M72" s="4101"/>
      <c r="N72" s="1028" t="b">
        <f>D66</f>
        <v>0</v>
      </c>
      <c r="O72" s="1464" t="str">
        <f>E66</f>
        <v>销售额×税（费）率</v>
      </c>
      <c r="P72" s="1029">
        <f>F66</f>
        <v>5.5000000000000007E-2</v>
      </c>
      <c r="Q72" s="1567"/>
      <c r="R72" s="1567"/>
      <c r="S72" s="1567"/>
      <c r="T72" s="1567"/>
      <c r="U72" s="1567"/>
      <c r="V72" s="1567"/>
    </row>
    <row r="73" spans="1:22" ht="24" customHeight="1">
      <c r="A73" s="4096" t="s">
        <v>374</v>
      </c>
      <c r="B73" s="4060"/>
      <c r="C73" s="4060"/>
      <c r="D73" s="252" t="e">
        <f ca="1">IF(H73="个人住宅",0,ROUND(D63*I73,0))</f>
        <v>#REF!</v>
      </c>
      <c r="E73" s="14" t="s">
        <v>375</v>
      </c>
      <c r="F73" s="250" t="str">
        <f>IF(H73="正常",I73,"免征")</f>
        <v>免征</v>
      </c>
      <c r="G73" s="251"/>
      <c r="H73" s="141"/>
      <c r="I73" s="250">
        <f>'数据-取费表'!B49</f>
        <v>5.0000000000000001E-4</v>
      </c>
      <c r="J73" s="1574"/>
      <c r="K73" s="1559">
        <v>2</v>
      </c>
      <c r="L73" s="4101" t="s">
        <v>373</v>
      </c>
      <c r="M73" s="4101"/>
      <c r="N73" s="1028" t="e">
        <f t="shared" ref="N73:P74" ca="1" si="0">D73</f>
        <v>#REF!</v>
      </c>
      <c r="O73" s="1464" t="str">
        <f t="shared" si="0"/>
        <v>销售额×税（费）率</v>
      </c>
      <c r="P73" s="1029" t="str">
        <f t="shared" si="0"/>
        <v>免征</v>
      </c>
      <c r="Q73" s="1567"/>
      <c r="R73" s="1567"/>
      <c r="S73" s="1567"/>
      <c r="T73" s="1567"/>
      <c r="U73" s="1567"/>
      <c r="V73" s="1567"/>
    </row>
    <row r="74" spans="1:22" ht="24.75">
      <c r="A74" s="4096" t="s">
        <v>377</v>
      </c>
      <c r="B74" s="4060"/>
      <c r="C74" s="4060"/>
      <c r="D74" s="252" t="e">
        <f ca="1">IF(H74="个人住宅",D75,D76)</f>
        <v>#REF!</v>
      </c>
      <c r="E74" s="14" t="s">
        <v>378</v>
      </c>
      <c r="F74" s="250" t="str">
        <f>IF(H74="正常",F76,"免征")</f>
        <v>免征</v>
      </c>
      <c r="G74" s="824" t="s">
        <v>379</v>
      </c>
      <c r="H74" s="253"/>
      <c r="I74" s="39"/>
      <c r="J74" s="1574"/>
      <c r="K74" s="1559">
        <v>3</v>
      </c>
      <c r="L74" s="4101" t="s">
        <v>376</v>
      </c>
      <c r="M74" s="4101"/>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48" t="s">
        <v>381</v>
      </c>
      <c r="C75" s="4084"/>
      <c r="D75" s="254">
        <v>0</v>
      </c>
      <c r="E75" s="38" t="s">
        <v>382</v>
      </c>
      <c r="F75" s="255"/>
      <c r="G75" s="251"/>
      <c r="H75" s="39"/>
      <c r="I75" s="39"/>
      <c r="J75" s="1574"/>
      <c r="K75" s="2215">
        <f>IF(H77="非个人房产","",4)</f>
        <v>4</v>
      </c>
      <c r="L75" s="4101" t="str">
        <f>IF(H77="非个人房产","——","个人所得税")</f>
        <v>个人所得税</v>
      </c>
      <c r="M75" s="4101"/>
      <c r="N75" s="1032">
        <f>D77</f>
        <v>0</v>
      </c>
      <c r="O75" s="1465" t="str">
        <f>E77</f>
        <v>差额计税</v>
      </c>
      <c r="P75" s="1033">
        <f>F77</f>
        <v>0.01</v>
      </c>
      <c r="Q75" s="1567"/>
      <c r="R75" s="1567"/>
      <c r="S75" s="1567"/>
      <c r="T75" s="1567"/>
      <c r="U75" s="1567"/>
      <c r="V75" s="1567"/>
    </row>
    <row r="76" spans="1:22" ht="24.75">
      <c r="A76" s="249" t="s">
        <v>361</v>
      </c>
      <c r="B76" s="4048" t="s">
        <v>384</v>
      </c>
      <c r="C76" s="4049"/>
      <c r="D76" s="252" t="e">
        <f ca="1">IF(H76="转让取得",C99,C115)</f>
        <v>#REF!</v>
      </c>
      <c r="E76" s="14" t="s">
        <v>385</v>
      </c>
      <c r="F76" s="50" t="s">
        <v>15</v>
      </c>
      <c r="G76" s="251"/>
      <c r="H76" s="253"/>
      <c r="I76" s="39"/>
      <c r="J76" s="1574"/>
      <c r="K76" s="2215" t="str">
        <f>IF(项目基本情况!K6="上海银行",IF(K75="",4,K75+1),"")</f>
        <v/>
      </c>
      <c r="L76" s="4116" t="str">
        <f>IF(项目基本情况!K6="上海银行","其他处置费用","")</f>
        <v/>
      </c>
      <c r="M76" s="4117"/>
      <c r="N76" s="1028" t="str">
        <f>IF(项目基本情况!K6="上海银行",N89,"")</f>
        <v/>
      </c>
      <c r="O76" s="4118" t="str">
        <f>IF(项目基本情况!K6="上海银行","包含处置中涉及的律师、诉讼、拍卖、评估等费用","")</f>
        <v/>
      </c>
      <c r="P76" s="4119"/>
      <c r="Q76" s="1567"/>
      <c r="R76" s="1567"/>
      <c r="S76" s="1567"/>
      <c r="T76" s="1567"/>
      <c r="U76" s="1567"/>
      <c r="V76" s="1567"/>
    </row>
    <row r="77" spans="1:22" ht="24.75" thickBot="1">
      <c r="A77" s="4103" t="s">
        <v>387</v>
      </c>
      <c r="B77" s="4104"/>
      <c r="C77" s="4104"/>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102">
        <f>IF(AND(K75="",K76=""),4,IF(项目基本情况!K6="上海银行",K76+1,K75+1))</f>
        <v>5</v>
      </c>
      <c r="L77" s="4101"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102"/>
      <c r="L78" s="4101"/>
      <c r="M78" s="2220" t="s">
        <v>386</v>
      </c>
      <c r="N78" s="1034"/>
      <c r="O78" s="1035" t="str">
        <f ca="1">NUMBERSTRING(INT(O77*10000),2)&amp;"元整"</f>
        <v>零元整</v>
      </c>
      <c r="P78" s="1036"/>
      <c r="Q78" s="1567"/>
      <c r="R78" s="1567"/>
      <c r="S78" s="1567"/>
      <c r="T78" s="1567"/>
      <c r="U78" s="1567"/>
      <c r="V78" s="1567"/>
    </row>
    <row r="79" spans="1:22" ht="13.5" thickBot="1">
      <c r="A79" s="4068" t="s">
        <v>388</v>
      </c>
      <c r="B79" s="4068"/>
      <c r="C79" s="4068"/>
      <c r="D79" s="4068"/>
      <c r="E79" s="4068"/>
      <c r="F79" s="39"/>
      <c r="G79" s="39"/>
      <c r="H79" s="844"/>
      <c r="I79" s="201"/>
      <c r="J79" s="1574"/>
      <c r="K79" s="4122">
        <f>K77+1</f>
        <v>6</v>
      </c>
      <c r="L79" s="4101" t="s">
        <v>2067</v>
      </c>
      <c r="M79" s="2220" t="s">
        <v>383</v>
      </c>
      <c r="N79" s="1034"/>
      <c r="O79" s="1035" t="e">
        <f ca="1">N69-O77</f>
        <v>#VALUE!</v>
      </c>
      <c r="P79" s="1036"/>
      <c r="Q79" s="1567"/>
      <c r="R79" s="1567"/>
      <c r="S79" s="1567"/>
      <c r="T79" s="1567"/>
      <c r="U79" s="1567"/>
      <c r="V79" s="1567"/>
    </row>
    <row r="80" spans="1:22" ht="12.75">
      <c r="A80" s="4069" t="s">
        <v>389</v>
      </c>
      <c r="B80" s="4070"/>
      <c r="C80" s="835"/>
      <c r="D80" s="835" t="s">
        <v>390</v>
      </c>
      <c r="E80" s="256" t="s">
        <v>391</v>
      </c>
      <c r="F80" s="39"/>
      <c r="G80" s="39"/>
      <c r="H80" s="844"/>
      <c r="I80" s="201"/>
      <c r="J80" s="1567"/>
      <c r="K80" s="4123"/>
      <c r="L80" s="4101"/>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099" t="s">
        <v>2068</v>
      </c>
      <c r="M81" s="4100"/>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115"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115"/>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115"/>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115"/>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115"/>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094" t="s">
        <v>398</v>
      </c>
      <c r="B88" s="4095"/>
      <c r="C88" s="4095"/>
      <c r="D88" s="4095"/>
      <c r="E88" s="4095"/>
      <c r="F88" s="4095"/>
      <c r="G88" s="4095"/>
      <c r="H88" s="4095"/>
      <c r="I88" s="1047"/>
      <c r="J88" s="1575"/>
      <c r="K88" s="4115"/>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69" t="s">
        <v>389</v>
      </c>
      <c r="B89" s="4070"/>
      <c r="C89" s="835"/>
      <c r="D89" s="835" t="s">
        <v>390</v>
      </c>
      <c r="E89" s="277" t="s">
        <v>399</v>
      </c>
      <c r="F89" s="278"/>
      <c r="G89" s="278"/>
      <c r="H89" s="279"/>
      <c r="I89" s="1048"/>
      <c r="J89" s="1577"/>
      <c r="K89" s="4115"/>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51" t="s">
        <v>407</v>
      </c>
      <c r="F94" s="4050"/>
      <c r="G94" s="4050"/>
      <c r="H94" s="4093"/>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85" t="s">
        <v>1696</v>
      </c>
      <c r="F96" s="4086"/>
      <c r="G96" s="4086"/>
      <c r="H96" s="4087"/>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094" t="s">
        <v>414</v>
      </c>
      <c r="B101" s="4095"/>
      <c r="C101" s="4095"/>
      <c r="D101" s="4095"/>
      <c r="E101" s="4095"/>
      <c r="F101" s="4095"/>
      <c r="G101" s="4095"/>
      <c r="H101" s="4095"/>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69" t="s">
        <v>389</v>
      </c>
      <c r="B102" s="4070"/>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045" t="s">
        <v>2158</v>
      </c>
      <c r="H108" s="4046"/>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88" t="s">
        <v>422</v>
      </c>
      <c r="F109" s="4086"/>
      <c r="G109" s="4086"/>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88" t="s">
        <v>424</v>
      </c>
      <c r="F110" s="4086"/>
      <c r="G110" s="4086"/>
      <c r="H110" s="4087"/>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85" t="s">
        <v>1696</v>
      </c>
      <c r="F111" s="4086"/>
      <c r="G111" s="4086"/>
      <c r="H111" s="4087"/>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88" t="s">
        <v>1715</v>
      </c>
      <c r="F112" s="4086"/>
      <c r="G112" s="4086"/>
      <c r="H112" s="4087"/>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"100%,70%,56%"</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27" t="s">
        <v>3223</v>
      </c>
      <c r="B1" s="4127"/>
      <c r="C1" s="4127"/>
      <c r="D1" s="4127"/>
      <c r="E1" s="4127"/>
      <c r="F1" s="4127"/>
      <c r="G1" s="4127"/>
      <c r="H1" s="4127"/>
      <c r="I1" s="4128"/>
      <c r="J1" s="4127"/>
      <c r="K1" s="4128"/>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29" t="s">
        <v>3199</v>
      </c>
      <c r="B6" s="4129"/>
      <c r="C6" s="4129"/>
      <c r="D6" s="4129"/>
      <c r="E6" s="4129"/>
      <c r="F6" s="4129"/>
      <c r="G6" s="4129"/>
      <c r="H6" s="4129"/>
      <c r="I6" s="4129"/>
      <c r="J6" s="4129" t="s">
        <v>3200</v>
      </c>
      <c r="K6" s="4129"/>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11829</v>
      </c>
      <c r="C9" s="3847">
        <f>'数据-汇总表'!E20</f>
        <v>0</v>
      </c>
      <c r="D9" s="3841">
        <v>0</v>
      </c>
      <c r="E9" s="3841">
        <v>0</v>
      </c>
      <c r="F9" s="3841">
        <v>0</v>
      </c>
      <c r="G9" s="3841">
        <v>0</v>
      </c>
      <c r="H9" s="3847">
        <f>C9</f>
        <v>0</v>
      </c>
      <c r="I9" s="3843">
        <f t="shared" ref="I9:I10" ca="1" si="2">B9</f>
        <v>11829</v>
      </c>
      <c r="J9" s="3844" t="e">
        <f ca="1">'剩余法（待）-商业'!B3</f>
        <v>#N/A</v>
      </c>
      <c r="K9" s="3845" t="e">
        <f t="shared" ca="1" si="0"/>
        <v>#N/A</v>
      </c>
    </row>
    <row r="10" spans="1:14" s="3827" customFormat="1" ht="14.25">
      <c r="A10" s="3831" t="str">
        <f>A5</f>
        <v>办公</v>
      </c>
      <c r="B10" s="3841">
        <f ca="1">'不动产收益法-科研'!C43</f>
        <v>11756</v>
      </c>
      <c r="C10" s="3848">
        <v>0</v>
      </c>
      <c r="D10" s="3849">
        <v>0</v>
      </c>
      <c r="E10" s="3848">
        <v>0</v>
      </c>
      <c r="F10" s="3848">
        <v>0</v>
      </c>
      <c r="G10" s="3848">
        <v>0</v>
      </c>
      <c r="H10" s="3848">
        <v>0</v>
      </c>
      <c r="I10" s="3843">
        <f t="shared" ca="1" si="2"/>
        <v>11756</v>
      </c>
      <c r="J10" s="3844">
        <f ca="1">'剩余法（待）-科研'!B3</f>
        <v>4493</v>
      </c>
      <c r="K10" s="3845">
        <f t="shared" ca="1" si="0"/>
        <v>1123.25</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4493</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t="e">
        <f>ROUND(IF(F21="与级别开发程度一致",0,(G21-E21)/C21),0)</f>
        <v>#DIV/0!</v>
      </c>
      <c r="D20" s="4136" t="s">
        <v>879</v>
      </c>
      <c r="E20" s="4137"/>
      <c r="F20" s="4136" t="s">
        <v>876</v>
      </c>
      <c r="G20" s="4137"/>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1874"/>
      <c r="L104" s="1874"/>
      <c r="M104" s="1874"/>
      <c r="N104" s="1874"/>
    </row>
    <row r="105" spans="1:36">
      <c r="A105" s="4144" t="s">
        <v>1161</v>
      </c>
      <c r="B105" s="4144" t="s">
        <v>1173</v>
      </c>
      <c r="C105" s="920" t="s">
        <v>1174</v>
      </c>
      <c r="D105" s="921"/>
      <c r="E105" s="921"/>
      <c r="F105" s="921"/>
      <c r="G105" s="921"/>
      <c r="H105" s="921"/>
      <c r="I105" s="921"/>
      <c r="J105" s="922"/>
      <c r="K105" s="914"/>
      <c r="L105" s="914"/>
      <c r="M105" s="914"/>
      <c r="N105" s="914"/>
    </row>
    <row r="106" spans="1:36">
      <c r="A106" s="4144"/>
      <c r="B106" s="4144"/>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xr:uid="{00000000-0002-0000-1100-000000000000}">
      <formula1>"商业,办公,住宅,工业,公共服务"</formula1>
    </dataValidation>
    <dataValidation type="list" allowBlank="1" showInputMessage="1" showErrorMessage="1" sqref="F21" xr:uid="{00000000-0002-0000-1100-000001000000}">
      <formula1>"与级别开发程度一致,与级别开发程度不一致"</formula1>
    </dataValidation>
    <dataValidation type="list" allowBlank="1" showInputMessage="1" showErrorMessage="1" sqref="B25" xr:uid="{00000000-0002-0000-1100-000002000000}">
      <formula1>"容积率修正,楼层修正"</formula1>
    </dataValidation>
    <dataValidation type="list" allowBlank="1" showInputMessage="1" showErrorMessage="1" sqref="C15:D15" xr:uid="{00000000-0002-0000-1100-000003000000}">
      <formula1>"有,无"</formula1>
    </dataValidation>
    <dataValidation type="list" allowBlank="1" showInputMessage="1" showErrorMessage="1" sqref="E15" xr:uid="{00000000-0002-0000-1100-000004000000}">
      <formula1>"500米范围内,500-1000米,1000米以外"</formula1>
    </dataValidation>
    <dataValidation type="list" allowBlank="1" showInputMessage="1" showErrorMessage="1" sqref="H23"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50:C58 C61:C69 C93:C102 C72:C80 C83:C90" xr:uid="{00000000-0002-0000-1100-000009000000}">
      <formula1>五等判定</formula1>
    </dataValidation>
    <dataValidation type="list" allowBlank="1" showInputMessage="1" showErrorMessage="1" sqref="H20:O20" xr:uid="{00000000-0002-0000-1100-00000A000000}">
      <formula1>七通一平</formula1>
    </dataValidation>
    <dataValidation type="list" allowBlank="1" showInputMessage="1" showErrorMessage="1" sqref="J23" xr:uid="{00000000-0002-0000-11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f>ROUND(IF(F21="与级别开发程度一致",0,(G21-E21)/C21),0)</f>
        <v>-6</v>
      </c>
      <c r="D20" s="4136" t="s">
        <v>879</v>
      </c>
      <c r="E20" s="4137"/>
      <c r="F20" s="4136" t="s">
        <v>876</v>
      </c>
      <c r="G20" s="4137"/>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3334"/>
      <c r="L104" s="3334"/>
      <c r="M104" s="3334"/>
      <c r="N104" s="3334"/>
    </row>
    <row r="105" spans="1:36">
      <c r="A105" s="4144" t="s">
        <v>833</v>
      </c>
      <c r="B105" s="4144" t="s">
        <v>1173</v>
      </c>
      <c r="C105" s="920" t="s">
        <v>1174</v>
      </c>
      <c r="D105" s="921"/>
      <c r="E105" s="921"/>
      <c r="F105" s="921"/>
      <c r="G105" s="921"/>
      <c r="H105" s="921"/>
      <c r="I105" s="921"/>
      <c r="J105" s="922"/>
      <c r="K105" s="914"/>
      <c r="L105" s="914"/>
      <c r="M105" s="914"/>
      <c r="N105" s="914"/>
    </row>
    <row r="106" spans="1:36">
      <c r="A106" s="4144"/>
      <c r="B106" s="4144"/>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xr:uid="{00000000-0002-0000-1200-000000000000}">
      <formula1>"不用分区数据,中心城区,中心城区以外"</formula1>
    </dataValidation>
    <dataValidation type="list" allowBlank="1" showInputMessage="1" showErrorMessage="1" sqref="H20:O20" xr:uid="{00000000-0002-0000-1200-000001000000}">
      <formula1>七通一平</formula1>
    </dataValidation>
    <dataValidation type="list" allowBlank="1" showInputMessage="1" showErrorMessage="1" sqref="C50:C58 C61:C69 C93:C102 C72:C80 C83:C90" xr:uid="{00000000-0002-0000-1200-000002000000}">
      <formula1>五等判定</formula1>
    </dataValidation>
    <dataValidation type="list" allowBlank="1" showInputMessage="1" showErrorMessage="1" sqref="E3" xr:uid="{00000000-0002-0000-1200-000003000000}">
      <formula1>二级分类</formula1>
    </dataValidation>
    <dataValidation type="list" allowBlank="1" showInputMessage="1" showErrorMessage="1" sqref="C8" xr:uid="{00000000-0002-0000-1200-000004000000}">
      <formula1>商业街名称</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H23" xr:uid="{00000000-0002-0000-1200-000006000000}">
      <formula1>"地价指数,季度增幅（自定义）,按公示增长率计算"</formula1>
    </dataValidation>
    <dataValidation type="list" allowBlank="1" showInputMessage="1" showErrorMessage="1" sqref="E15" xr:uid="{00000000-0002-0000-1200-000007000000}">
      <formula1>"500米范围内,500-1000米,1000米以外"</formula1>
    </dataValidation>
    <dataValidation type="list" allowBlank="1" showInputMessage="1" showErrorMessage="1" sqref="C15:D15" xr:uid="{00000000-0002-0000-1200-000008000000}">
      <formula1>"有,无"</formula1>
    </dataValidation>
    <dataValidation type="list" allowBlank="1" showInputMessage="1" showErrorMessage="1" sqref="B25" xr:uid="{00000000-0002-0000-1200-000009000000}">
      <formula1>"容积率修正,楼层修正"</formula1>
    </dataValidation>
    <dataValidation type="list" allowBlank="1" showInputMessage="1" showErrorMessage="1" sqref="F21" xr:uid="{00000000-0002-0000-1200-00000A000000}">
      <formula1>"与级别开发程度一致,与级别开发程度不一致"</formula1>
    </dataValidation>
    <dataValidation type="list" allowBlank="1" showInputMessage="1" showErrorMessage="1" sqref="E2" xr:uid="{00000000-0002-0000-12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56" t="str">
        <f>项目基本情况!B1</f>
        <v>北京市出让国有建设用地使用权市场价格预评估</v>
      </c>
      <c r="C37" s="3956"/>
      <c r="D37" s="3956"/>
      <c r="E37" s="3956"/>
      <c r="F37" s="3956"/>
      <c r="G37" s="3956"/>
      <c r="H37" s="3956"/>
      <c r="I37" s="3956"/>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2:P50"/>
  <sheetViews>
    <sheetView tabSelected="1" zoomScale="90" zoomScaleNormal="90" workbookViewId="0">
      <selection activeCell="N32" sqref="N32"/>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 min="7" max="7" width="7.75" customWidth="1"/>
    <col min="8" max="8" width="10.125" customWidth="1"/>
    <col min="15" max="15" width="10.625" bestFit="1" customWidth="1"/>
  </cols>
  <sheetData>
    <row r="2" spans="1:16" ht="24">
      <c r="A2" s="3927" t="s">
        <v>3093</v>
      </c>
      <c r="B2" s="3927" t="s">
        <v>3348</v>
      </c>
      <c r="C2" s="3927" t="s">
        <v>3349</v>
      </c>
      <c r="D2" s="3927" t="s">
        <v>3213</v>
      </c>
      <c r="E2" s="3927" t="s">
        <v>3350</v>
      </c>
      <c r="F2" s="3927" t="s">
        <v>3351</v>
      </c>
      <c r="H2" s="3927" t="s">
        <v>3399</v>
      </c>
      <c r="I2" s="3927" t="s">
        <v>3400</v>
      </c>
      <c r="J2" s="3927" t="s">
        <v>3401</v>
      </c>
    </row>
    <row r="3" spans="1:16" hidden="1">
      <c r="A3" s="4151" t="s">
        <v>3352</v>
      </c>
      <c r="B3" s="3928" t="s">
        <v>3212</v>
      </c>
      <c r="C3" s="3928" t="e">
        <f>'[5]基准地价 住宅-满年限'!C30</f>
        <v>#REF!</v>
      </c>
      <c r="D3" s="3928">
        <v>0.4</v>
      </c>
      <c r="E3" s="4152" t="e">
        <f>ROUND(C3*D3+C4*D4+C5*D5,0)</f>
        <v>#REF!</v>
      </c>
      <c r="F3" s="4155" t="e">
        <f>ROUND(E3*0.25,0)</f>
        <v>#REF!</v>
      </c>
      <c r="H3" s="3951"/>
      <c r="I3" s="3951"/>
      <c r="J3" s="3951"/>
    </row>
    <row r="4" spans="1:16" hidden="1">
      <c r="A4" s="4151"/>
      <c r="B4" s="3928" t="s">
        <v>3214</v>
      </c>
      <c r="C4" s="3928" t="e">
        <f>[5]剩余法住宅!B4</f>
        <v>#REF!</v>
      </c>
      <c r="D4" s="3928">
        <f>1-D3</f>
        <v>0.6</v>
      </c>
      <c r="E4" s="4153"/>
      <c r="F4" s="4156"/>
      <c r="H4" s="3951"/>
      <c r="I4" s="3951"/>
      <c r="J4" s="3951"/>
    </row>
    <row r="5" spans="1:16" hidden="1">
      <c r="A5" s="4151"/>
      <c r="B5" s="3928" t="s">
        <v>3353</v>
      </c>
      <c r="C5" s="3928"/>
      <c r="D5" s="3928">
        <v>0</v>
      </c>
      <c r="E5" s="4154"/>
      <c r="F5" s="4157"/>
      <c r="H5" s="3951"/>
      <c r="I5" s="3951"/>
      <c r="J5" s="3951"/>
    </row>
    <row r="6" spans="1:16" hidden="1">
      <c r="A6" s="4151" t="s">
        <v>3354</v>
      </c>
      <c r="B6" s="4151" t="s">
        <v>3212</v>
      </c>
      <c r="C6" s="4151" t="e">
        <f>'[5]基准地价（商业）-满年限'!C30</f>
        <v>#REF!</v>
      </c>
      <c r="D6" s="4158">
        <v>0.3</v>
      </c>
      <c r="E6" s="4159" t="e">
        <f>ROUND(C6*D6+C8*D8+C9*D9,0)</f>
        <v>#REF!</v>
      </c>
      <c r="F6" s="4162" t="e">
        <f>ROUND(E6*0.25,0)</f>
        <v>#REF!</v>
      </c>
      <c r="H6" s="3951"/>
      <c r="I6" s="3951"/>
      <c r="J6" s="3951"/>
    </row>
    <row r="7" spans="1:16" hidden="1">
      <c r="A7" s="4151"/>
      <c r="B7" s="4151"/>
      <c r="C7" s="4151"/>
      <c r="D7" s="4158"/>
      <c r="E7" s="4160"/>
      <c r="F7" s="4163"/>
      <c r="H7" s="3951"/>
      <c r="I7" s="3951"/>
      <c r="J7" s="3951"/>
    </row>
    <row r="8" spans="1:16" hidden="1">
      <c r="A8" s="4151"/>
      <c r="B8" s="3928" t="s">
        <v>3214</v>
      </c>
      <c r="C8" s="3928" t="e">
        <f>'[5]剩余法-待开发（商业）'!B4</f>
        <v>#REF!</v>
      </c>
      <c r="D8" s="3929">
        <v>0.3</v>
      </c>
      <c r="E8" s="4160"/>
      <c r="F8" s="4163"/>
      <c r="H8" s="3951"/>
      <c r="I8" s="3951"/>
      <c r="J8" s="3951"/>
    </row>
    <row r="9" spans="1:16" hidden="1">
      <c r="A9" s="4151"/>
      <c r="B9" s="3928" t="s">
        <v>3353</v>
      </c>
      <c r="C9" s="3928" t="e">
        <f>'[5]比较法-商业土地'!B4</f>
        <v>#REF!</v>
      </c>
      <c r="D9" s="3929">
        <v>0.4</v>
      </c>
      <c r="E9" s="4161"/>
      <c r="F9" s="4164"/>
      <c r="H9" s="3951"/>
      <c r="I9" s="3951"/>
      <c r="J9" s="3951"/>
    </row>
    <row r="10" spans="1:16">
      <c r="A10" s="4151" t="s">
        <v>3369</v>
      </c>
      <c r="B10" s="3928" t="s">
        <v>3212</v>
      </c>
      <c r="C10" s="3929">
        <f>'基准地价-科研'!C33</f>
        <v>4529</v>
      </c>
      <c r="D10" s="3929">
        <v>0.5</v>
      </c>
      <c r="E10" s="4159">
        <f ca="1">ROUND(C10*D10+C11*D11+C12*D12,0)</f>
        <v>4511</v>
      </c>
      <c r="F10" s="4162">
        <f ca="1">ROUND(E10*0.25,0)</f>
        <v>1128</v>
      </c>
      <c r="G10" s="3950">
        <f ca="1">(C11-C10)/C10</f>
        <v>-7.9487745639213962E-3</v>
      </c>
      <c r="H10" s="3951">
        <v>5420</v>
      </c>
      <c r="I10" s="3952">
        <v>0.7</v>
      </c>
      <c r="J10" s="3951">
        <f>H10*I10</f>
        <v>3793.9999999999995</v>
      </c>
    </row>
    <row r="11" spans="1:16" ht="14.25" thickBot="1">
      <c r="A11" s="4151"/>
      <c r="B11" s="3928" t="s">
        <v>3214</v>
      </c>
      <c r="C11" s="3929">
        <f ca="1">'剩余法（待）-科研'!B3</f>
        <v>4493</v>
      </c>
      <c r="D11" s="3929">
        <f>1-D10</f>
        <v>0.5</v>
      </c>
      <c r="E11" s="4160"/>
      <c r="F11" s="4163"/>
    </row>
    <row r="12" spans="1:16" ht="23.25" thickBot="1">
      <c r="A12" s="4151"/>
      <c r="B12" s="3928" t="s">
        <v>3373</v>
      </c>
      <c r="C12" s="3929"/>
      <c r="D12" s="3929">
        <v>0</v>
      </c>
      <c r="E12" s="4161"/>
      <c r="F12" s="4164"/>
      <c r="H12" s="3954" t="s">
        <v>3093</v>
      </c>
      <c r="I12" s="3955" t="s">
        <v>2668</v>
      </c>
      <c r="J12" s="3955" t="s">
        <v>3407</v>
      </c>
      <c r="K12" s="3955" t="s">
        <v>3409</v>
      </c>
      <c r="L12" s="3955" t="s">
        <v>3410</v>
      </c>
      <c r="M12" s="3955" t="s">
        <v>3411</v>
      </c>
      <c r="N12" s="3955" t="s">
        <v>3412</v>
      </c>
      <c r="O12" s="3955" t="s">
        <v>3413</v>
      </c>
      <c r="P12" s="3955" t="s">
        <v>3404</v>
      </c>
    </row>
    <row r="13" spans="1:16">
      <c r="A13" s="4151" t="s">
        <v>3370</v>
      </c>
      <c r="B13" s="3928" t="s">
        <v>3212</v>
      </c>
      <c r="C13" s="3948">
        <f>'基准地价-科研'!C41</f>
        <v>1179</v>
      </c>
      <c r="D13" s="3929">
        <f>D10</f>
        <v>0.5</v>
      </c>
      <c r="E13" s="4159">
        <f ca="1">ROUND(C13*D13+C14*D14+C15*D15,0)</f>
        <v>1151</v>
      </c>
      <c r="F13" s="4162">
        <f ca="1">ROUND(E13*0.25,0)</f>
        <v>288</v>
      </c>
      <c r="H13" s="4145" t="s">
        <v>3405</v>
      </c>
      <c r="I13" s="4149" t="s">
        <v>3406</v>
      </c>
      <c r="J13" s="4149">
        <v>5490</v>
      </c>
      <c r="K13" s="4149">
        <f>'基准地价-科研'!C22</f>
        <v>0.8</v>
      </c>
      <c r="L13" s="4149">
        <f>'基准地价-科研'!C23</f>
        <v>1.0273000000000001</v>
      </c>
      <c r="M13" s="4149">
        <f>'基准地价-科研'!C24</f>
        <v>1</v>
      </c>
      <c r="N13" s="4145">
        <f>'基准地价-科研'!C25</f>
        <v>0.96</v>
      </c>
      <c r="O13" s="4147">
        <v>0.25</v>
      </c>
      <c r="P13" s="4147">
        <f>ROUND(J13*K13*L13*M13*N13*0.7*O13,0)</f>
        <v>758</v>
      </c>
    </row>
    <row r="14" spans="1:16" ht="14.25" thickBot="1">
      <c r="A14" s="4151"/>
      <c r="B14" s="3928" t="s">
        <v>3214</v>
      </c>
      <c r="C14" s="3931">
        <f ca="1">C11*0.25</f>
        <v>1123.25</v>
      </c>
      <c r="D14" s="3929">
        <f>D11</f>
        <v>0.5</v>
      </c>
      <c r="E14" s="4160"/>
      <c r="F14" s="4163"/>
      <c r="H14" s="4146"/>
      <c r="I14" s="4150"/>
      <c r="J14" s="4150"/>
      <c r="K14" s="4150"/>
      <c r="L14" s="4150"/>
      <c r="M14" s="4150"/>
      <c r="N14" s="4146"/>
      <c r="O14" s="4148"/>
      <c r="P14" s="4148"/>
    </row>
    <row r="15" spans="1:16">
      <c r="A15" s="4151"/>
      <c r="B15" s="3928" t="str">
        <f>B12</f>
        <v>市场比较法</v>
      </c>
      <c r="C15" s="3929"/>
      <c r="D15" s="3929">
        <v>0</v>
      </c>
      <c r="E15" s="4161"/>
      <c r="F15" s="4164"/>
      <c r="P15">
        <f>P13*0.7</f>
        <v>530.6</v>
      </c>
    </row>
    <row r="16" spans="1:16" hidden="1">
      <c r="A16" s="4165" t="s">
        <v>3355</v>
      </c>
      <c r="B16" s="3930" t="s">
        <v>3212</v>
      </c>
      <c r="C16" s="3929" t="e">
        <f>'[5]基准地价（商业）-满年限'!C35</f>
        <v>#REF!</v>
      </c>
      <c r="D16" s="3929">
        <f>D13</f>
        <v>0.5</v>
      </c>
      <c r="E16" s="4159" t="e">
        <f>ROUND(C16*D16+C17*D17+C18*D18,0)</f>
        <v>#REF!</v>
      </c>
      <c r="F16" s="4162" t="e">
        <f>ROUND(E16*0.25,0)</f>
        <v>#REF!</v>
      </c>
    </row>
    <row r="17" spans="1:6" hidden="1">
      <c r="A17" s="4166"/>
      <c r="B17" s="3930" t="s">
        <v>3214</v>
      </c>
      <c r="C17" s="3929" t="e">
        <f>ROUND(C8*0.4,0)</f>
        <v>#REF!</v>
      </c>
      <c r="D17" s="3929">
        <f>D14</f>
        <v>0.5</v>
      </c>
      <c r="E17" s="4160"/>
      <c r="F17" s="4163"/>
    </row>
    <row r="18" spans="1:6" hidden="1">
      <c r="A18" s="4167"/>
      <c r="B18" s="3930" t="s">
        <v>3353</v>
      </c>
      <c r="C18" s="3929" t="e">
        <f>ROUND(C9*0.4,0)</f>
        <v>#REF!</v>
      </c>
      <c r="D18" s="3929">
        <f>D9</f>
        <v>0.4</v>
      </c>
      <c r="E18" s="4161"/>
      <c r="F18" s="4164"/>
    </row>
    <row r="19" spans="1:6" hidden="1">
      <c r="A19" s="4151" t="s">
        <v>3356</v>
      </c>
      <c r="B19" s="3928" t="s">
        <v>3212</v>
      </c>
      <c r="C19" s="3929" t="e">
        <f>'[5]基准地价 (办公)'!C39</f>
        <v>#REF!</v>
      </c>
      <c r="D19" s="3929">
        <v>0.5</v>
      </c>
      <c r="E19" s="4159" t="e">
        <f ca="1">ROUND(C19*D19+C20*D20+C21*D21,0)</f>
        <v>#REF!</v>
      </c>
      <c r="F19" s="4162" t="e">
        <f ca="1">ROUND(E19*0.25,0)</f>
        <v>#REF!</v>
      </c>
    </row>
    <row r="20" spans="1:6" hidden="1">
      <c r="A20" s="4151"/>
      <c r="B20" s="3928" t="s">
        <v>3214</v>
      </c>
      <c r="C20" s="3929" t="e">
        <f ca="1">ROUND(C11*0.25*'[5]基准地价 (办公)'!C42,0)</f>
        <v>#REF!</v>
      </c>
      <c r="D20" s="3929">
        <f>1-D19</f>
        <v>0.5</v>
      </c>
      <c r="E20" s="4160"/>
      <c r="F20" s="4163"/>
    </row>
    <row r="21" spans="1:6" hidden="1">
      <c r="A21" s="4151"/>
      <c r="B21" s="3928" t="s">
        <v>3353</v>
      </c>
      <c r="C21" s="3929"/>
      <c r="D21" s="3929">
        <v>0</v>
      </c>
      <c r="E21" s="4161"/>
      <c r="F21" s="4164"/>
    </row>
    <row r="22" spans="1:6" hidden="1">
      <c r="A22" s="4168" t="s">
        <v>3357</v>
      </c>
      <c r="B22" s="3930" t="s">
        <v>3212</v>
      </c>
      <c r="C22" s="3929" t="e">
        <f>'[5]基准地价（商业）-满年限'!C39</f>
        <v>#REF!</v>
      </c>
      <c r="D22" s="3930">
        <f>D6</f>
        <v>0.3</v>
      </c>
      <c r="E22" s="4165" t="e">
        <f>ROUND(C22*D22+C23*D23+C24*D24,0)</f>
        <v>#REF!</v>
      </c>
      <c r="F22" s="4169" t="e">
        <f>ROUND(E22*0.25,0)</f>
        <v>#REF!</v>
      </c>
    </row>
    <row r="23" spans="1:6" hidden="1">
      <c r="A23" s="4168"/>
      <c r="B23" s="3930" t="s">
        <v>3214</v>
      </c>
      <c r="C23" s="3929" t="e">
        <f>ROUND(C8*0.25,0)</f>
        <v>#REF!</v>
      </c>
      <c r="D23" s="3930">
        <f>D8</f>
        <v>0.3</v>
      </c>
      <c r="E23" s="4166"/>
      <c r="F23" s="4170"/>
    </row>
    <row r="24" spans="1:6" hidden="1">
      <c r="A24" s="4168"/>
      <c r="B24" s="3930" t="s">
        <v>3353</v>
      </c>
      <c r="C24" s="3929" t="e">
        <f>ROUND(C9*0.25,0)</f>
        <v>#REF!</v>
      </c>
      <c r="D24" s="3930">
        <f>D9</f>
        <v>0.4</v>
      </c>
      <c r="E24" s="4167"/>
      <c r="F24" s="4171"/>
    </row>
    <row r="25" spans="1:6" hidden="1">
      <c r="A25" s="4151" t="s">
        <v>3358</v>
      </c>
      <c r="B25" s="3928" t="s">
        <v>3212</v>
      </c>
      <c r="C25" s="3929">
        <f>[6]基准地价出结果用!C40</f>
        <v>0</v>
      </c>
      <c r="D25" s="3928">
        <f>D13</f>
        <v>0.5</v>
      </c>
      <c r="E25" s="4152">
        <f ca="1">ROUND(C25*D25+C26*D26+C27*D27,0)</f>
        <v>0</v>
      </c>
      <c r="F25" s="4152">
        <f ca="1">ROUND(E25*0.25,0)</f>
        <v>0</v>
      </c>
    </row>
    <row r="26" spans="1:6" hidden="1">
      <c r="A26" s="4151"/>
      <c r="B26" s="3928" t="s">
        <v>3214</v>
      </c>
      <c r="C26" s="3929">
        <f ca="1">ROUND(C11*[6]基准地价出结果用!F40*[6]基准地价出结果用!C42,0)</f>
        <v>0</v>
      </c>
      <c r="D26" s="3928">
        <f>D14</f>
        <v>0.5</v>
      </c>
      <c r="E26" s="4153"/>
      <c r="F26" s="4153"/>
    </row>
    <row r="27" spans="1:6" hidden="1">
      <c r="A27" s="4151"/>
      <c r="B27" s="3928" t="s">
        <v>3353</v>
      </c>
      <c r="C27" s="3929"/>
      <c r="D27" s="3928">
        <v>0</v>
      </c>
      <c r="E27" s="4154"/>
      <c r="F27" s="4154"/>
    </row>
    <row r="29" spans="1:6" ht="14.25" thickBot="1">
      <c r="A29" s="3938" t="s">
        <v>3360</v>
      </c>
      <c r="B29"/>
      <c r="C29"/>
      <c r="D29"/>
      <c r="E29"/>
      <c r="F29"/>
    </row>
    <row r="30" spans="1:6" ht="14.25" customHeight="1" thickBot="1">
      <c r="A30" s="4173" t="s">
        <v>3361</v>
      </c>
      <c r="B30" s="4174" t="s">
        <v>3362</v>
      </c>
      <c r="C30" s="4174" t="s">
        <v>3093</v>
      </c>
      <c r="D30" s="4174" t="s">
        <v>3363</v>
      </c>
      <c r="E30" s="4174" t="s">
        <v>3371</v>
      </c>
      <c r="F30" s="4176" t="s">
        <v>3216</v>
      </c>
    </row>
    <row r="31" spans="1:6" ht="14.25" thickBot="1">
      <c r="A31" s="4173"/>
      <c r="B31" s="4174"/>
      <c r="C31" s="4174"/>
      <c r="D31" s="4174"/>
      <c r="E31" s="4174"/>
      <c r="F31" s="4177"/>
    </row>
    <row r="32" spans="1:6" ht="27.75" thickBot="1">
      <c r="A32" s="4178" t="s">
        <v>3364</v>
      </c>
      <c r="B32" s="3932" t="s">
        <v>3368</v>
      </c>
      <c r="C32" s="3932" t="s">
        <v>3372</v>
      </c>
      <c r="D32" s="3933">
        <f ca="1">E13</f>
        <v>1151</v>
      </c>
      <c r="E32" s="3933">
        <f>面积表!G8</f>
        <v>1902.72</v>
      </c>
      <c r="F32" s="3933">
        <f ca="1">ROUND(D32*E32/10000,4)</f>
        <v>219.00309999999999</v>
      </c>
    </row>
    <row r="33" spans="1:7" ht="15" thickBot="1">
      <c r="A33" s="4178"/>
      <c r="B33" s="4172" t="s">
        <v>16</v>
      </c>
      <c r="C33" s="4172"/>
      <c r="D33" s="4172"/>
      <c r="E33" s="4172"/>
      <c r="F33" s="3933">
        <f ca="1">F32</f>
        <v>219.00309999999999</v>
      </c>
    </row>
    <row r="34" spans="1:7" ht="15" thickBot="1">
      <c r="A34" s="4175" t="s">
        <v>3170</v>
      </c>
      <c r="B34" s="4175"/>
      <c r="C34" s="4175"/>
      <c r="D34" s="4175"/>
      <c r="E34" s="4175"/>
      <c r="F34" s="3933">
        <f ca="1">F33</f>
        <v>219.00309999999999</v>
      </c>
    </row>
    <row r="35" spans="1:7">
      <c r="A35" s="3935"/>
      <c r="B35" s="3935"/>
      <c r="C35" s="3935"/>
      <c r="D35" s="3935"/>
      <c r="E35" s="3935"/>
      <c r="F35" s="3936"/>
    </row>
    <row r="36" spans="1:7" ht="14.25" thickBot="1">
      <c r="A36" s="3937" t="s">
        <v>3374</v>
      </c>
      <c r="B36"/>
      <c r="C36"/>
      <c r="D36"/>
      <c r="E36"/>
      <c r="F36"/>
    </row>
    <row r="37" spans="1:7" ht="14.25" customHeight="1" thickBot="1">
      <c r="A37" s="4173" t="s">
        <v>3361</v>
      </c>
      <c r="B37" s="4174" t="s">
        <v>3362</v>
      </c>
      <c r="C37" s="4174" t="s">
        <v>3093</v>
      </c>
      <c r="D37" s="4174" t="s">
        <v>3403</v>
      </c>
      <c r="E37" s="4174" t="s">
        <v>3371</v>
      </c>
      <c r="F37" s="4176" t="s">
        <v>3402</v>
      </c>
    </row>
    <row r="38" spans="1:7" ht="35.25" customHeight="1" thickBot="1">
      <c r="A38" s="4173"/>
      <c r="B38" s="4174"/>
      <c r="C38" s="4174"/>
      <c r="D38" s="4174"/>
      <c r="E38" s="4174"/>
      <c r="F38" s="4177"/>
    </row>
    <row r="39" spans="1:7" ht="27.75" thickBot="1">
      <c r="A39" s="4178" t="s">
        <v>3364</v>
      </c>
      <c r="B39" s="3932" t="s">
        <v>3368</v>
      </c>
      <c r="C39" s="3932" t="s">
        <v>3372</v>
      </c>
      <c r="D39" s="3933">
        <f ca="1">F13</f>
        <v>288</v>
      </c>
      <c r="E39" s="3933">
        <f>E32</f>
        <v>1902.72</v>
      </c>
      <c r="F39" s="3933">
        <f ca="1">ROUND(D39*E39/10000,4)</f>
        <v>54.798299999999998</v>
      </c>
    </row>
    <row r="40" spans="1:7" ht="15" thickBot="1">
      <c r="A40" s="4178"/>
      <c r="B40" s="4172" t="s">
        <v>16</v>
      </c>
      <c r="C40" s="4172"/>
      <c r="D40" s="4172"/>
      <c r="E40" s="4172"/>
      <c r="F40" s="3933">
        <f ca="1">F39</f>
        <v>54.798299999999998</v>
      </c>
    </row>
    <row r="41" spans="1:7" ht="15" thickBot="1">
      <c r="A41" s="4175" t="s">
        <v>3170</v>
      </c>
      <c r="B41" s="4175"/>
      <c r="C41" s="4175"/>
      <c r="D41" s="4175"/>
      <c r="E41" s="4175"/>
      <c r="F41" s="3933">
        <f ca="1">F40</f>
        <v>54.798299999999998</v>
      </c>
      <c r="G41" s="3934"/>
    </row>
    <row r="42" spans="1:7">
      <c r="A42" s="3934"/>
      <c r="B42" s="3934"/>
      <c r="C42" s="3934"/>
      <c r="D42" s="3934"/>
      <c r="E42" s="3934"/>
      <c r="F42" s="3934"/>
      <c r="G42" s="3934"/>
    </row>
    <row r="43" spans="1:7" ht="14.25" thickBot="1">
      <c r="A43" s="3937" t="s">
        <v>3365</v>
      </c>
      <c r="B43"/>
      <c r="C43"/>
      <c r="D43"/>
      <c r="E43"/>
      <c r="F43"/>
      <c r="G43" s="3934"/>
    </row>
    <row r="44" spans="1:7" ht="14.25" thickBot="1">
      <c r="A44" s="4173" t="s">
        <v>3361</v>
      </c>
      <c r="B44" s="4174" t="s">
        <v>3362</v>
      </c>
      <c r="C44" s="4174" t="s">
        <v>3093</v>
      </c>
      <c r="D44" s="4174" t="s">
        <v>3366</v>
      </c>
      <c r="E44" s="4174" t="s">
        <v>3371</v>
      </c>
      <c r="F44" s="4176" t="s">
        <v>3367</v>
      </c>
      <c r="G44" s="3934"/>
    </row>
    <row r="45" spans="1:7" ht="25.5" customHeight="1" thickBot="1">
      <c r="A45" s="4173"/>
      <c r="B45" s="4174"/>
      <c r="C45" s="4174"/>
      <c r="D45" s="4174"/>
      <c r="E45" s="4174"/>
      <c r="F45" s="4177"/>
      <c r="G45" s="3934"/>
    </row>
    <row r="46" spans="1:7" ht="27.75" thickBot="1">
      <c r="A46" s="4178" t="s">
        <v>3364</v>
      </c>
      <c r="B46" s="3932" t="s">
        <v>3368</v>
      </c>
      <c r="C46" s="3932" t="s">
        <v>3372</v>
      </c>
      <c r="D46" s="3933">
        <f ca="1">D39</f>
        <v>288</v>
      </c>
      <c r="E46" s="3933">
        <f>E39</f>
        <v>1902.72</v>
      </c>
      <c r="F46" s="3933">
        <f ca="1">ROUND(D46*E46/10000,4)</f>
        <v>54.798299999999998</v>
      </c>
      <c r="G46" s="3934"/>
    </row>
    <row r="47" spans="1:7" ht="15" thickBot="1">
      <c r="A47" s="4178"/>
      <c r="B47" s="4172" t="s">
        <v>16</v>
      </c>
      <c r="C47" s="4172"/>
      <c r="D47" s="4172"/>
      <c r="E47" s="4172"/>
      <c r="F47" s="3933">
        <f ca="1">F46</f>
        <v>54.798299999999998</v>
      </c>
      <c r="G47" s="3934"/>
    </row>
    <row r="48" spans="1:7" ht="15" thickBot="1">
      <c r="A48" s="4175" t="s">
        <v>3170</v>
      </c>
      <c r="B48" s="4175"/>
      <c r="C48" s="4175"/>
      <c r="D48" s="4175"/>
      <c r="E48" s="4175"/>
      <c r="F48" s="3933">
        <f ca="1">F47</f>
        <v>54.798299999999998</v>
      </c>
      <c r="G48" s="3934"/>
    </row>
    <row r="49" spans="1:7">
      <c r="A49" s="3934"/>
      <c r="B49" s="3934"/>
      <c r="C49" s="3934"/>
      <c r="D49" s="3934"/>
      <c r="E49" s="3934"/>
      <c r="F49" s="3934"/>
      <c r="G49" s="3934"/>
    </row>
    <row r="50" spans="1:7">
      <c r="B50" s="3934"/>
      <c r="C50" s="3934"/>
      <c r="D50" s="3934"/>
      <c r="E50" s="3934"/>
      <c r="F50" s="3934"/>
      <c r="G50" s="3934"/>
    </row>
  </sheetData>
  <mergeCells count="63">
    <mergeCell ref="D44:D45"/>
    <mergeCell ref="E44:E45"/>
    <mergeCell ref="F44:F45"/>
    <mergeCell ref="A46:A47"/>
    <mergeCell ref="B47:E47"/>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B33:E33"/>
    <mergeCell ref="A30:A31"/>
    <mergeCell ref="B30:B31"/>
    <mergeCell ref="C30:C31"/>
    <mergeCell ref="D30:D31"/>
    <mergeCell ref="E30:E31"/>
    <mergeCell ref="A22:A24"/>
    <mergeCell ref="E22:E24"/>
    <mergeCell ref="F22:F24"/>
    <mergeCell ref="A25:A27"/>
    <mergeCell ref="E25:E27"/>
    <mergeCell ref="F25:F27"/>
    <mergeCell ref="A16:A18"/>
    <mergeCell ref="E16:E18"/>
    <mergeCell ref="F16:F18"/>
    <mergeCell ref="A19:A21"/>
    <mergeCell ref="E19:E21"/>
    <mergeCell ref="F19:F21"/>
    <mergeCell ref="A10:A12"/>
    <mergeCell ref="E10:E12"/>
    <mergeCell ref="F10:F12"/>
    <mergeCell ref="A13:A15"/>
    <mergeCell ref="E13:E15"/>
    <mergeCell ref="F13:F15"/>
    <mergeCell ref="A3:A5"/>
    <mergeCell ref="E3:E5"/>
    <mergeCell ref="F3:F5"/>
    <mergeCell ref="A6:A9"/>
    <mergeCell ref="B6:B7"/>
    <mergeCell ref="C6:C7"/>
    <mergeCell ref="D6:D7"/>
    <mergeCell ref="E6:E9"/>
    <mergeCell ref="F6:F9"/>
    <mergeCell ref="H13:H14"/>
    <mergeCell ref="N13:N14"/>
    <mergeCell ref="P13:P14"/>
    <mergeCell ref="I13:I14"/>
    <mergeCell ref="J13:J14"/>
    <mergeCell ref="K13:K14"/>
    <mergeCell ref="L13:L14"/>
    <mergeCell ref="M13:M14"/>
    <mergeCell ref="O13:O14"/>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M45"/>
  <sheetViews>
    <sheetView zoomScale="90" zoomScaleNormal="90" workbookViewId="0">
      <selection activeCell="F17" sqref="F17"/>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79" t="s">
        <v>1469</v>
      </c>
      <c r="D2" s="4179"/>
      <c r="E2" s="3906">
        <f>E7/B16</f>
        <v>2.4736147757255935</v>
      </c>
      <c r="F2" s="3906">
        <f>F7/B16</f>
        <v>2.3979675131926119</v>
      </c>
      <c r="G2" s="3902"/>
      <c r="H2" s="3903"/>
    </row>
    <row r="3" spans="1:13">
      <c r="A3" s="4180" t="s">
        <v>3306</v>
      </c>
      <c r="B3" s="4181"/>
      <c r="C3" s="4180" t="s">
        <v>3307</v>
      </c>
      <c r="D3" s="4181"/>
      <c r="E3" s="3907" t="s">
        <v>3308</v>
      </c>
      <c r="F3" s="3907" t="s">
        <v>3309</v>
      </c>
      <c r="G3" s="3907" t="s">
        <v>3310</v>
      </c>
      <c r="H3" s="3908" t="s">
        <v>3311</v>
      </c>
      <c r="J3" s="4182" t="s">
        <v>3312</v>
      </c>
      <c r="K3" s="4182"/>
      <c r="L3" s="4182"/>
      <c r="M3" s="4182"/>
    </row>
    <row r="4" spans="1:13">
      <c r="A4" s="4183" t="s">
        <v>3313</v>
      </c>
      <c r="B4" s="4183" t="s">
        <v>3314</v>
      </c>
      <c r="C4" s="4186" t="s">
        <v>3315</v>
      </c>
      <c r="D4" s="4186"/>
      <c r="E4" s="3909">
        <v>30000</v>
      </c>
      <c r="F4" s="3909">
        <f t="shared" ref="F4:F13" si="0">F18</f>
        <v>23347.35</v>
      </c>
      <c r="G4" s="3910">
        <f>F4-E4</f>
        <v>-6652.6500000000015</v>
      </c>
      <c r="H4" s="3911"/>
      <c r="J4" s="4182"/>
      <c r="K4" s="4182"/>
      <c r="L4" s="4182"/>
      <c r="M4" s="4182"/>
    </row>
    <row r="5" spans="1:13">
      <c r="A5" s="4184"/>
      <c r="B5" s="4184"/>
      <c r="C5" s="4186" t="s">
        <v>3316</v>
      </c>
      <c r="D5" s="4186"/>
      <c r="E5" s="3909">
        <v>0</v>
      </c>
      <c r="F5" s="3909">
        <f t="shared" si="0"/>
        <v>5735.2</v>
      </c>
      <c r="G5" s="3910">
        <f t="shared" ref="G5:G13" si="1">F5-E5</f>
        <v>5735.2</v>
      </c>
      <c r="H5" s="3911"/>
      <c r="J5" s="4182"/>
      <c r="K5" s="4182"/>
      <c r="L5" s="4182"/>
      <c r="M5" s="4182"/>
    </row>
    <row r="6" spans="1:13" hidden="1">
      <c r="A6" s="4184"/>
      <c r="B6" s="3907" t="s">
        <v>3317</v>
      </c>
      <c r="C6" s="4180" t="s">
        <v>3318</v>
      </c>
      <c r="D6" s="4181"/>
      <c r="E6" s="3909">
        <v>0</v>
      </c>
      <c r="F6" s="3909">
        <f t="shared" si="0"/>
        <v>0</v>
      </c>
      <c r="G6" s="3910">
        <f t="shared" si="1"/>
        <v>0</v>
      </c>
      <c r="H6" s="3908"/>
    </row>
    <row r="7" spans="1:13">
      <c r="A7" s="4185"/>
      <c r="B7" s="4187" t="s">
        <v>3319</v>
      </c>
      <c r="C7" s="4188"/>
      <c r="D7" s="4189"/>
      <c r="E7" s="3912">
        <f>SUM(E4:E6)</f>
        <v>30000</v>
      </c>
      <c r="F7" s="3909">
        <f t="shared" si="0"/>
        <v>29082.55</v>
      </c>
      <c r="G7" s="3910">
        <f t="shared" si="1"/>
        <v>-917.45000000000073</v>
      </c>
      <c r="H7" s="3908">
        <f t="shared" ref="H7" si="2">G7/E7</f>
        <v>-3.0581666666666691E-2</v>
      </c>
    </row>
    <row r="8" spans="1:13">
      <c r="A8" s="4183" t="s">
        <v>3320</v>
      </c>
      <c r="B8" s="4190" t="s">
        <v>3314</v>
      </c>
      <c r="C8" s="4190" t="str">
        <f>C4</f>
        <v>综合实验楼</v>
      </c>
      <c r="D8" s="4190"/>
      <c r="E8" s="3913">
        <v>0</v>
      </c>
      <c r="F8" s="3913">
        <f t="shared" si="0"/>
        <v>1902.72</v>
      </c>
      <c r="G8" s="3914">
        <f t="shared" si="1"/>
        <v>1902.72</v>
      </c>
      <c r="H8" s="3915">
        <v>1</v>
      </c>
      <c r="J8" s="4182" t="s">
        <v>3321</v>
      </c>
      <c r="K8" s="4182"/>
      <c r="L8" s="4182"/>
      <c r="M8" s="4182"/>
    </row>
    <row r="9" spans="1:13" ht="15" hidden="1" customHeight="1">
      <c r="A9" s="4184"/>
      <c r="B9" s="4190"/>
      <c r="C9" s="4190" t="str">
        <f>C5</f>
        <v>综合实验厂房</v>
      </c>
      <c r="D9" s="4190"/>
      <c r="E9" s="3916">
        <v>0</v>
      </c>
      <c r="F9" s="3916">
        <f t="shared" si="0"/>
        <v>0</v>
      </c>
      <c r="G9" s="3917">
        <f t="shared" si="1"/>
        <v>0</v>
      </c>
      <c r="H9" s="3918"/>
      <c r="J9" s="4182"/>
      <c r="K9" s="4182"/>
      <c r="L9" s="4182"/>
      <c r="M9" s="4182"/>
    </row>
    <row r="10" spans="1:13">
      <c r="A10" s="4184"/>
      <c r="B10" s="4186" t="s">
        <v>3317</v>
      </c>
      <c r="C10" s="4186" t="s">
        <v>3322</v>
      </c>
      <c r="D10" s="4186"/>
      <c r="E10" s="3909">
        <f>C48-E8</f>
        <v>0</v>
      </c>
      <c r="F10" s="3909">
        <f t="shared" si="0"/>
        <v>3023.92</v>
      </c>
      <c r="G10" s="3910">
        <f t="shared" si="1"/>
        <v>3023.92</v>
      </c>
      <c r="H10" s="3908"/>
      <c r="J10" s="4182"/>
      <c r="K10" s="4182"/>
      <c r="L10" s="4182"/>
      <c r="M10" s="4182"/>
    </row>
    <row r="11" spans="1:13">
      <c r="A11" s="4184"/>
      <c r="B11" s="4186"/>
      <c r="C11" s="4186" t="str">
        <f>C6</f>
        <v>人防</v>
      </c>
      <c r="D11" s="4186"/>
      <c r="E11" s="3909">
        <v>0</v>
      </c>
      <c r="F11" s="3909">
        <f t="shared" si="0"/>
        <v>4161.3999999999996</v>
      </c>
      <c r="G11" s="3910">
        <f t="shared" si="1"/>
        <v>4161.3999999999996</v>
      </c>
      <c r="H11" s="3908"/>
      <c r="J11" s="4182"/>
      <c r="K11" s="4182"/>
      <c r="L11" s="4182"/>
      <c r="M11" s="4182"/>
    </row>
    <row r="12" spans="1:13">
      <c r="A12" s="4185"/>
      <c r="B12" s="4187" t="s">
        <v>3319</v>
      </c>
      <c r="C12" s="4188"/>
      <c r="D12" s="4189"/>
      <c r="E12" s="3919">
        <f>SUM(E8:E11)</f>
        <v>0</v>
      </c>
      <c r="F12" s="3909">
        <f t="shared" si="0"/>
        <v>9088.0400000000009</v>
      </c>
      <c r="G12" s="3910">
        <f t="shared" si="1"/>
        <v>9088.0400000000009</v>
      </c>
      <c r="H12" s="3908"/>
      <c r="J12" s="4182"/>
      <c r="K12" s="4182"/>
      <c r="L12" s="4182"/>
      <c r="M12" s="4182"/>
    </row>
    <row r="13" spans="1:13">
      <c r="A13" s="4187" t="s">
        <v>3323</v>
      </c>
      <c r="B13" s="4188"/>
      <c r="C13" s="4188"/>
      <c r="D13" s="4189"/>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91" t="s">
        <v>3325</v>
      </c>
      <c r="D16" s="4191"/>
      <c r="E16" s="3905">
        <f>E21/B16</f>
        <v>2.3405343007915569</v>
      </c>
      <c r="F16" s="3905">
        <f>F21/B16</f>
        <v>2.3979675131926119</v>
      </c>
    </row>
    <row r="17" spans="1:8">
      <c r="A17" s="4180" t="s">
        <v>3306</v>
      </c>
      <c r="B17" s="4181"/>
      <c r="C17" s="4180" t="s">
        <v>3307</v>
      </c>
      <c r="D17" s="4181"/>
      <c r="E17" s="3907" t="s">
        <v>3308</v>
      </c>
      <c r="F17" s="3907" t="s">
        <v>3309</v>
      </c>
      <c r="G17" s="3907" t="s">
        <v>3310</v>
      </c>
      <c r="H17" s="3908" t="s">
        <v>3311</v>
      </c>
    </row>
    <row r="18" spans="1:8">
      <c r="A18" s="4183" t="s">
        <v>3313</v>
      </c>
      <c r="B18" s="4183" t="s">
        <v>3314</v>
      </c>
      <c r="C18" s="4186" t="s">
        <v>3315</v>
      </c>
      <c r="D18" s="4186"/>
      <c r="E18" s="3909">
        <f>22812-E20</f>
        <v>22812</v>
      </c>
      <c r="F18" s="3909">
        <v>23347.35</v>
      </c>
      <c r="G18" s="3910">
        <f>F18-E18</f>
        <v>535.34999999999854</v>
      </c>
      <c r="H18" s="3911">
        <f>G18/E18</f>
        <v>2.3467911625460219E-2</v>
      </c>
    </row>
    <row r="19" spans="1:8">
      <c r="A19" s="4184"/>
      <c r="B19" s="4184"/>
      <c r="C19" s="4186" t="s">
        <v>3316</v>
      </c>
      <c r="D19" s="4186"/>
      <c r="E19" s="3909">
        <v>5574</v>
      </c>
      <c r="F19" s="3909">
        <v>5735.2</v>
      </c>
      <c r="G19" s="3910">
        <f t="shared" ref="G19:G27" si="4">F19-E19</f>
        <v>161.19999999999982</v>
      </c>
      <c r="H19" s="3911">
        <f t="shared" ref="H19:H27" si="5">G19/E19</f>
        <v>2.8919985647649769E-2</v>
      </c>
    </row>
    <row r="20" spans="1:8" hidden="1">
      <c r="A20" s="4184"/>
      <c r="B20" s="3907" t="s">
        <v>3317</v>
      </c>
      <c r="C20" s="4180" t="s">
        <v>3318</v>
      </c>
      <c r="D20" s="4181"/>
      <c r="E20" s="3909">
        <v>0</v>
      </c>
      <c r="F20" s="3909">
        <v>0</v>
      </c>
      <c r="G20" s="3910">
        <f t="shared" si="4"/>
        <v>0</v>
      </c>
      <c r="H20" s="3908">
        <v>0</v>
      </c>
    </row>
    <row r="21" spans="1:8">
      <c r="A21" s="4185"/>
      <c r="B21" s="4187" t="s">
        <v>3319</v>
      </c>
      <c r="C21" s="4188"/>
      <c r="D21" s="4189"/>
      <c r="E21" s="3912">
        <f>SUM(E18:E20)</f>
        <v>28386</v>
      </c>
      <c r="F21" s="3912">
        <f>SUM(F18:F20)</f>
        <v>29082.55</v>
      </c>
      <c r="G21" s="3910">
        <f t="shared" si="4"/>
        <v>696.54999999999927</v>
      </c>
      <c r="H21" s="3908">
        <f t="shared" si="5"/>
        <v>2.4538504896780076E-2</v>
      </c>
    </row>
    <row r="22" spans="1:8">
      <c r="A22" s="4183" t="s">
        <v>3320</v>
      </c>
      <c r="B22" s="4186" t="s">
        <v>3314</v>
      </c>
      <c r="C22" s="4186" t="str">
        <f>C18</f>
        <v>综合实验楼</v>
      </c>
      <c r="D22" s="4186"/>
      <c r="E22" s="3909">
        <f>C34+C35</f>
        <v>1992.2</v>
      </c>
      <c r="F22" s="3909">
        <v>1902.72</v>
      </c>
      <c r="G22" s="3910">
        <f t="shared" si="4"/>
        <v>-89.480000000000018</v>
      </c>
      <c r="H22" s="3911">
        <f t="shared" si="5"/>
        <v>-4.4915169159722927E-2</v>
      </c>
    </row>
    <row r="23" spans="1:8" hidden="1">
      <c r="A23" s="4184"/>
      <c r="B23" s="4186"/>
      <c r="C23" s="4186" t="str">
        <f>C19</f>
        <v>综合实验厂房</v>
      </c>
      <c r="D23" s="4186"/>
      <c r="E23" s="3909">
        <v>0</v>
      </c>
      <c r="F23" s="3909">
        <v>0</v>
      </c>
      <c r="G23" s="3910">
        <f t="shared" si="4"/>
        <v>0</v>
      </c>
      <c r="H23" s="3908">
        <v>0</v>
      </c>
    </row>
    <row r="24" spans="1:8">
      <c r="A24" s="4184"/>
      <c r="B24" s="4186" t="s">
        <v>3317</v>
      </c>
      <c r="C24" s="4186" t="s">
        <v>3322</v>
      </c>
      <c r="D24" s="4186"/>
      <c r="E24" s="3909">
        <f>C41-E22</f>
        <v>3737.8000000000011</v>
      </c>
      <c r="F24" s="3909">
        <f>D41-F22</f>
        <v>3023.92</v>
      </c>
      <c r="G24" s="3910">
        <f t="shared" si="4"/>
        <v>-713.88000000000102</v>
      </c>
      <c r="H24" s="3908">
        <f t="shared" si="5"/>
        <v>-0.19098935202525572</v>
      </c>
    </row>
    <row r="25" spans="1:8">
      <c r="A25" s="4184"/>
      <c r="B25" s="4186"/>
      <c r="C25" s="4186" t="str">
        <f>C20</f>
        <v>人防</v>
      </c>
      <c r="D25" s="4186"/>
      <c r="E25" s="3909">
        <f>C33</f>
        <v>3904</v>
      </c>
      <c r="F25" s="3909">
        <f>D33</f>
        <v>4161.3999999999996</v>
      </c>
      <c r="G25" s="3910">
        <f t="shared" si="4"/>
        <v>257.39999999999964</v>
      </c>
      <c r="H25" s="3908">
        <f t="shared" si="5"/>
        <v>6.593237704918023E-2</v>
      </c>
    </row>
    <row r="26" spans="1:8">
      <c r="A26" s="4185"/>
      <c r="B26" s="4187" t="s">
        <v>3319</v>
      </c>
      <c r="C26" s="4188"/>
      <c r="D26" s="4189"/>
      <c r="E26" s="3919">
        <f>SUM(E22:E25)</f>
        <v>9634</v>
      </c>
      <c r="F26" s="3920">
        <f>SUM(F22:F25)</f>
        <v>9088.0400000000009</v>
      </c>
      <c r="G26" s="3910">
        <f t="shared" si="4"/>
        <v>-545.95999999999913</v>
      </c>
      <c r="H26" s="3908">
        <f t="shared" si="5"/>
        <v>-5.6670126634834866E-2</v>
      </c>
    </row>
    <row r="27" spans="1:8">
      <c r="A27" s="4187" t="s">
        <v>3323</v>
      </c>
      <c r="B27" s="4188"/>
      <c r="C27" s="4188"/>
      <c r="D27" s="4189"/>
      <c r="E27" s="3919">
        <f>E21+E26</f>
        <v>38020</v>
      </c>
      <c r="F27" s="3912">
        <f>F21+F26</f>
        <v>38170.589999999997</v>
      </c>
      <c r="G27" s="3910">
        <f t="shared" si="4"/>
        <v>150.58999999999651</v>
      </c>
      <c r="H27" s="3908">
        <f t="shared" si="5"/>
        <v>3.9608100999473043E-3</v>
      </c>
    </row>
    <row r="30" spans="1:8" s="3922" customFormat="1" ht="27">
      <c r="A30" s="4192" t="s">
        <v>3326</v>
      </c>
      <c r="B30" s="4192"/>
      <c r="C30" s="4192"/>
      <c r="D30" s="3921" t="s">
        <v>3327</v>
      </c>
    </row>
    <row r="31" spans="1:8" s="3922" customFormat="1" ht="32.1" customHeight="1">
      <c r="A31" s="4193" t="s">
        <v>3328</v>
      </c>
      <c r="B31" s="3923" t="s">
        <v>3329</v>
      </c>
      <c r="C31" s="3923">
        <v>124</v>
      </c>
      <c r="D31" s="3923">
        <v>457.69</v>
      </c>
      <c r="E31" s="3924"/>
    </row>
    <row r="32" spans="1:8" s="3922" customFormat="1" ht="62.1" customHeight="1">
      <c r="A32" s="4193"/>
      <c r="B32" s="3923" t="s">
        <v>3330</v>
      </c>
      <c r="C32" s="3923">
        <v>3780</v>
      </c>
      <c r="D32" s="3923">
        <v>3703.71</v>
      </c>
      <c r="E32" s="3924"/>
    </row>
    <row r="33" spans="1:6" s="3922" customFormat="1">
      <c r="A33" s="4193"/>
      <c r="B33" s="3923" t="s">
        <v>3331</v>
      </c>
      <c r="C33" s="3923">
        <f>C31+C32</f>
        <v>3904</v>
      </c>
      <c r="D33" s="3923">
        <f>D31+D32</f>
        <v>4161.3999999999996</v>
      </c>
      <c r="E33" s="3924"/>
    </row>
    <row r="34" spans="1:6" s="3922" customFormat="1" ht="27">
      <c r="A34" s="4193" t="s">
        <v>3332</v>
      </c>
      <c r="B34" s="3923" t="s">
        <v>3333</v>
      </c>
      <c r="C34" s="3923">
        <v>1829.3</v>
      </c>
      <c r="D34" s="3923">
        <v>1747.15</v>
      </c>
      <c r="E34" s="3924">
        <f>D34+D35</f>
        <v>1902.72</v>
      </c>
    </row>
    <row r="35" spans="1:6" s="3922" customFormat="1" ht="18.95" customHeight="1">
      <c r="A35" s="4193"/>
      <c r="B35" s="3923" t="s">
        <v>3334</v>
      </c>
      <c r="C35" s="3923">
        <v>162.9</v>
      </c>
      <c r="D35" s="3923">
        <v>155.57</v>
      </c>
      <c r="E35" s="3924"/>
    </row>
    <row r="36" spans="1:6" s="3922" customFormat="1">
      <c r="A36" s="4193"/>
      <c r="B36" s="3923" t="s">
        <v>3335</v>
      </c>
      <c r="C36" s="3923">
        <v>134.6</v>
      </c>
      <c r="D36" s="3923">
        <v>128.57</v>
      </c>
      <c r="E36" s="3924"/>
    </row>
    <row r="37" spans="1:6" s="3922" customFormat="1">
      <c r="A37" s="4193"/>
      <c r="B37" s="3923" t="s">
        <v>3336</v>
      </c>
      <c r="C37" s="3923">
        <v>2560.6999999999998</v>
      </c>
      <c r="D37" s="3923">
        <v>2445.67</v>
      </c>
      <c r="E37" s="3924"/>
    </row>
    <row r="38" spans="1:6" s="3922" customFormat="1">
      <c r="A38" s="4193"/>
      <c r="B38" s="3923" t="s">
        <v>3337</v>
      </c>
      <c r="C38" s="3923">
        <v>470.8</v>
      </c>
      <c r="D38" s="3923">
        <v>449.68</v>
      </c>
    </row>
    <row r="39" spans="1:6" s="3922" customFormat="1">
      <c r="A39" s="4193"/>
      <c r="B39" s="3923" t="s">
        <v>3338</v>
      </c>
      <c r="C39" s="3923">
        <v>325.60000000000002</v>
      </c>
      <c r="D39" s="3923">
        <v>0</v>
      </c>
    </row>
    <row r="40" spans="1:6" s="3922" customFormat="1">
      <c r="A40" s="4193"/>
      <c r="B40" s="3923" t="s">
        <v>3339</v>
      </c>
      <c r="C40" s="3923">
        <v>246.1</v>
      </c>
      <c r="D40" s="3923">
        <v>0</v>
      </c>
    </row>
    <row r="41" spans="1:6" s="3922" customFormat="1">
      <c r="A41" s="4193"/>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A27:D27"/>
    <mergeCell ref="A30:C30"/>
    <mergeCell ref="A31:A33"/>
    <mergeCell ref="A34:A41"/>
    <mergeCell ref="A22:A26"/>
    <mergeCell ref="B22:B23"/>
    <mergeCell ref="C22:D22"/>
    <mergeCell ref="C23:D23"/>
    <mergeCell ref="B24:B25"/>
    <mergeCell ref="C24:D24"/>
    <mergeCell ref="C25:D25"/>
    <mergeCell ref="B26:D26"/>
    <mergeCell ref="A13:D13"/>
    <mergeCell ref="C16:D16"/>
    <mergeCell ref="A17:B17"/>
    <mergeCell ref="C17:D17"/>
    <mergeCell ref="A18:A21"/>
    <mergeCell ref="B18:B19"/>
    <mergeCell ref="C18:D18"/>
    <mergeCell ref="C19:D19"/>
    <mergeCell ref="C20:D20"/>
    <mergeCell ref="B21:D21"/>
    <mergeCell ref="A8:A12"/>
    <mergeCell ref="B8:B9"/>
    <mergeCell ref="C8:D8"/>
    <mergeCell ref="J8:M12"/>
    <mergeCell ref="C9:D9"/>
    <mergeCell ref="B10:B11"/>
    <mergeCell ref="C10:D10"/>
    <mergeCell ref="C11:D11"/>
    <mergeCell ref="B12:D12"/>
    <mergeCell ref="C2:D2"/>
    <mergeCell ref="A3:B3"/>
    <mergeCell ref="C3:D3"/>
    <mergeCell ref="J3:M5"/>
    <mergeCell ref="A4:A7"/>
    <mergeCell ref="B4:B5"/>
    <mergeCell ref="C4:D4"/>
    <mergeCell ref="C5:D5"/>
    <mergeCell ref="C6:D6"/>
    <mergeCell ref="B7:D7"/>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zoomScale="80" zoomScaleNormal="80" zoomScaleSheetLayoutView="80" workbookViewId="0">
      <selection activeCell="H19" sqref="H19"/>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13171</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7086</v>
      </c>
      <c r="U2" s="2117"/>
      <c r="V2" s="2127">
        <f>ROUND(T2*U2/10000,0)</f>
        <v>0</v>
      </c>
      <c r="W2" s="1708"/>
      <c r="X2" s="1708"/>
      <c r="Y2" s="1708"/>
      <c r="Z2" s="1708"/>
      <c r="AA2" s="1708"/>
      <c r="AB2" s="1708"/>
      <c r="AC2" s="1709"/>
    </row>
    <row r="3" spans="1:39" ht="15.75">
      <c r="A3" s="1114" t="s">
        <v>1220</v>
      </c>
      <c r="B3" s="870">
        <f>ROUND(B2*10000/D1,0)</f>
        <v>4529</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5585</v>
      </c>
      <c r="U3" s="2117"/>
      <c r="V3" s="2127">
        <f t="shared" ref="V3:V16" si="1">ROUND(T3*U3/10000,0)</f>
        <v>0</v>
      </c>
      <c r="W3" s="1708"/>
      <c r="X3" s="1708"/>
      <c r="Y3" s="1708"/>
      <c r="Z3" s="1708"/>
      <c r="AA3" s="1708"/>
      <c r="AB3" s="1708"/>
      <c r="AC3" s="1709"/>
    </row>
    <row r="4" spans="1:39" ht="28.5">
      <c r="A4" s="1475" t="s">
        <v>1557</v>
      </c>
      <c r="B4" s="1877">
        <f>ROUND(B2*10000/F1,0)</f>
        <v>10860</v>
      </c>
      <c r="C4" s="1478" t="s">
        <v>1532</v>
      </c>
      <c r="D4" s="1478">
        <f>ROUND(B2/(F1/666.67),0)</f>
        <v>724</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4720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4163</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4001</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32106.47</v>
      </c>
      <c r="F19" s="3213" t="s">
        <v>3116</v>
      </c>
      <c r="G19" s="3217">
        <f>'数据-汇总表'!E3</f>
        <v>32106.47</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f>ROUND(IF(F21="与级别开发程度一致",0,(G21-E21)/C21),0)</f>
        <v>-25</v>
      </c>
      <c r="D20" s="4136" t="s">
        <v>879</v>
      </c>
      <c r="E20" s="4137"/>
      <c r="F20" s="4136" t="s">
        <v>876</v>
      </c>
      <c r="G20" s="4137"/>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0.96</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1.0504</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13171</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4529</v>
      </c>
      <c r="D33" s="1174">
        <f>'数据-汇总表'!E19</f>
        <v>29082.55</v>
      </c>
      <c r="E33" s="1463">
        <f>ROUND(C33*D33/10000,0)</f>
        <v>13171</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1132</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f>ROUND(D5*C22*C23*C24*C28*F37,0)</f>
        <v>2831</v>
      </c>
      <c r="D37" s="1204"/>
      <c r="E37" s="875">
        <f>ROUND(C37*D37/10000,0)</f>
        <v>0</v>
      </c>
      <c r="F37" s="875">
        <f>SUMIF(修正!A57:A68,G2,修正!B57:B68)</f>
        <v>0.6</v>
      </c>
      <c r="G37" s="875">
        <f>ROUND(IF(E2="工业",C37*$M$42,C37*$M$41),0)</f>
        <v>708</v>
      </c>
      <c r="H37" s="875">
        <f>D37</f>
        <v>0</v>
      </c>
      <c r="I37" s="875">
        <f>ROUND(G37*H37/10000,0)</f>
        <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f>ROUND(D5*C22*C23*C24*C28*F38,0)</f>
        <v>1415</v>
      </c>
      <c r="D38" s="1204"/>
      <c r="E38" s="875">
        <f t="shared" ref="E38:E42" si="4">ROUND(C38*D38/10000,0)</f>
        <v>0</v>
      </c>
      <c r="F38" s="875">
        <f>SUMIF(修正!A57:A68,G2,修正!C57:C68)</f>
        <v>0.3</v>
      </c>
      <c r="G38" s="875">
        <f>ROUND(IF(E2="工业",C38*$M$42,C38*$M$41),0)</f>
        <v>354</v>
      </c>
      <c r="H38" s="875">
        <f t="shared" ref="H38:H42" si="5">D38</f>
        <v>0</v>
      </c>
      <c r="I38" s="875">
        <f t="shared" ref="I38:I42" si="6">ROUND(G38*H38/10000,0)</f>
        <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f>ROUND(D5*C22*C23*C24*C28*F39,0)</f>
        <v>1179</v>
      </c>
      <c r="D39" s="1204"/>
      <c r="E39" s="875">
        <f t="shared" si="4"/>
        <v>0</v>
      </c>
      <c r="F39" s="875">
        <f>SUMIF(修正!A57:A68,G2,修正!D57:D68)</f>
        <v>0.25</v>
      </c>
      <c r="G39" s="875">
        <f>ROUND(IF(E2="工业",C39*$M$42,C39*$M$41),0)</f>
        <v>295</v>
      </c>
      <c r="H39" s="875">
        <f t="shared" si="5"/>
        <v>0</v>
      </c>
      <c r="I39" s="875">
        <f t="shared" si="6"/>
        <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1179</v>
      </c>
      <c r="D40" s="1204"/>
      <c r="E40" s="875">
        <f t="shared" si="4"/>
        <v>0</v>
      </c>
      <c r="F40" s="884">
        <f>SUMIF(修正!A57:A68,G2,修正!E57:E68)</f>
        <v>0.25</v>
      </c>
      <c r="G40" s="875">
        <f>ROUND(IF(E2="工业",C40*$M$42,C40*$M$41),0)</f>
        <v>295</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1179</v>
      </c>
      <c r="D41" s="1204"/>
      <c r="E41" s="875">
        <f t="shared" si="4"/>
        <v>0</v>
      </c>
      <c r="F41" s="884">
        <f>SUMIF(修正!A57:A68,G2,修正!F57:F68)</f>
        <v>0.25</v>
      </c>
      <c r="G41" s="875">
        <f>ROUND(IF(E2="工业",C41*$M$42,C41*$M$41),0)</f>
        <v>295</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708</v>
      </c>
      <c r="D42" s="1205"/>
      <c r="E42" s="876">
        <f t="shared" si="4"/>
        <v>0</v>
      </c>
      <c r="F42" s="886">
        <f>SUMIF(修正!A57:A68,G2,修正!G57:G68)</f>
        <v>0.15</v>
      </c>
      <c r="G42" s="876">
        <f>ROUND(IF(E2="工业",C42*$M$42,C42*$M$41),0)</f>
        <v>177</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1</v>
      </c>
      <c r="D44" s="264" t="s">
        <v>2147</v>
      </c>
      <c r="E44" s="2280">
        <f>G24</f>
        <v>0.05</v>
      </c>
      <c r="F44" s="264" t="s">
        <v>2148</v>
      </c>
      <c r="G44" s="3947">
        <f>H44</f>
        <v>50</v>
      </c>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1.0504</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5.04E-2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944" t="s">
        <v>3179</v>
      </c>
      <c r="D94" s="3250">
        <f t="shared" ref="D94:D101" si="30">SUMIF($J$92:$N$92,C94,J94:N94)</f>
        <v>1.6899999999999998E-2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3944" t="s">
        <v>3346</v>
      </c>
      <c r="D100" s="3250">
        <f t="shared" si="30"/>
        <v>1.1599999999999999E-2</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3896"/>
      <c r="L104" s="3896"/>
      <c r="M104" s="3896"/>
      <c r="N104" s="3896"/>
    </row>
    <row r="105" spans="1:36">
      <c r="A105" s="4144" t="s">
        <v>833</v>
      </c>
      <c r="B105" s="4144" t="s">
        <v>1173</v>
      </c>
      <c r="C105" s="920" t="s">
        <v>1174</v>
      </c>
      <c r="D105" s="921"/>
      <c r="E105" s="921"/>
      <c r="F105" s="921"/>
      <c r="G105" s="921"/>
      <c r="H105" s="921"/>
      <c r="I105" s="921"/>
      <c r="J105" s="922"/>
      <c r="K105" s="914"/>
      <c r="L105" s="914"/>
      <c r="M105" s="914"/>
      <c r="N105" s="914"/>
    </row>
    <row r="106" spans="1:36">
      <c r="A106" s="4144"/>
      <c r="B106" s="4144"/>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34402.235200000003</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34402.235200000003</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688.04470000000003</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6" xr:uid="{00000000-0002-0000-1600-000002000000}">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201" t="s">
        <v>471</v>
      </c>
      <c r="D6" s="4202"/>
      <c r="E6" s="4201" t="s">
        <v>472</v>
      </c>
      <c r="F6" s="4202"/>
      <c r="G6" s="4201" t="s">
        <v>473</v>
      </c>
      <c r="H6" s="4202"/>
      <c r="I6" s="4201" t="s">
        <v>474</v>
      </c>
      <c r="J6" s="4202"/>
      <c r="K6" s="372" t="s">
        <v>475</v>
      </c>
      <c r="L6" s="1653"/>
      <c r="M6" s="1652"/>
      <c r="N6" s="1652"/>
      <c r="O6" s="1654"/>
      <c r="P6" s="4203" t="s">
        <v>476</v>
      </c>
      <c r="Q6" s="4204"/>
      <c r="R6" s="4209" t="s">
        <v>472</v>
      </c>
      <c r="S6" s="4210"/>
      <c r="T6" s="4209" t="s">
        <v>473</v>
      </c>
      <c r="U6" s="4210"/>
      <c r="V6" s="4196" t="s">
        <v>474</v>
      </c>
      <c r="W6" s="4196"/>
      <c r="X6" s="1228"/>
      <c r="Y6" s="4209" t="s">
        <v>476</v>
      </c>
      <c r="Z6" s="4210"/>
      <c r="AA6" s="4198" t="s">
        <v>472</v>
      </c>
      <c r="AB6" s="4199" t="s">
        <v>473</v>
      </c>
      <c r="AC6" s="4198" t="s">
        <v>474</v>
      </c>
    </row>
    <row r="7" spans="1:30" ht="20.25">
      <c r="A7" s="373"/>
      <c r="B7" s="374"/>
      <c r="C7" s="4217" t="s">
        <v>2100</v>
      </c>
      <c r="D7" s="4218"/>
      <c r="E7" s="4217" t="s">
        <v>2101</v>
      </c>
      <c r="F7" s="4218"/>
      <c r="G7" s="4217" t="s">
        <v>2102</v>
      </c>
      <c r="H7" s="4218"/>
      <c r="I7" s="4217" t="s">
        <v>2103</v>
      </c>
      <c r="J7" s="4218"/>
      <c r="K7" s="372"/>
      <c r="L7" s="1653"/>
      <c r="M7" s="1652"/>
      <c r="N7" s="1652"/>
      <c r="O7" s="1654"/>
      <c r="P7" s="4205"/>
      <c r="Q7" s="4206"/>
      <c r="R7" s="4211"/>
      <c r="S7" s="4212"/>
      <c r="T7" s="4211"/>
      <c r="U7" s="4212"/>
      <c r="V7" s="4196"/>
      <c r="W7" s="4196"/>
      <c r="X7" s="1228"/>
      <c r="Y7" s="4211"/>
      <c r="Z7" s="4212"/>
      <c r="AA7" s="4199"/>
      <c r="AB7" s="4199"/>
      <c r="AC7" s="4199"/>
    </row>
    <row r="8" spans="1:30" ht="21" thickBot="1">
      <c r="A8" s="373"/>
      <c r="B8" s="374"/>
      <c r="C8" s="4219" t="s">
        <v>2104</v>
      </c>
      <c r="D8" s="4220"/>
      <c r="E8" s="4219" t="s">
        <v>2104</v>
      </c>
      <c r="F8" s="4220"/>
      <c r="G8" s="4215" t="s">
        <v>2104</v>
      </c>
      <c r="H8" s="4216"/>
      <c r="I8" s="4215" t="s">
        <v>2104</v>
      </c>
      <c r="J8" s="4216"/>
      <c r="K8" s="372" t="s">
        <v>477</v>
      </c>
      <c r="L8" s="1653"/>
      <c r="M8" s="1652"/>
      <c r="N8" s="1652"/>
      <c r="O8" s="1654"/>
      <c r="P8" s="4207"/>
      <c r="Q8" s="4208"/>
      <c r="R8" s="4211"/>
      <c r="S8" s="4212"/>
      <c r="T8" s="4213"/>
      <c r="U8" s="4214"/>
      <c r="V8" s="4196"/>
      <c r="W8" s="4196"/>
      <c r="X8" s="1228"/>
      <c r="Y8" s="4213"/>
      <c r="Z8" s="4214"/>
      <c r="AA8" s="4200"/>
      <c r="AB8" s="4200"/>
      <c r="AC8" s="4200"/>
    </row>
    <row r="9" spans="1:30" s="981" customFormat="1" ht="21" thickBot="1">
      <c r="A9" s="2103"/>
      <c r="B9" s="2110" t="s">
        <v>478</v>
      </c>
      <c r="C9" s="2102">
        <f>'数据-取费表'!B2</f>
        <v>45076</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225" t="s">
        <v>479</v>
      </c>
      <c r="Q9" s="4227"/>
      <c r="R9" s="1229" t="s">
        <v>5</v>
      </c>
      <c r="S9" s="1230">
        <f t="shared" ref="S9:S17" si="0">F9</f>
        <v>0</v>
      </c>
      <c r="T9" s="1229" t="s">
        <v>5</v>
      </c>
      <c r="U9" s="1230">
        <f t="shared" ref="U9:U17" si="1">H9</f>
        <v>0</v>
      </c>
      <c r="V9" s="1229" t="s">
        <v>5</v>
      </c>
      <c r="W9" s="1230">
        <f t="shared" ref="W9:W17" si="2">J9</f>
        <v>0</v>
      </c>
      <c r="X9" s="1231"/>
      <c r="Y9" s="4225" t="s">
        <v>479</v>
      </c>
      <c r="Z9" s="4226"/>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225" t="s">
        <v>482</v>
      </c>
      <c r="Q10" s="4226"/>
      <c r="R10" s="1229" t="s">
        <v>5</v>
      </c>
      <c r="S10" s="1230">
        <f t="shared" si="0"/>
        <v>0</v>
      </c>
      <c r="T10" s="1229" t="s">
        <v>5</v>
      </c>
      <c r="U10" s="1230">
        <f t="shared" si="1"/>
        <v>0</v>
      </c>
      <c r="V10" s="1229" t="s">
        <v>5</v>
      </c>
      <c r="W10" s="1230">
        <f t="shared" si="2"/>
        <v>0</v>
      </c>
      <c r="X10" s="1231"/>
      <c r="Y10" s="4225" t="s">
        <v>482</v>
      </c>
      <c r="Z10" s="4226"/>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195" t="s">
        <v>484</v>
      </c>
      <c r="Q11" s="929" t="str">
        <f t="shared" ref="Q11:Q17" si="6">B11</f>
        <v>用途</v>
      </c>
      <c r="R11" s="1229" t="s">
        <v>5</v>
      </c>
      <c r="S11" s="1230">
        <f t="shared" si="0"/>
        <v>100</v>
      </c>
      <c r="T11" s="1229" t="s">
        <v>5</v>
      </c>
      <c r="U11" s="1230">
        <f t="shared" si="1"/>
        <v>100</v>
      </c>
      <c r="V11" s="1229" t="s">
        <v>5</v>
      </c>
      <c r="W11" s="1230">
        <f t="shared" si="2"/>
        <v>100</v>
      </c>
      <c r="X11" s="1231"/>
      <c r="Y11" s="4076"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195"/>
      <c r="Q12" s="929" t="str">
        <f t="shared" si="6"/>
        <v>土地使用年限（年）</v>
      </c>
      <c r="R12" s="1229" t="s">
        <v>5</v>
      </c>
      <c r="S12" s="1230" t="e">
        <f t="shared" si="0"/>
        <v>#DIV/0!</v>
      </c>
      <c r="T12" s="1229" t="s">
        <v>5</v>
      </c>
      <c r="U12" s="1230" t="e">
        <f t="shared" si="1"/>
        <v>#DIV/0!</v>
      </c>
      <c r="V12" s="1229" t="s">
        <v>5</v>
      </c>
      <c r="W12" s="1230" t="e">
        <f t="shared" si="2"/>
        <v>#DIV/0!</v>
      </c>
      <c r="X12" s="1231"/>
      <c r="Y12" s="4076"/>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195"/>
      <c r="Q13" s="929" t="str">
        <f t="shared" si="6"/>
        <v>容积率</v>
      </c>
      <c r="R13" s="1229" t="s">
        <v>5</v>
      </c>
      <c r="S13" s="1230" t="e">
        <f t="shared" si="0"/>
        <v>#N/A</v>
      </c>
      <c r="T13" s="1229" t="s">
        <v>5</v>
      </c>
      <c r="U13" s="1230" t="e">
        <f t="shared" si="1"/>
        <v>#N/A</v>
      </c>
      <c r="V13" s="1229" t="s">
        <v>5</v>
      </c>
      <c r="W13" s="1230" t="e">
        <f t="shared" si="2"/>
        <v>#N/A</v>
      </c>
      <c r="X13" s="1231"/>
      <c r="Y13" s="4076"/>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195"/>
      <c r="Q14" s="929" t="str">
        <f t="shared" si="6"/>
        <v>配建</v>
      </c>
      <c r="R14" s="1229" t="s">
        <v>5</v>
      </c>
      <c r="S14" s="1230">
        <f t="shared" si="0"/>
        <v>100</v>
      </c>
      <c r="T14" s="1229" t="s">
        <v>5</v>
      </c>
      <c r="U14" s="1230">
        <f t="shared" si="1"/>
        <v>100</v>
      </c>
      <c r="V14" s="1229" t="s">
        <v>5</v>
      </c>
      <c r="W14" s="1230">
        <f t="shared" si="2"/>
        <v>100</v>
      </c>
      <c r="X14" s="1231"/>
      <c r="Y14" s="4076"/>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195"/>
      <c r="Q15" s="929">
        <f t="shared" si="6"/>
        <v>111</v>
      </c>
      <c r="R15" s="1229" t="s">
        <v>5</v>
      </c>
      <c r="S15" s="1230">
        <f t="shared" si="0"/>
        <v>100</v>
      </c>
      <c r="T15" s="1229" t="s">
        <v>5</v>
      </c>
      <c r="U15" s="1230">
        <f t="shared" si="1"/>
        <v>100</v>
      </c>
      <c r="V15" s="1229" t="s">
        <v>5</v>
      </c>
      <c r="W15" s="1230">
        <f t="shared" si="2"/>
        <v>100</v>
      </c>
      <c r="X15" s="1231"/>
      <c r="Y15" s="4076"/>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195"/>
      <c r="Q16" s="929">
        <f t="shared" si="6"/>
        <v>111</v>
      </c>
      <c r="R16" s="1229" t="s">
        <v>5</v>
      </c>
      <c r="S16" s="1230">
        <f t="shared" si="0"/>
        <v>100</v>
      </c>
      <c r="T16" s="1229" t="s">
        <v>5</v>
      </c>
      <c r="U16" s="1230">
        <f t="shared" si="1"/>
        <v>100</v>
      </c>
      <c r="V16" s="1229" t="s">
        <v>5</v>
      </c>
      <c r="W16" s="1230">
        <f t="shared" si="2"/>
        <v>100</v>
      </c>
      <c r="X16" s="1231"/>
      <c r="Y16" s="4076"/>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228" t="s">
        <v>489</v>
      </c>
      <c r="Q17" s="1233" t="str">
        <f t="shared" si="6"/>
        <v>居住社区成熟度</v>
      </c>
      <c r="R17" s="1234" t="s">
        <v>5</v>
      </c>
      <c r="S17" s="1235">
        <f t="shared" si="0"/>
        <v>100</v>
      </c>
      <c r="T17" s="1234" t="s">
        <v>5</v>
      </c>
      <c r="U17" s="1235">
        <f t="shared" si="1"/>
        <v>100</v>
      </c>
      <c r="V17" s="1234" t="s">
        <v>5</v>
      </c>
      <c r="W17" s="1235">
        <f t="shared" si="2"/>
        <v>100</v>
      </c>
      <c r="X17" s="1228"/>
      <c r="Y17" s="4228"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229"/>
      <c r="Q18" s="1233"/>
      <c r="R18" s="1234"/>
      <c r="S18" s="1235"/>
      <c r="T18" s="1234"/>
      <c r="U18" s="1235"/>
      <c r="V18" s="1234"/>
      <c r="W18" s="1235"/>
      <c r="X18" s="1228"/>
      <c r="Y18" s="4229"/>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229"/>
      <c r="Q19" s="1233" t="str">
        <f>B19</f>
        <v>商业繁华度</v>
      </c>
      <c r="R19" s="1234" t="s">
        <v>5</v>
      </c>
      <c r="S19" s="1235">
        <f>F19</f>
        <v>100</v>
      </c>
      <c r="T19" s="1234" t="s">
        <v>5</v>
      </c>
      <c r="U19" s="1235">
        <f>H19</f>
        <v>100</v>
      </c>
      <c r="V19" s="1234" t="s">
        <v>5</v>
      </c>
      <c r="W19" s="1235">
        <f>J19</f>
        <v>100</v>
      </c>
      <c r="X19" s="1228"/>
      <c r="Y19" s="4229"/>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229"/>
      <c r="Q20" s="1233"/>
      <c r="R20" s="1234"/>
      <c r="S20" s="1235"/>
      <c r="T20" s="1234"/>
      <c r="U20" s="1235"/>
      <c r="V20" s="1234"/>
      <c r="W20" s="1235"/>
      <c r="X20" s="1228"/>
      <c r="Y20" s="4229"/>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229"/>
      <c r="Q21" s="1233" t="str">
        <f>B21</f>
        <v>办公集聚程度</v>
      </c>
      <c r="R21" s="1234" t="s">
        <v>5</v>
      </c>
      <c r="S21" s="1235">
        <f>F21</f>
        <v>100</v>
      </c>
      <c r="T21" s="1234" t="s">
        <v>5</v>
      </c>
      <c r="U21" s="1235">
        <f>H21</f>
        <v>100</v>
      </c>
      <c r="V21" s="1234" t="s">
        <v>5</v>
      </c>
      <c r="W21" s="1235">
        <f>J21</f>
        <v>100</v>
      </c>
      <c r="X21" s="1228"/>
      <c r="Y21" s="4229"/>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229"/>
      <c r="Q22" s="1233"/>
      <c r="R22" s="1234"/>
      <c r="S22" s="1235"/>
      <c r="T22" s="1234"/>
      <c r="U22" s="1235"/>
      <c r="V22" s="1234"/>
      <c r="W22" s="1235"/>
      <c r="X22" s="1228"/>
      <c r="Y22" s="4229"/>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229"/>
      <c r="Q23" s="1233" t="str">
        <f>B23</f>
        <v>交通便捷度</v>
      </c>
      <c r="R23" s="1234" t="s">
        <v>5</v>
      </c>
      <c r="S23" s="1235">
        <f>F23</f>
        <v>100</v>
      </c>
      <c r="T23" s="1234" t="s">
        <v>5</v>
      </c>
      <c r="U23" s="1235">
        <f>H23</f>
        <v>100</v>
      </c>
      <c r="V23" s="1234" t="s">
        <v>5</v>
      </c>
      <c r="W23" s="1235">
        <f>J23</f>
        <v>100</v>
      </c>
      <c r="X23" s="1228"/>
      <c r="Y23" s="4229"/>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229"/>
      <c r="Q24" s="1233"/>
      <c r="R24" s="1234"/>
      <c r="S24" s="1235"/>
      <c r="T24" s="1234"/>
      <c r="U24" s="1235"/>
      <c r="V24" s="1234"/>
      <c r="W24" s="1235"/>
      <c r="X24" s="1228"/>
      <c r="Y24" s="4229"/>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229"/>
      <c r="Q25" s="1233" t="str">
        <f t="shared" ref="Q25:Q39" si="8">B25</f>
        <v>区域土地利用方向</v>
      </c>
      <c r="R25" s="1234" t="s">
        <v>5</v>
      </c>
      <c r="S25" s="1235">
        <f>F25</f>
        <v>100</v>
      </c>
      <c r="T25" s="1234" t="s">
        <v>5</v>
      </c>
      <c r="U25" s="1235">
        <f>H25</f>
        <v>100</v>
      </c>
      <c r="V25" s="1234" t="s">
        <v>5</v>
      </c>
      <c r="W25" s="1235">
        <f>J25</f>
        <v>100</v>
      </c>
      <c r="X25" s="1228"/>
      <c r="Y25" s="4229"/>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229"/>
      <c r="Q26" s="1233"/>
      <c r="R26" s="1234"/>
      <c r="S26" s="1235"/>
      <c r="T26" s="1234"/>
      <c r="U26" s="1235"/>
      <c r="V26" s="1234"/>
      <c r="W26" s="1235"/>
      <c r="X26" s="1228"/>
      <c r="Y26" s="4229"/>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229"/>
      <c r="Q27" s="1233" t="str">
        <f t="shared" si="8"/>
        <v>自然及人文环境状况</v>
      </c>
      <c r="R27" s="1234" t="s">
        <v>5</v>
      </c>
      <c r="S27" s="1235">
        <f>F27</f>
        <v>100</v>
      </c>
      <c r="T27" s="1234" t="s">
        <v>5</v>
      </c>
      <c r="U27" s="1235">
        <f>H27</f>
        <v>100</v>
      </c>
      <c r="V27" s="1234" t="s">
        <v>5</v>
      </c>
      <c r="W27" s="1235">
        <f>J27</f>
        <v>100</v>
      </c>
      <c r="X27" s="1228"/>
      <c r="Y27" s="4229"/>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229"/>
      <c r="Q28" s="1233"/>
      <c r="R28" s="1234"/>
      <c r="S28" s="1235"/>
      <c r="T28" s="1234"/>
      <c r="U28" s="1235"/>
      <c r="V28" s="1234"/>
      <c r="W28" s="1235"/>
      <c r="X28" s="1228"/>
      <c r="Y28" s="4229"/>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229"/>
      <c r="Q29" s="929" t="str">
        <f t="shared" si="8"/>
        <v>公共配套设施</v>
      </c>
      <c r="R29" s="1229" t="s">
        <v>5</v>
      </c>
      <c r="S29" s="1230">
        <f>F29</f>
        <v>100</v>
      </c>
      <c r="T29" s="1229" t="s">
        <v>5</v>
      </c>
      <c r="U29" s="1230">
        <f>H29</f>
        <v>100</v>
      </c>
      <c r="V29" s="1229" t="s">
        <v>5</v>
      </c>
      <c r="W29" s="1230">
        <f>J29</f>
        <v>100</v>
      </c>
      <c r="X29" s="1231"/>
      <c r="Y29" s="4229"/>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229"/>
      <c r="Q30" s="929"/>
      <c r="R30" s="1229"/>
      <c r="S30" s="1230"/>
      <c r="T30" s="1229"/>
      <c r="U30" s="1230"/>
      <c r="V30" s="1229"/>
      <c r="W30" s="1230"/>
      <c r="X30" s="1231"/>
      <c r="Y30" s="4229"/>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229"/>
      <c r="Q31" s="1957" t="str">
        <f>B31</f>
        <v>基础设施水平</v>
      </c>
      <c r="R31" s="1229" t="s">
        <v>5</v>
      </c>
      <c r="S31" s="1230">
        <f>F31</f>
        <v>100</v>
      </c>
      <c r="T31" s="1229" t="s">
        <v>5</v>
      </c>
      <c r="U31" s="1230">
        <f>H31</f>
        <v>100</v>
      </c>
      <c r="V31" s="1229" t="s">
        <v>5</v>
      </c>
      <c r="W31" s="1230">
        <f>J31</f>
        <v>100</v>
      </c>
      <c r="X31" s="1231"/>
      <c r="Y31" s="4229"/>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229"/>
      <c r="Q32" s="1957"/>
      <c r="R32" s="1229"/>
      <c r="S32" s="1230"/>
      <c r="T32" s="1229"/>
      <c r="U32" s="1230"/>
      <c r="V32" s="1229"/>
      <c r="W32" s="1230"/>
      <c r="X32" s="1231"/>
      <c r="Y32" s="4229"/>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229"/>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229"/>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229"/>
      <c r="Q34" s="1233" t="str">
        <f t="shared" si="8"/>
        <v>毗邻道路的类型与等级</v>
      </c>
      <c r="R34" s="1234" t="s">
        <v>5</v>
      </c>
      <c r="S34" s="1235">
        <f t="shared" si="9"/>
        <v>100</v>
      </c>
      <c r="T34" s="1234" t="s">
        <v>5</v>
      </c>
      <c r="U34" s="1235">
        <f t="shared" si="10"/>
        <v>100</v>
      </c>
      <c r="V34" s="1234" t="s">
        <v>5</v>
      </c>
      <c r="W34" s="1235">
        <f t="shared" si="11"/>
        <v>100</v>
      </c>
      <c r="X34" s="1228"/>
      <c r="Y34" s="4229"/>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229"/>
      <c r="Q35" s="1233"/>
      <c r="R35" s="1234"/>
      <c r="S35" s="1235"/>
      <c r="T35" s="1234"/>
      <c r="U35" s="1235"/>
      <c r="V35" s="1234"/>
      <c r="W35" s="1235"/>
      <c r="X35" s="1228"/>
      <c r="Y35" s="4229"/>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229"/>
      <c r="Q36" s="1233" t="str">
        <f t="shared" si="8"/>
        <v>土地级别</v>
      </c>
      <c r="R36" s="1234" t="s">
        <v>5</v>
      </c>
      <c r="S36" s="1235">
        <f t="shared" si="9"/>
        <v>100</v>
      </c>
      <c r="T36" s="1234" t="s">
        <v>5</v>
      </c>
      <c r="U36" s="1235">
        <f t="shared" si="10"/>
        <v>100</v>
      </c>
      <c r="V36" s="1234" t="s">
        <v>5</v>
      </c>
      <c r="W36" s="1235">
        <f t="shared" si="11"/>
        <v>100</v>
      </c>
      <c r="X36" s="1228"/>
      <c r="Y36" s="4229"/>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229"/>
      <c r="Q37" s="1233">
        <f t="shared" si="8"/>
        <v>111</v>
      </c>
      <c r="R37" s="1234" t="s">
        <v>5</v>
      </c>
      <c r="S37" s="1235">
        <f t="shared" si="9"/>
        <v>100</v>
      </c>
      <c r="T37" s="1234" t="s">
        <v>5</v>
      </c>
      <c r="U37" s="1235">
        <f t="shared" si="10"/>
        <v>100</v>
      </c>
      <c r="V37" s="1234" t="s">
        <v>5</v>
      </c>
      <c r="W37" s="1235">
        <f t="shared" si="11"/>
        <v>100</v>
      </c>
      <c r="X37" s="1228"/>
      <c r="Y37" s="4229"/>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230" t="s">
        <v>499</v>
      </c>
      <c r="Q38" s="1233">
        <f t="shared" si="8"/>
        <v>111</v>
      </c>
      <c r="R38" s="1234" t="s">
        <v>5</v>
      </c>
      <c r="S38" s="1235">
        <f t="shared" si="9"/>
        <v>100</v>
      </c>
      <c r="T38" s="1234" t="s">
        <v>5</v>
      </c>
      <c r="U38" s="1235">
        <f t="shared" si="10"/>
        <v>100</v>
      </c>
      <c r="V38" s="1234" t="s">
        <v>5</v>
      </c>
      <c r="W38" s="1235">
        <f t="shared" si="11"/>
        <v>100</v>
      </c>
      <c r="X38" s="1228"/>
      <c r="Y38" s="4231"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231"/>
      <c r="Q39" s="1233">
        <f t="shared" si="8"/>
        <v>111</v>
      </c>
      <c r="R39" s="1238" t="s">
        <v>5</v>
      </c>
      <c r="S39" s="1239">
        <f t="shared" si="9"/>
        <v>100</v>
      </c>
      <c r="T39" s="1238" t="s">
        <v>5</v>
      </c>
      <c r="U39" s="1239">
        <f t="shared" si="10"/>
        <v>100</v>
      </c>
      <c r="V39" s="1238" t="s">
        <v>5</v>
      </c>
      <c r="W39" s="1239">
        <f t="shared" si="11"/>
        <v>100</v>
      </c>
      <c r="X39" s="1240"/>
      <c r="Y39" s="4231"/>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231"/>
      <c r="Q40" s="1233" t="str">
        <f>B40</f>
        <v>宗地面积</v>
      </c>
      <c r="R40" s="1234" t="s">
        <v>5</v>
      </c>
      <c r="S40" s="1235" t="e">
        <f t="shared" si="9"/>
        <v>#N/A</v>
      </c>
      <c r="T40" s="1234" t="s">
        <v>5</v>
      </c>
      <c r="U40" s="1235" t="e">
        <f t="shared" si="10"/>
        <v>#N/A</v>
      </c>
      <c r="V40" s="1234" t="s">
        <v>5</v>
      </c>
      <c r="W40" s="1235" t="e">
        <f t="shared" si="11"/>
        <v>#N/A</v>
      </c>
      <c r="X40" s="1228"/>
      <c r="Y40" s="4231"/>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231"/>
      <c r="Q41" s="1233" t="str">
        <f t="shared" ref="Q41:Q47" si="13">B41</f>
        <v>宗地形状</v>
      </c>
      <c r="R41" s="1234" t="s">
        <v>5</v>
      </c>
      <c r="S41" s="1235">
        <f t="shared" si="9"/>
        <v>100</v>
      </c>
      <c r="T41" s="1234" t="s">
        <v>5</v>
      </c>
      <c r="U41" s="1235">
        <f t="shared" si="10"/>
        <v>100</v>
      </c>
      <c r="V41" s="1234" t="s">
        <v>5</v>
      </c>
      <c r="W41" s="1235">
        <f t="shared" si="11"/>
        <v>100</v>
      </c>
      <c r="X41" s="1228"/>
      <c r="Y41" s="4231"/>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231"/>
      <c r="Q42" s="1233" t="str">
        <f t="shared" si="13"/>
        <v>临街宽度及深度</v>
      </c>
      <c r="R42" s="1234" t="s">
        <v>5</v>
      </c>
      <c r="S42" s="1235">
        <f t="shared" si="9"/>
        <v>100</v>
      </c>
      <c r="T42" s="1234" t="s">
        <v>5</v>
      </c>
      <c r="U42" s="1235">
        <f t="shared" si="10"/>
        <v>100</v>
      </c>
      <c r="V42" s="1234" t="s">
        <v>5</v>
      </c>
      <c r="W42" s="1235">
        <f t="shared" si="11"/>
        <v>100</v>
      </c>
      <c r="X42" s="1228"/>
      <c r="Y42" s="4231"/>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231"/>
      <c r="Q43" s="1233" t="str">
        <f t="shared" si="13"/>
        <v>宗地开发程度</v>
      </c>
      <c r="R43" s="1229" t="s">
        <v>5</v>
      </c>
      <c r="S43" s="1230">
        <f t="shared" si="9"/>
        <v>100</v>
      </c>
      <c r="T43" s="1229" t="s">
        <v>5</v>
      </c>
      <c r="U43" s="1230">
        <f t="shared" si="10"/>
        <v>100</v>
      </c>
      <c r="V43" s="1229" t="s">
        <v>5</v>
      </c>
      <c r="W43" s="1230">
        <f t="shared" si="11"/>
        <v>100</v>
      </c>
      <c r="X43" s="1231"/>
      <c r="Y43" s="4231"/>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231" t="s">
        <v>499</v>
      </c>
      <c r="Q44" s="1233" t="str">
        <f t="shared" si="13"/>
        <v>工程地质条件</v>
      </c>
      <c r="R44" s="1234" t="s">
        <v>5</v>
      </c>
      <c r="S44" s="1235">
        <f t="shared" si="9"/>
        <v>100</v>
      </c>
      <c r="T44" s="1234" t="s">
        <v>5</v>
      </c>
      <c r="U44" s="1235">
        <f t="shared" si="10"/>
        <v>100</v>
      </c>
      <c r="V44" s="1234" t="s">
        <v>5</v>
      </c>
      <c r="W44" s="1235">
        <f t="shared" si="11"/>
        <v>100</v>
      </c>
      <c r="X44" s="1228"/>
      <c r="Y44" s="4231"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231"/>
      <c r="Q45" s="1233">
        <f t="shared" si="13"/>
        <v>111</v>
      </c>
      <c r="R45" s="1234" t="s">
        <v>5</v>
      </c>
      <c r="S45" s="1235">
        <f t="shared" si="9"/>
        <v>100</v>
      </c>
      <c r="T45" s="1234" t="s">
        <v>5</v>
      </c>
      <c r="U45" s="1235">
        <f t="shared" si="10"/>
        <v>100</v>
      </c>
      <c r="V45" s="1234" t="s">
        <v>5</v>
      </c>
      <c r="W45" s="1235">
        <f t="shared" si="11"/>
        <v>100</v>
      </c>
      <c r="X45" s="1228"/>
      <c r="Y45" s="4231"/>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231"/>
      <c r="Q46" s="1233">
        <f t="shared" si="13"/>
        <v>111</v>
      </c>
      <c r="R46" s="1234" t="s">
        <v>5</v>
      </c>
      <c r="S46" s="1235">
        <f t="shared" si="9"/>
        <v>100</v>
      </c>
      <c r="T46" s="1234" t="s">
        <v>5</v>
      </c>
      <c r="U46" s="1235">
        <f t="shared" si="10"/>
        <v>100</v>
      </c>
      <c r="V46" s="1234" t="s">
        <v>5</v>
      </c>
      <c r="W46" s="1235">
        <f t="shared" si="11"/>
        <v>100</v>
      </c>
      <c r="X46" s="1228"/>
      <c r="Y46" s="4231"/>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231"/>
      <c r="Q47" s="1233">
        <f t="shared" si="13"/>
        <v>111</v>
      </c>
      <c r="R47" s="1238" t="s">
        <v>5</v>
      </c>
      <c r="S47" s="1239">
        <f t="shared" si="9"/>
        <v>100</v>
      </c>
      <c r="T47" s="1238" t="s">
        <v>5</v>
      </c>
      <c r="U47" s="1239">
        <f t="shared" si="10"/>
        <v>100</v>
      </c>
      <c r="V47" s="1238" t="s">
        <v>5</v>
      </c>
      <c r="W47" s="1239">
        <f t="shared" si="11"/>
        <v>100</v>
      </c>
      <c r="X47" s="1240"/>
      <c r="Y47" s="4231"/>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195" t="str">
        <f>A48</f>
        <v>成交单价</v>
      </c>
      <c r="Q48" s="4195"/>
      <c r="R48" s="4196">
        <f>E48</f>
        <v>0</v>
      </c>
      <c r="S48" s="4196"/>
      <c r="T48" s="4196">
        <f>G48</f>
        <v>0</v>
      </c>
      <c r="U48" s="4196"/>
      <c r="V48" s="4196">
        <f>I48</f>
        <v>0</v>
      </c>
      <c r="W48" s="4196"/>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195" t="str">
        <f>A49</f>
        <v>比较价格（元/平方米）</v>
      </c>
      <c r="Q49" s="4195"/>
      <c r="R49" s="4197" t="e">
        <f>ROUND(PRODUCT(R48,AA9:AA47),0)</f>
        <v>#DIV/0!</v>
      </c>
      <c r="S49" s="4197"/>
      <c r="T49" s="4197" t="e">
        <f>ROUND(PRODUCT(T48,AB9:AB47),0)</f>
        <v>#DIV/0!</v>
      </c>
      <c r="U49" s="4197"/>
      <c r="V49" s="4197" t="e">
        <f>ROUND(PRODUCT(V48,AC9:AC47),0)</f>
        <v>#DIV/0!</v>
      </c>
      <c r="W49" s="4197"/>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232" t="str">
        <f>A50</f>
        <v>估价对象XX用房的比较价格（楼面单价，元/平方米）</v>
      </c>
      <c r="Q50" s="4233"/>
      <c r="R50" s="4194" t="e">
        <f>ROUND(IF(D49="简单平均",AVERAGE(R49:W49),R49*F49+T49*H49+V49*J49),0)</f>
        <v>#DIV/0!</v>
      </c>
      <c r="S50" s="4194"/>
      <c r="T50" s="4194"/>
      <c r="U50" s="4194"/>
      <c r="V50" s="4194"/>
      <c r="W50" s="4194"/>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221" t="s">
        <v>1558</v>
      </c>
      <c r="H57" s="4222"/>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223"/>
      <c r="H58" s="4224"/>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4" xr:uid="{00000000-0002-0000-1700-000013000000}">
      <formula1>"住宅,工业"</formula1>
    </dataValidation>
    <dataValidation type="list" allowBlank="1" showInputMessage="1" showErrorMessage="1" sqref="G63" xr:uid="{00000000-0002-0000-1700-000014000000}">
      <formula1>"商业,办公,住宅,工业"</formula1>
    </dataValidation>
    <dataValidation type="list" allowBlank="1" showInputMessage="1" showErrorMessage="1" sqref="C32 E32 G32 I32" xr:uid="{00000000-0002-0000-1700-000015000000}">
      <formula1>基础设施水平</formula1>
    </dataValidation>
    <dataValidation type="list" allowBlank="1" showInputMessage="1" showErrorMessage="1" sqref="A72" xr:uid="{00000000-0002-0000-1700-000016000000}">
      <formula1>"综合,商业,办公,住宅"</formula1>
    </dataValidation>
    <dataValidation type="list" allowBlank="1" showInputMessage="1" showErrorMessage="1" sqref="D49" xr:uid="{00000000-0002-0000-1700-000017000000}">
      <formula1>"简单平均,加权平均"</formula1>
    </dataValidation>
    <dataValidation type="list" allowBlank="1" showInputMessage="1" showErrorMessage="1" sqref="D59:D66" xr:uid="{00000000-0002-0000-17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642</v>
      </c>
      <c r="D16" s="336">
        <f ca="1">IF(B1="",'数据-汇总表'!E3,INDIRECT("'数据-取费表'!K"&amp;$K$1)+INDIRECT("'数据-取费表'!S"&amp;$K$1))</f>
        <v>32106.47</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14579.147499999999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292</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527</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1487</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34" t="s">
        <v>1319</v>
      </c>
      <c r="B24" s="4235"/>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34" t="s">
        <v>2201</v>
      </c>
      <c r="B25" s="4235"/>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34" t="s">
        <v>2202</v>
      </c>
      <c r="B26" s="4235"/>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36" t="s">
        <v>2200</v>
      </c>
      <c r="B27" s="4237"/>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800-000000000000}">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201" t="s">
        <v>471</v>
      </c>
      <c r="D6" s="4202"/>
      <c r="E6" s="4240" t="s">
        <v>472</v>
      </c>
      <c r="F6" s="4241"/>
      <c r="G6" s="4201" t="s">
        <v>473</v>
      </c>
      <c r="H6" s="4202"/>
      <c r="I6" s="4201" t="s">
        <v>474</v>
      </c>
      <c r="J6" s="4202"/>
      <c r="K6" s="372" t="s">
        <v>475</v>
      </c>
      <c r="L6" s="1653"/>
      <c r="M6" s="1654"/>
      <c r="N6" s="1654"/>
      <c r="O6" s="1654"/>
      <c r="P6" s="4203" t="s">
        <v>476</v>
      </c>
      <c r="Q6" s="4204"/>
      <c r="R6" s="4209" t="s">
        <v>472</v>
      </c>
      <c r="S6" s="4210"/>
      <c r="T6" s="4209" t="s">
        <v>473</v>
      </c>
      <c r="U6" s="4210"/>
      <c r="V6" s="4196" t="s">
        <v>474</v>
      </c>
      <c r="W6" s="4196"/>
      <c r="X6" s="1228"/>
      <c r="Y6" s="4209" t="s">
        <v>476</v>
      </c>
      <c r="Z6" s="4210"/>
      <c r="AA6" s="4198" t="s">
        <v>472</v>
      </c>
      <c r="AB6" s="4199" t="s">
        <v>473</v>
      </c>
      <c r="AC6" s="4198" t="s">
        <v>474</v>
      </c>
    </row>
    <row r="7" spans="1:29" ht="15">
      <c r="A7" s="373"/>
      <c r="B7" s="374"/>
      <c r="C7" s="4217" t="s">
        <v>2100</v>
      </c>
      <c r="D7" s="4218"/>
      <c r="E7" s="4242" t="s">
        <v>2101</v>
      </c>
      <c r="F7" s="4243"/>
      <c r="G7" s="4217" t="s">
        <v>2102</v>
      </c>
      <c r="H7" s="4218"/>
      <c r="I7" s="4217" t="s">
        <v>2103</v>
      </c>
      <c r="J7" s="4218"/>
      <c r="K7" s="372"/>
      <c r="L7" s="1653"/>
      <c r="M7" s="1654"/>
      <c r="N7" s="1654"/>
      <c r="O7" s="1654"/>
      <c r="P7" s="4205"/>
      <c r="Q7" s="4206"/>
      <c r="R7" s="4211"/>
      <c r="S7" s="4212"/>
      <c r="T7" s="4211"/>
      <c r="U7" s="4212"/>
      <c r="V7" s="4196"/>
      <c r="W7" s="4196"/>
      <c r="X7" s="1228"/>
      <c r="Y7" s="4211"/>
      <c r="Z7" s="4212"/>
      <c r="AA7" s="4199"/>
      <c r="AB7" s="4199"/>
      <c r="AC7" s="4199"/>
    </row>
    <row r="8" spans="1:29" ht="15.75" thickBot="1">
      <c r="A8" s="375"/>
      <c r="B8" s="376"/>
      <c r="C8" s="4215" t="s">
        <v>2104</v>
      </c>
      <c r="D8" s="4216"/>
      <c r="E8" s="4238" t="s">
        <v>2104</v>
      </c>
      <c r="F8" s="4239"/>
      <c r="G8" s="4215" t="s">
        <v>2104</v>
      </c>
      <c r="H8" s="4216"/>
      <c r="I8" s="4215" t="s">
        <v>2104</v>
      </c>
      <c r="J8" s="4216"/>
      <c r="K8" s="372" t="s">
        <v>477</v>
      </c>
      <c r="L8" s="1653"/>
      <c r="M8" s="1654"/>
      <c r="N8" s="1654"/>
      <c r="O8" s="1654"/>
      <c r="P8" s="4207"/>
      <c r="Q8" s="4208"/>
      <c r="R8" s="4211"/>
      <c r="S8" s="4212"/>
      <c r="T8" s="4213"/>
      <c r="U8" s="4214"/>
      <c r="V8" s="4196"/>
      <c r="W8" s="4196"/>
      <c r="X8" s="1228"/>
      <c r="Y8" s="4213"/>
      <c r="Z8" s="4214"/>
      <c r="AA8" s="4200"/>
      <c r="AB8" s="4200"/>
      <c r="AC8" s="4200"/>
    </row>
    <row r="9" spans="1:29" s="981" customFormat="1" ht="15.75" thickBot="1">
      <c r="A9" s="2103"/>
      <c r="B9" s="2110" t="s">
        <v>478</v>
      </c>
      <c r="C9" s="377">
        <f>'数据-取费表'!B2</f>
        <v>45076</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225" t="s">
        <v>479</v>
      </c>
      <c r="Q9" s="4227"/>
      <c r="R9" s="1229" t="s">
        <v>5</v>
      </c>
      <c r="S9" s="1230">
        <f t="shared" ref="S9:S17" si="0">F9</f>
        <v>0</v>
      </c>
      <c r="T9" s="1229" t="s">
        <v>5</v>
      </c>
      <c r="U9" s="1230">
        <f t="shared" ref="U9:U17" si="1">H9</f>
        <v>0</v>
      </c>
      <c r="V9" s="1229" t="s">
        <v>5</v>
      </c>
      <c r="W9" s="1230">
        <f t="shared" ref="W9:W17" si="2">J9</f>
        <v>0</v>
      </c>
      <c r="X9" s="1231"/>
      <c r="Y9" s="4225" t="s">
        <v>479</v>
      </c>
      <c r="Z9" s="4226"/>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225" t="s">
        <v>482</v>
      </c>
      <c r="Q10" s="4226"/>
      <c r="R10" s="1229" t="s">
        <v>5</v>
      </c>
      <c r="S10" s="1230">
        <f t="shared" si="0"/>
        <v>0</v>
      </c>
      <c r="T10" s="1229" t="s">
        <v>5</v>
      </c>
      <c r="U10" s="1230">
        <f t="shared" si="1"/>
        <v>0</v>
      </c>
      <c r="V10" s="1229" t="s">
        <v>5</v>
      </c>
      <c r="W10" s="1230">
        <f t="shared" si="2"/>
        <v>0</v>
      </c>
      <c r="X10" s="1231"/>
      <c r="Y10" s="4225" t="s">
        <v>482</v>
      </c>
      <c r="Z10" s="4226"/>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195" t="s">
        <v>484</v>
      </c>
      <c r="Q11" s="929" t="str">
        <f t="shared" ref="Q11:Q17" si="6">B11</f>
        <v>用途</v>
      </c>
      <c r="R11" s="1229" t="s">
        <v>5</v>
      </c>
      <c r="S11" s="1230">
        <f t="shared" si="0"/>
        <v>100</v>
      </c>
      <c r="T11" s="1229" t="s">
        <v>5</v>
      </c>
      <c r="U11" s="1230">
        <f t="shared" si="1"/>
        <v>100</v>
      </c>
      <c r="V11" s="1229" t="s">
        <v>5</v>
      </c>
      <c r="W11" s="1230">
        <f t="shared" si="2"/>
        <v>100</v>
      </c>
      <c r="X11" s="1231"/>
      <c r="Y11" s="4076"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195"/>
      <c r="Q12" s="929" t="str">
        <f t="shared" si="6"/>
        <v>土地使用年限（年）</v>
      </c>
      <c r="R12" s="1229" t="s">
        <v>5</v>
      </c>
      <c r="S12" s="1230" t="e">
        <f t="shared" si="0"/>
        <v>#DIV/0!</v>
      </c>
      <c r="T12" s="1229" t="s">
        <v>5</v>
      </c>
      <c r="U12" s="1230" t="e">
        <f t="shared" si="1"/>
        <v>#DIV/0!</v>
      </c>
      <c r="V12" s="1229" t="s">
        <v>5</v>
      </c>
      <c r="W12" s="1230" t="e">
        <f t="shared" si="2"/>
        <v>#DIV/0!</v>
      </c>
      <c r="X12" s="1231"/>
      <c r="Y12" s="4076"/>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195"/>
      <c r="Q13" s="929" t="str">
        <f t="shared" si="6"/>
        <v>容积率</v>
      </c>
      <c r="R13" s="1229" t="s">
        <v>5</v>
      </c>
      <c r="S13" s="1230" t="e">
        <f t="shared" si="0"/>
        <v>#N/A</v>
      </c>
      <c r="T13" s="1229" t="s">
        <v>5</v>
      </c>
      <c r="U13" s="1230" t="e">
        <f t="shared" si="1"/>
        <v>#N/A</v>
      </c>
      <c r="V13" s="1229" t="s">
        <v>5</v>
      </c>
      <c r="W13" s="1230" t="e">
        <f t="shared" si="2"/>
        <v>#N/A</v>
      </c>
      <c r="X13" s="1231"/>
      <c r="Y13" s="4076"/>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195"/>
      <c r="Q15" s="929">
        <f t="shared" si="6"/>
        <v>111</v>
      </c>
      <c r="R15" s="1229" t="s">
        <v>5</v>
      </c>
      <c r="S15" s="1230">
        <f t="shared" si="0"/>
        <v>100</v>
      </c>
      <c r="T15" s="1229" t="s">
        <v>5</v>
      </c>
      <c r="U15" s="1230">
        <f t="shared" si="1"/>
        <v>100</v>
      </c>
      <c r="V15" s="1229" t="s">
        <v>5</v>
      </c>
      <c r="W15" s="1230">
        <f t="shared" si="2"/>
        <v>100</v>
      </c>
      <c r="X15" s="1231"/>
      <c r="Y15" s="4076"/>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195"/>
      <c r="Q16" s="929">
        <f t="shared" si="6"/>
        <v>111</v>
      </c>
      <c r="R16" s="1229" t="s">
        <v>5</v>
      </c>
      <c r="S16" s="1230">
        <f t="shared" si="0"/>
        <v>100</v>
      </c>
      <c r="T16" s="1229" t="s">
        <v>5</v>
      </c>
      <c r="U16" s="1230">
        <f t="shared" si="1"/>
        <v>100</v>
      </c>
      <c r="V16" s="1229" t="s">
        <v>5</v>
      </c>
      <c r="W16" s="1230">
        <f t="shared" si="2"/>
        <v>100</v>
      </c>
      <c r="X16" s="1231"/>
      <c r="Y16" s="4076"/>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228" t="s">
        <v>489</v>
      </c>
      <c r="Q17" s="1233" t="str">
        <f t="shared" si="6"/>
        <v>产业集聚程度</v>
      </c>
      <c r="R17" s="1234" t="s">
        <v>5</v>
      </c>
      <c r="S17" s="1235">
        <f t="shared" si="0"/>
        <v>100</v>
      </c>
      <c r="T17" s="1234" t="s">
        <v>5</v>
      </c>
      <c r="U17" s="1235">
        <f t="shared" si="1"/>
        <v>100</v>
      </c>
      <c r="V17" s="1234" t="s">
        <v>5</v>
      </c>
      <c r="W17" s="1235">
        <f t="shared" si="2"/>
        <v>100</v>
      </c>
      <c r="X17" s="1228"/>
      <c r="Y17" s="4228"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229"/>
      <c r="Q18" s="1233"/>
      <c r="R18" s="1234"/>
      <c r="S18" s="1235"/>
      <c r="T18" s="1234"/>
      <c r="U18" s="1235"/>
      <c r="V18" s="1234"/>
      <c r="W18" s="1235"/>
      <c r="X18" s="1228"/>
      <c r="Y18" s="4229"/>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229"/>
      <c r="Q19" s="1233" t="str">
        <f>B19</f>
        <v>交通便捷度</v>
      </c>
      <c r="R19" s="1234" t="s">
        <v>5</v>
      </c>
      <c r="S19" s="1235">
        <f>F19</f>
        <v>100</v>
      </c>
      <c r="T19" s="1234" t="s">
        <v>5</v>
      </c>
      <c r="U19" s="1235">
        <f>H19</f>
        <v>100</v>
      </c>
      <c r="V19" s="1234" t="s">
        <v>5</v>
      </c>
      <c r="W19" s="1235">
        <f>J19</f>
        <v>100</v>
      </c>
      <c r="X19" s="1228"/>
      <c r="Y19" s="4229"/>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229"/>
      <c r="Q21" s="1233" t="str">
        <f t="shared" ref="Q21:Q35" si="8">B21</f>
        <v>区域土地利用方向</v>
      </c>
      <c r="R21" s="1234" t="s">
        <v>5</v>
      </c>
      <c r="S21" s="1235">
        <f>F21</f>
        <v>100</v>
      </c>
      <c r="T21" s="1234" t="s">
        <v>5</v>
      </c>
      <c r="U21" s="1235">
        <f>H21</f>
        <v>100</v>
      </c>
      <c r="V21" s="1234" t="s">
        <v>5</v>
      </c>
      <c r="W21" s="1235">
        <f>J21</f>
        <v>100</v>
      </c>
      <c r="X21" s="1228"/>
      <c r="Y21" s="4229"/>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229"/>
      <c r="Q22" s="1233"/>
      <c r="R22" s="1234"/>
      <c r="S22" s="1235"/>
      <c r="T22" s="1234"/>
      <c r="U22" s="1235"/>
      <c r="V22" s="1234"/>
      <c r="W22" s="1235"/>
      <c r="X22" s="1228"/>
      <c r="Y22" s="4229"/>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229"/>
      <c r="Q23" s="1233" t="str">
        <f t="shared" si="8"/>
        <v>环境状况</v>
      </c>
      <c r="R23" s="1234" t="s">
        <v>5</v>
      </c>
      <c r="S23" s="1235">
        <f>F23</f>
        <v>100</v>
      </c>
      <c r="T23" s="1234" t="s">
        <v>5</v>
      </c>
      <c r="U23" s="1235">
        <f>H23</f>
        <v>100</v>
      </c>
      <c r="V23" s="1234" t="s">
        <v>5</v>
      </c>
      <c r="W23" s="1235">
        <f>J23</f>
        <v>100</v>
      </c>
      <c r="X23" s="1228"/>
      <c r="Y23" s="4229"/>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229"/>
      <c r="Q24" s="1233"/>
      <c r="R24" s="1234"/>
      <c r="S24" s="1235"/>
      <c r="T24" s="1234"/>
      <c r="U24" s="1235"/>
      <c r="V24" s="1234"/>
      <c r="W24" s="1235"/>
      <c r="X24" s="1228"/>
      <c r="Y24" s="4229"/>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229"/>
      <c r="Q25" s="929" t="str">
        <f t="shared" si="8"/>
        <v>公共配套设施</v>
      </c>
      <c r="R25" s="1229" t="s">
        <v>5</v>
      </c>
      <c r="S25" s="1230">
        <f>F25</f>
        <v>100</v>
      </c>
      <c r="T25" s="1229" t="s">
        <v>5</v>
      </c>
      <c r="U25" s="1230">
        <f>H25</f>
        <v>100</v>
      </c>
      <c r="V25" s="1229" t="s">
        <v>5</v>
      </c>
      <c r="W25" s="1230">
        <f>J25</f>
        <v>100</v>
      </c>
      <c r="X25" s="1231"/>
      <c r="Y25" s="4229"/>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229"/>
      <c r="Q26" s="929"/>
      <c r="R26" s="1229"/>
      <c r="S26" s="1230"/>
      <c r="T26" s="1229"/>
      <c r="U26" s="1230"/>
      <c r="V26" s="1229"/>
      <c r="W26" s="1230"/>
      <c r="X26" s="1231"/>
      <c r="Y26" s="4229"/>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229"/>
      <c r="Q27" s="1957" t="str">
        <f>B27</f>
        <v>基础设施水平</v>
      </c>
      <c r="R27" s="1229" t="s">
        <v>5</v>
      </c>
      <c r="S27" s="1230">
        <f>F27</f>
        <v>100</v>
      </c>
      <c r="T27" s="1229" t="s">
        <v>5</v>
      </c>
      <c r="U27" s="1230">
        <f>H27</f>
        <v>100</v>
      </c>
      <c r="V27" s="1229" t="s">
        <v>5</v>
      </c>
      <c r="W27" s="1230">
        <f>J27</f>
        <v>100</v>
      </c>
      <c r="X27" s="1231"/>
      <c r="Y27" s="4229"/>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229"/>
      <c r="Q28" s="1957"/>
      <c r="R28" s="1229"/>
      <c r="S28" s="1230"/>
      <c r="T28" s="1229"/>
      <c r="U28" s="1230"/>
      <c r="V28" s="1229"/>
      <c r="W28" s="1230"/>
      <c r="X28" s="1231"/>
      <c r="Y28" s="4229"/>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229"/>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229"/>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229"/>
      <c r="Q30" s="1233" t="str">
        <f t="shared" si="8"/>
        <v>毗邻道路的类型与等级</v>
      </c>
      <c r="R30" s="1234" t="s">
        <v>5</v>
      </c>
      <c r="S30" s="1235">
        <f t="shared" si="9"/>
        <v>100</v>
      </c>
      <c r="T30" s="1234" t="s">
        <v>5</v>
      </c>
      <c r="U30" s="1235">
        <f t="shared" si="10"/>
        <v>100</v>
      </c>
      <c r="V30" s="1234" t="s">
        <v>5</v>
      </c>
      <c r="W30" s="1235">
        <f t="shared" si="11"/>
        <v>100</v>
      </c>
      <c r="X30" s="1228"/>
      <c r="Y30" s="4229"/>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229"/>
      <c r="Q31" s="1233"/>
      <c r="R31" s="1234"/>
      <c r="S31" s="1235"/>
      <c r="T31" s="1234"/>
      <c r="U31" s="1235"/>
      <c r="V31" s="1234"/>
      <c r="W31" s="1235"/>
      <c r="X31" s="1228"/>
      <c r="Y31" s="4229"/>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229"/>
      <c r="Q32" s="1233" t="str">
        <f t="shared" si="8"/>
        <v>土地级别</v>
      </c>
      <c r="R32" s="1234" t="s">
        <v>5</v>
      </c>
      <c r="S32" s="1235">
        <f t="shared" si="9"/>
        <v>100</v>
      </c>
      <c r="T32" s="1234" t="s">
        <v>5</v>
      </c>
      <c r="U32" s="1235">
        <f t="shared" si="10"/>
        <v>100</v>
      </c>
      <c r="V32" s="1234" t="s">
        <v>5</v>
      </c>
      <c r="W32" s="1235">
        <f t="shared" si="11"/>
        <v>100</v>
      </c>
      <c r="X32" s="1228"/>
      <c r="Y32" s="4229"/>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229"/>
      <c r="Q33" s="1233">
        <f t="shared" si="8"/>
        <v>111</v>
      </c>
      <c r="R33" s="1234" t="s">
        <v>5</v>
      </c>
      <c r="S33" s="1235">
        <f t="shared" si="9"/>
        <v>100</v>
      </c>
      <c r="T33" s="1234" t="s">
        <v>5</v>
      </c>
      <c r="U33" s="1235">
        <f t="shared" si="10"/>
        <v>100</v>
      </c>
      <c r="V33" s="1234" t="s">
        <v>5</v>
      </c>
      <c r="W33" s="1235">
        <f t="shared" si="11"/>
        <v>100</v>
      </c>
      <c r="X33" s="1228"/>
      <c r="Y33" s="4229"/>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230" t="s">
        <v>499</v>
      </c>
      <c r="Q34" s="1233">
        <f t="shared" si="8"/>
        <v>111</v>
      </c>
      <c r="R34" s="1234" t="s">
        <v>5</v>
      </c>
      <c r="S34" s="1235">
        <f t="shared" si="9"/>
        <v>100</v>
      </c>
      <c r="T34" s="1234" t="s">
        <v>5</v>
      </c>
      <c r="U34" s="1235">
        <f t="shared" si="10"/>
        <v>100</v>
      </c>
      <c r="V34" s="1234" t="s">
        <v>5</v>
      </c>
      <c r="W34" s="1235">
        <f t="shared" si="11"/>
        <v>100</v>
      </c>
      <c r="X34" s="1228"/>
      <c r="Y34" s="4231"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231"/>
      <c r="Q35" s="1233">
        <f t="shared" si="8"/>
        <v>111</v>
      </c>
      <c r="R35" s="1238" t="s">
        <v>5</v>
      </c>
      <c r="S35" s="1239">
        <f t="shared" si="9"/>
        <v>100</v>
      </c>
      <c r="T35" s="1238" t="s">
        <v>5</v>
      </c>
      <c r="U35" s="1239">
        <f t="shared" si="10"/>
        <v>100</v>
      </c>
      <c r="V35" s="1238" t="s">
        <v>5</v>
      </c>
      <c r="W35" s="1239">
        <f t="shared" si="11"/>
        <v>100</v>
      </c>
      <c r="X35" s="1240"/>
      <c r="Y35" s="4231"/>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231"/>
      <c r="Q36" s="1233" t="str">
        <f>B36</f>
        <v>宗地面积</v>
      </c>
      <c r="R36" s="1234" t="s">
        <v>5</v>
      </c>
      <c r="S36" s="1235" t="e">
        <f t="shared" si="9"/>
        <v>#N/A</v>
      </c>
      <c r="T36" s="1234" t="s">
        <v>5</v>
      </c>
      <c r="U36" s="1235" t="e">
        <f t="shared" si="10"/>
        <v>#N/A</v>
      </c>
      <c r="V36" s="1234" t="s">
        <v>5</v>
      </c>
      <c r="W36" s="1235" t="e">
        <f t="shared" si="11"/>
        <v>#N/A</v>
      </c>
      <c r="X36" s="1228"/>
      <c r="Y36" s="4231"/>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231"/>
      <c r="Q37" s="1233" t="str">
        <f t="shared" ref="Q37:Q42" si="13">B37</f>
        <v>宗地形状</v>
      </c>
      <c r="R37" s="1234" t="s">
        <v>5</v>
      </c>
      <c r="S37" s="1235">
        <f t="shared" si="9"/>
        <v>100</v>
      </c>
      <c r="T37" s="1234" t="s">
        <v>5</v>
      </c>
      <c r="U37" s="1235">
        <f t="shared" si="10"/>
        <v>100</v>
      </c>
      <c r="V37" s="1234" t="s">
        <v>5</v>
      </c>
      <c r="W37" s="1235">
        <f t="shared" si="11"/>
        <v>100</v>
      </c>
      <c r="X37" s="1228"/>
      <c r="Y37" s="4231"/>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231"/>
      <c r="Q38" s="1233" t="str">
        <f t="shared" si="13"/>
        <v>宗地开发程度</v>
      </c>
      <c r="R38" s="1229" t="s">
        <v>5</v>
      </c>
      <c r="S38" s="1230">
        <f t="shared" si="9"/>
        <v>100</v>
      </c>
      <c r="T38" s="1229" t="s">
        <v>5</v>
      </c>
      <c r="U38" s="1230">
        <f t="shared" si="10"/>
        <v>100</v>
      </c>
      <c r="V38" s="1229" t="s">
        <v>5</v>
      </c>
      <c r="W38" s="1230">
        <f t="shared" si="11"/>
        <v>100</v>
      </c>
      <c r="X38" s="1231"/>
      <c r="Y38" s="4231"/>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231" t="s">
        <v>549</v>
      </c>
      <c r="Q39" s="1233" t="str">
        <f t="shared" si="13"/>
        <v>工程地质条件</v>
      </c>
      <c r="R39" s="1234" t="s">
        <v>5</v>
      </c>
      <c r="S39" s="1235">
        <f t="shared" si="9"/>
        <v>100</v>
      </c>
      <c r="T39" s="1234" t="s">
        <v>5</v>
      </c>
      <c r="U39" s="1235">
        <f t="shared" si="10"/>
        <v>100</v>
      </c>
      <c r="V39" s="1234" t="s">
        <v>5</v>
      </c>
      <c r="W39" s="1235">
        <f t="shared" si="11"/>
        <v>100</v>
      </c>
      <c r="X39" s="1228"/>
      <c r="Y39" s="4231"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231"/>
      <c r="Q40" s="1233">
        <f t="shared" si="13"/>
        <v>111</v>
      </c>
      <c r="R40" s="1234" t="s">
        <v>5</v>
      </c>
      <c r="S40" s="1235">
        <f t="shared" si="9"/>
        <v>100</v>
      </c>
      <c r="T40" s="1234" t="s">
        <v>5</v>
      </c>
      <c r="U40" s="1235">
        <f t="shared" si="10"/>
        <v>100</v>
      </c>
      <c r="V40" s="1234" t="s">
        <v>5</v>
      </c>
      <c r="W40" s="1235">
        <f t="shared" si="11"/>
        <v>100</v>
      </c>
      <c r="X40" s="1228"/>
      <c r="Y40" s="4231"/>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231"/>
      <c r="Q41" s="1233">
        <f t="shared" si="13"/>
        <v>111</v>
      </c>
      <c r="R41" s="1234" t="s">
        <v>5</v>
      </c>
      <c r="S41" s="1235">
        <f t="shared" si="9"/>
        <v>100</v>
      </c>
      <c r="T41" s="1234" t="s">
        <v>5</v>
      </c>
      <c r="U41" s="1235">
        <f t="shared" si="10"/>
        <v>100</v>
      </c>
      <c r="V41" s="1234" t="s">
        <v>5</v>
      </c>
      <c r="W41" s="1235">
        <f t="shared" si="11"/>
        <v>100</v>
      </c>
      <c r="X41" s="1228"/>
      <c r="Y41" s="4231"/>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231"/>
      <c r="Q42" s="1233">
        <f t="shared" si="13"/>
        <v>111</v>
      </c>
      <c r="R42" s="1238" t="s">
        <v>5</v>
      </c>
      <c r="S42" s="1239">
        <f t="shared" si="9"/>
        <v>100</v>
      </c>
      <c r="T42" s="1238" t="s">
        <v>5</v>
      </c>
      <c r="U42" s="1239">
        <f t="shared" si="10"/>
        <v>100</v>
      </c>
      <c r="V42" s="1238" t="s">
        <v>5</v>
      </c>
      <c r="W42" s="1239">
        <f t="shared" si="11"/>
        <v>100</v>
      </c>
      <c r="X42" s="1240"/>
      <c r="Y42" s="4231"/>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195" t="str">
        <f>A43</f>
        <v>成交单价</v>
      </c>
      <c r="Q43" s="4195"/>
      <c r="R43" s="4196">
        <f>E43</f>
        <v>0</v>
      </c>
      <c r="S43" s="4196"/>
      <c r="T43" s="4196">
        <f>G43</f>
        <v>0</v>
      </c>
      <c r="U43" s="4196"/>
      <c r="V43" s="4196">
        <f>I43</f>
        <v>0</v>
      </c>
      <c r="W43" s="4196"/>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195" t="str">
        <f>A44</f>
        <v>比较价格（元/平方米）</v>
      </c>
      <c r="Q44" s="4195"/>
      <c r="R44" s="4197" t="e">
        <f>ROUND(PRODUCT(R43,AA9:AA42),0)</f>
        <v>#DIV/0!</v>
      </c>
      <c r="S44" s="4197"/>
      <c r="T44" s="4197" t="e">
        <f>ROUND(PRODUCT(T43,AB9:AB42),0)</f>
        <v>#DIV/0!</v>
      </c>
      <c r="U44" s="4197"/>
      <c r="V44" s="4197" t="e">
        <f>ROUND(PRODUCT(V43,AC9:AC42),0)</f>
        <v>#DIV/0!</v>
      </c>
      <c r="W44" s="4197"/>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232" t="str">
        <f>A45</f>
        <v>估价对象XX用房的比较价格（楼面单价，元/平方米）</v>
      </c>
      <c r="Q45" s="4233"/>
      <c r="R45" s="4248" t="e">
        <f>ROUND(IF(D44="简单平均",AVERAGE(R44:W44),R44*F44+T44*H44+V44*J44),0)</f>
        <v>#DIV/0!</v>
      </c>
      <c r="S45" s="4248"/>
      <c r="T45" s="4248"/>
      <c r="U45" s="4248"/>
      <c r="V45" s="4248"/>
      <c r="W45" s="4248"/>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44" t="s">
        <v>1561</v>
      </c>
      <c r="H52" s="4245"/>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46"/>
      <c r="H53" s="4247"/>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900-000000000000}">
      <formula1>单价内涵</formula1>
    </dataValidation>
    <dataValidation type="list" allowBlank="1" showInputMessage="1" showErrorMessage="1" sqref="C24 E24 G24 I24" xr:uid="{00000000-0002-0000-1900-000001000000}">
      <formula1>环境</formula1>
    </dataValidation>
    <dataValidation type="list" allowBlank="1" showInputMessage="1" showErrorMessage="1" sqref="E20 C20 G20 I20" xr:uid="{00000000-0002-0000-1900-000002000000}">
      <formula1>交通便捷度</formula1>
    </dataValidation>
    <dataValidation type="list" allowBlank="1" showInputMessage="1" showErrorMessage="1" sqref="E26 C26 I26 G26" xr:uid="{00000000-0002-0000-1900-000003000000}">
      <formula1>公共配套设施</formula1>
    </dataValidation>
    <dataValidation type="list" allowBlank="1" showInputMessage="1" showErrorMessage="1" sqref="C10 E10 G10 I10" xr:uid="{00000000-0002-0000-1900-000004000000}">
      <formula1>套工交易情况</formula1>
    </dataValidation>
    <dataValidation type="list" allowBlank="1" showInputMessage="1" showErrorMessage="1" sqref="C11 E11 G11 I11" xr:uid="{00000000-0002-0000-1900-000005000000}">
      <formula1>套工用途</formula1>
    </dataValidation>
    <dataValidation type="list" allowBlank="1" showInputMessage="1" showErrorMessage="1" sqref="I32 E32 G32" xr:uid="{00000000-0002-0000-1900-000006000000}">
      <formula1>套工土地级别</formula1>
    </dataValidation>
    <dataValidation type="list" allowBlank="1" showInputMessage="1" showErrorMessage="1" sqref="C29 E29 G29 I29" xr:uid="{00000000-0002-0000-1900-000007000000}">
      <formula1>临街状况</formula1>
    </dataValidation>
    <dataValidation type="list" allowBlank="1" showInputMessage="1" showErrorMessage="1" sqref="E22 C22 G22 I22" xr:uid="{00000000-0002-0000-1900-000008000000}">
      <formula1>区域土地利用方向</formula1>
    </dataValidation>
    <dataValidation type="list" allowBlank="1" showInputMessage="1" showErrorMessage="1" sqref="C52" xr:uid="{00000000-0002-0000-1900-000009000000}">
      <formula1>"北京市系数,其他省市系数"</formula1>
    </dataValidation>
    <dataValidation type="list" allowBlank="1" showInputMessage="1" showErrorMessage="1" sqref="G58" xr:uid="{00000000-0002-0000-1900-00000A000000}">
      <formula1>"商业,办公,住宅,工业"</formula1>
    </dataValidation>
    <dataValidation type="list" allowBlank="1" showInputMessage="1" showErrorMessage="1" sqref="G59" xr:uid="{00000000-0002-0000-1900-00000B000000}">
      <formula1>"住宅,工业"</formula1>
    </dataValidation>
    <dataValidation type="list" allowBlank="1" showInputMessage="1" showErrorMessage="1" sqref="C18 E18 G18 I18" xr:uid="{00000000-0002-0000-1900-00000C000000}">
      <formula1>产业集聚程度</formula1>
    </dataValidation>
    <dataValidation type="list" allowBlank="1" showInputMessage="1" showErrorMessage="1" sqref="C28 E28 G28 I28" xr:uid="{00000000-0002-0000-1900-00000D000000}">
      <formula1>基础设施水平</formula1>
    </dataValidation>
    <dataValidation type="list" allowBlank="1" showInputMessage="1" showErrorMessage="1" sqref="C31 E31 G31 I31" xr:uid="{00000000-0002-0000-1900-00000E000000}">
      <formula1>套工临街等级</formula1>
    </dataValidation>
    <dataValidation type="list" allowBlank="1" showInputMessage="1" showErrorMessage="1" sqref="C37 E37 G37 I37" xr:uid="{00000000-0002-0000-1900-00000F000000}">
      <formula1>套工宗地形状</formula1>
    </dataValidation>
    <dataValidation type="list" allowBlank="1" showInputMessage="1" showErrorMessage="1" sqref="C38 E38 G38 I38" xr:uid="{00000000-0002-0000-1900-000010000000}">
      <formula1>套工开发程度</formula1>
    </dataValidation>
    <dataValidation type="list" allowBlank="1" showInputMessage="1" showErrorMessage="1" sqref="C39 E39 G39 I39" xr:uid="{00000000-0002-0000-1900-000011000000}">
      <formula1>套工工程地质条件</formula1>
    </dataValidation>
    <dataValidation type="list" allowBlank="1" showInputMessage="1" showErrorMessage="1" sqref="D44" xr:uid="{00000000-0002-0000-1900-000012000000}">
      <formula1>"简单平均,加权平均"</formula1>
    </dataValidation>
    <dataValidation type="list" allowBlank="1" showInputMessage="1" showErrorMessage="1" sqref="D54:D61" xr:uid="{00000000-0002-0000-19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49" t="s">
        <v>2356</v>
      </c>
      <c r="B20" s="4252" t="s">
        <v>2366</v>
      </c>
      <c r="C20" s="2911" t="s">
        <v>2367</v>
      </c>
      <c r="D20" s="2912"/>
      <c r="E20" s="2913">
        <v>1</v>
      </c>
      <c r="F20" s="2914" t="s">
        <v>2368</v>
      </c>
      <c r="G20" s="914"/>
      <c r="H20" s="904"/>
      <c r="I20" s="904"/>
    </row>
    <row r="21" spans="1:13" s="1254" customFormat="1">
      <c r="A21" s="4250"/>
      <c r="B21" s="4253"/>
      <c r="C21" s="2915" t="s">
        <v>2369</v>
      </c>
      <c r="D21" s="2916"/>
      <c r="E21" s="2917">
        <v>1</v>
      </c>
      <c r="F21" s="2914" t="s">
        <v>2370</v>
      </c>
      <c r="G21" s="914"/>
      <c r="H21" s="904"/>
      <c r="I21" s="904"/>
    </row>
    <row r="22" spans="1:13" s="1254" customFormat="1">
      <c r="A22" s="4250"/>
      <c r="B22" s="4253"/>
      <c r="C22" s="2915" t="s">
        <v>2371</v>
      </c>
      <c r="D22" s="2916"/>
      <c r="E22" s="2917">
        <v>0.9</v>
      </c>
      <c r="F22" s="2914" t="s">
        <v>2372</v>
      </c>
      <c r="G22" s="914"/>
      <c r="H22" s="904"/>
      <c r="I22" s="904"/>
    </row>
    <row r="23" spans="1:13" s="1254" customFormat="1">
      <c r="A23" s="4250"/>
      <c r="B23" s="4253"/>
      <c r="C23" s="2915" t="s">
        <v>2373</v>
      </c>
      <c r="D23" s="2916"/>
      <c r="E23" s="2917">
        <v>0.9</v>
      </c>
      <c r="F23" s="2914" t="s">
        <v>2374</v>
      </c>
      <c r="G23" s="914"/>
      <c r="H23" s="904"/>
      <c r="I23" s="904"/>
    </row>
    <row r="24" spans="1:13" s="1254" customFormat="1">
      <c r="A24" s="4250"/>
      <c r="B24" s="4253"/>
      <c r="C24" s="2915" t="s">
        <v>2375</v>
      </c>
      <c r="D24" s="2916"/>
      <c r="E24" s="2917">
        <v>0.8</v>
      </c>
      <c r="F24" s="2914" t="s">
        <v>2376</v>
      </c>
      <c r="G24" s="914"/>
      <c r="H24" s="904"/>
      <c r="I24" s="904"/>
    </row>
    <row r="25" spans="1:13" s="1254" customFormat="1" ht="14.25" thickBot="1">
      <c r="A25" s="4251"/>
      <c r="B25" s="4254"/>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55" t="s">
        <v>2361</v>
      </c>
      <c r="B27" s="4252" t="s">
        <v>2361</v>
      </c>
      <c r="C27" s="2911" t="s">
        <v>2381</v>
      </c>
      <c r="D27" s="2912"/>
      <c r="E27" s="2913">
        <v>1</v>
      </c>
      <c r="F27" s="2914" t="s">
        <v>2382</v>
      </c>
      <c r="G27" s="914"/>
      <c r="H27" s="904"/>
      <c r="I27" s="904"/>
    </row>
    <row r="28" spans="1:13" s="1254" customFormat="1">
      <c r="A28" s="4256"/>
      <c r="B28" s="4253"/>
      <c r="C28" s="2915" t="s">
        <v>2383</v>
      </c>
      <c r="D28" s="2916"/>
      <c r="E28" s="2917">
        <v>1</v>
      </c>
      <c r="F28" s="2914" t="s">
        <v>2384</v>
      </c>
      <c r="G28" s="914"/>
      <c r="H28" s="904"/>
      <c r="I28" s="904"/>
    </row>
    <row r="29" spans="1:13" s="1254" customFormat="1">
      <c r="A29" s="4256"/>
      <c r="B29" s="4253"/>
      <c r="C29" s="2915" t="s">
        <v>2385</v>
      </c>
      <c r="D29" s="2916"/>
      <c r="E29" s="2917">
        <v>0.8</v>
      </c>
      <c r="F29" s="2914" t="s">
        <v>2386</v>
      </c>
      <c r="G29" s="914"/>
      <c r="H29" s="904"/>
      <c r="I29" s="904"/>
    </row>
    <row r="30" spans="1:13" s="1254" customFormat="1">
      <c r="A30" s="4256"/>
      <c r="B30" s="4253"/>
      <c r="C30" s="2915" t="s">
        <v>2387</v>
      </c>
      <c r="D30" s="2916"/>
      <c r="E30" s="2917">
        <v>0.8</v>
      </c>
      <c r="F30" s="2914" t="s">
        <v>2388</v>
      </c>
      <c r="G30" s="914"/>
      <c r="H30" s="904"/>
      <c r="I30" s="904"/>
    </row>
    <row r="31" spans="1:13" s="1254" customFormat="1">
      <c r="A31" s="4256"/>
      <c r="B31" s="4253"/>
      <c r="C31" s="2915" t="s">
        <v>2389</v>
      </c>
      <c r="D31" s="2916"/>
      <c r="E31" s="2917">
        <v>0.8</v>
      </c>
      <c r="F31" s="2914" t="s">
        <v>2390</v>
      </c>
      <c r="G31" s="914"/>
      <c r="H31" s="904"/>
      <c r="I31" s="904"/>
    </row>
    <row r="32" spans="1:13" s="1254" customFormat="1">
      <c r="A32" s="4256"/>
      <c r="B32" s="4253"/>
      <c r="C32" s="2915" t="s">
        <v>2391</v>
      </c>
      <c r="D32" s="2916"/>
      <c r="E32" s="2917">
        <v>0.7</v>
      </c>
      <c r="F32" s="2914" t="s">
        <v>2392</v>
      </c>
      <c r="G32" s="914"/>
      <c r="H32" s="904"/>
      <c r="I32" s="904"/>
    </row>
    <row r="33" spans="1:9" s="1254" customFormat="1">
      <c r="A33" s="4256"/>
      <c r="B33" s="4253"/>
      <c r="C33" s="2915" t="s">
        <v>2393</v>
      </c>
      <c r="D33" s="2916"/>
      <c r="E33" s="2917">
        <v>0.8</v>
      </c>
      <c r="F33" s="2914" t="s">
        <v>2394</v>
      </c>
      <c r="G33" s="914"/>
      <c r="H33" s="904"/>
      <c r="I33" s="904"/>
    </row>
    <row r="34" spans="1:9" s="1254" customFormat="1">
      <c r="A34" s="4256"/>
      <c r="B34" s="4253"/>
      <c r="C34" s="2915" t="s">
        <v>2395</v>
      </c>
      <c r="D34" s="2916"/>
      <c r="E34" s="2917">
        <v>0.6</v>
      </c>
      <c r="F34" s="2914" t="s">
        <v>2396</v>
      </c>
      <c r="G34" s="914"/>
      <c r="H34" s="904"/>
      <c r="I34" s="904"/>
    </row>
    <row r="35" spans="1:9" s="1254" customFormat="1">
      <c r="A35" s="4256"/>
      <c r="B35" s="4253"/>
      <c r="C35" s="2915" t="s">
        <v>2397</v>
      </c>
      <c r="D35" s="2916"/>
      <c r="E35" s="2917">
        <v>0.2</v>
      </c>
      <c r="F35" s="2914" t="s">
        <v>2398</v>
      </c>
      <c r="G35" s="914"/>
      <c r="H35" s="904"/>
      <c r="I35" s="904"/>
    </row>
    <row r="36" spans="1:9" s="1254" customFormat="1">
      <c r="A36" s="4256"/>
      <c r="B36" s="4253"/>
      <c r="C36" s="2915" t="s">
        <v>2399</v>
      </c>
      <c r="D36" s="2916"/>
      <c r="E36" s="2917">
        <v>0.2</v>
      </c>
      <c r="F36" s="2914" t="s">
        <v>2400</v>
      </c>
      <c r="G36" s="914"/>
      <c r="H36" s="904"/>
      <c r="I36" s="904"/>
    </row>
    <row r="37" spans="1:9" s="1254" customFormat="1">
      <c r="A37" s="4256"/>
      <c r="B37" s="4258" t="s">
        <v>2401</v>
      </c>
      <c r="C37" s="2915" t="s">
        <v>2402</v>
      </c>
      <c r="D37" s="2916"/>
      <c r="E37" s="2917">
        <v>0.6</v>
      </c>
      <c r="F37" s="2914" t="s">
        <v>2403</v>
      </c>
      <c r="G37" s="914"/>
      <c r="H37" s="904"/>
      <c r="I37" s="904"/>
    </row>
    <row r="38" spans="1:9" s="1254" customFormat="1">
      <c r="A38" s="4256"/>
      <c r="B38" s="4253"/>
      <c r="C38" s="2915" t="s">
        <v>2404</v>
      </c>
      <c r="D38" s="2916"/>
      <c r="E38" s="2917">
        <v>0.6</v>
      </c>
      <c r="F38" s="2914" t="s">
        <v>2405</v>
      </c>
      <c r="G38" s="914"/>
      <c r="H38" s="904"/>
      <c r="I38" s="904"/>
    </row>
    <row r="39" spans="1:9" s="1254" customFormat="1" ht="14.25" thickBot="1">
      <c r="A39" s="4257"/>
      <c r="B39" s="4254"/>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49" t="s">
        <v>2359</v>
      </c>
      <c r="B41" s="4252" t="s">
        <v>2410</v>
      </c>
      <c r="C41" s="2911" t="s">
        <v>2411</v>
      </c>
      <c r="D41" s="2912"/>
      <c r="E41" s="2913">
        <v>1</v>
      </c>
      <c r="F41" s="2914" t="s">
        <v>2412</v>
      </c>
      <c r="G41" s="914"/>
      <c r="H41" s="904"/>
      <c r="I41" s="904"/>
    </row>
    <row r="42" spans="1:9" s="1254" customFormat="1">
      <c r="A42" s="4250"/>
      <c r="B42" s="4253"/>
      <c r="C42" s="2915" t="s">
        <v>2413</v>
      </c>
      <c r="D42" s="2916"/>
      <c r="E42" s="2917">
        <v>1</v>
      </c>
      <c r="F42" s="2914" t="s">
        <v>2414</v>
      </c>
      <c r="G42" s="914"/>
      <c r="H42" s="904"/>
      <c r="I42" s="904"/>
    </row>
    <row r="43" spans="1:9" s="1254" customFormat="1">
      <c r="A43" s="4250"/>
      <c r="B43" s="4259"/>
      <c r="C43" s="2915" t="s">
        <v>2415</v>
      </c>
      <c r="D43" s="2916"/>
      <c r="E43" s="2917">
        <v>1.5</v>
      </c>
      <c r="F43" s="2914" t="s">
        <v>2416</v>
      </c>
      <c r="G43" s="914"/>
      <c r="H43" s="904"/>
      <c r="I43" s="904"/>
    </row>
    <row r="44" spans="1:9" s="1254" customFormat="1">
      <c r="A44" s="4250"/>
      <c r="B44" s="2926" t="s">
        <v>2361</v>
      </c>
      <c r="C44" s="2915" t="s">
        <v>2360</v>
      </c>
      <c r="D44" s="2916"/>
      <c r="E44" s="2917">
        <v>2</v>
      </c>
      <c r="F44" s="2914" t="s">
        <v>2417</v>
      </c>
      <c r="G44" s="914"/>
      <c r="H44" s="904"/>
      <c r="I44" s="904"/>
    </row>
    <row r="45" spans="1:9" s="1254" customFormat="1">
      <c r="A45" s="4250"/>
      <c r="B45" s="4258" t="s">
        <v>2418</v>
      </c>
      <c r="C45" s="2915" t="s">
        <v>2419</v>
      </c>
      <c r="D45" s="2916"/>
      <c r="E45" s="2917">
        <v>1</v>
      </c>
      <c r="F45" s="2914" t="s">
        <v>2420</v>
      </c>
      <c r="G45" s="914"/>
      <c r="H45" s="904"/>
      <c r="I45" s="904"/>
    </row>
    <row r="46" spans="1:9" s="1254" customFormat="1">
      <c r="A46" s="4250"/>
      <c r="B46" s="4253"/>
      <c r="C46" s="2915" t="s">
        <v>2421</v>
      </c>
      <c r="D46" s="2916"/>
      <c r="E46" s="2917">
        <v>1</v>
      </c>
      <c r="F46" s="2914" t="s">
        <v>2422</v>
      </c>
      <c r="G46" s="914"/>
      <c r="H46" s="904"/>
      <c r="I46" s="904"/>
    </row>
    <row r="47" spans="1:9" s="1254" customFormat="1">
      <c r="A47" s="4250"/>
      <c r="B47" s="4253"/>
      <c r="C47" s="2915" t="s">
        <v>2423</v>
      </c>
      <c r="D47" s="2916"/>
      <c r="E47" s="2917">
        <v>1</v>
      </c>
      <c r="F47" s="2914" t="s">
        <v>2424</v>
      </c>
      <c r="G47" s="914"/>
      <c r="H47" s="904"/>
      <c r="I47" s="904"/>
    </row>
    <row r="48" spans="1:9" s="1254" customFormat="1">
      <c r="A48" s="4250"/>
      <c r="B48" s="4253"/>
      <c r="C48" s="2915" t="s">
        <v>2425</v>
      </c>
      <c r="D48" s="2916"/>
      <c r="E48" s="2917">
        <v>1</v>
      </c>
      <c r="F48" s="2914" t="s">
        <v>2426</v>
      </c>
      <c r="G48" s="914"/>
      <c r="H48" s="904"/>
      <c r="I48" s="904"/>
    </row>
    <row r="49" spans="1:9" s="1254" customFormat="1">
      <c r="A49" s="4250"/>
      <c r="B49" s="4253"/>
      <c r="C49" s="2915" t="s">
        <v>2427</v>
      </c>
      <c r="D49" s="2916"/>
      <c r="E49" s="2917">
        <v>1</v>
      </c>
      <c r="F49" s="2914" t="s">
        <v>2428</v>
      </c>
      <c r="G49" s="914"/>
      <c r="H49" s="904"/>
      <c r="I49" s="904"/>
    </row>
    <row r="50" spans="1:9" s="1254" customFormat="1">
      <c r="A50" s="4250"/>
      <c r="B50" s="4253"/>
      <c r="C50" s="2915" t="s">
        <v>2429</v>
      </c>
      <c r="D50" s="2916"/>
      <c r="E50" s="2917">
        <v>1</v>
      </c>
      <c r="F50" s="2914" t="s">
        <v>2430</v>
      </c>
      <c r="G50" s="914"/>
      <c r="H50" s="904"/>
      <c r="I50" s="904"/>
    </row>
    <row r="51" spans="1:9" s="1254" customFormat="1" ht="14.25" thickBot="1">
      <c r="A51" s="4251"/>
      <c r="B51" s="4254"/>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58" t="s">
        <v>2434</v>
      </c>
      <c r="C73" s="2904" t="s">
        <v>2435</v>
      </c>
      <c r="D73" s="2904" t="s">
        <v>2436</v>
      </c>
      <c r="E73" s="2927">
        <v>0.2</v>
      </c>
      <c r="F73" s="2926">
        <v>25</v>
      </c>
      <c r="H73" s="904">
        <f>SUMIF(C71:C139,'基准地价-商业'!C8,E71:E139)</f>
        <v>0</v>
      </c>
    </row>
    <row r="74" spans="1:8" s="904" customFormat="1" ht="24">
      <c r="A74" s="2926">
        <v>2</v>
      </c>
      <c r="B74" s="4253"/>
      <c r="C74" s="2904" t="s">
        <v>2437</v>
      </c>
      <c r="D74" s="2904" t="s">
        <v>2438</v>
      </c>
      <c r="E74" s="2927">
        <v>0.2</v>
      </c>
      <c r="F74" s="2926">
        <v>25</v>
      </c>
    </row>
    <row r="75" spans="1:8" s="904" customFormat="1" ht="24">
      <c r="A75" s="2926">
        <v>3</v>
      </c>
      <c r="B75" s="4253"/>
      <c r="C75" s="2904" t="s">
        <v>2439</v>
      </c>
      <c r="D75" s="2904" t="s">
        <v>2440</v>
      </c>
      <c r="E75" s="2927">
        <v>0.2</v>
      </c>
      <c r="F75" s="2926">
        <v>25</v>
      </c>
    </row>
    <row r="76" spans="1:8" s="904" customFormat="1">
      <c r="A76" s="2926">
        <v>4</v>
      </c>
      <c r="B76" s="4253"/>
      <c r="C76" s="2904" t="s">
        <v>2441</v>
      </c>
      <c r="D76" s="2904" t="s">
        <v>2442</v>
      </c>
      <c r="E76" s="2927">
        <v>0.15</v>
      </c>
      <c r="F76" s="2926">
        <v>20</v>
      </c>
    </row>
    <row r="77" spans="1:8" s="904" customFormat="1" ht="24">
      <c r="A77" s="2926">
        <v>5</v>
      </c>
      <c r="B77" s="4253"/>
      <c r="C77" s="2904" t="s">
        <v>2443</v>
      </c>
      <c r="D77" s="2904" t="s">
        <v>2444</v>
      </c>
      <c r="E77" s="2927">
        <v>0.15</v>
      </c>
      <c r="F77" s="2926">
        <v>20</v>
      </c>
    </row>
    <row r="78" spans="1:8" s="904" customFormat="1" ht="24">
      <c r="A78" s="2926">
        <v>6</v>
      </c>
      <c r="B78" s="4253"/>
      <c r="C78" s="2904" t="s">
        <v>2445</v>
      </c>
      <c r="D78" s="2904" t="s">
        <v>2446</v>
      </c>
      <c r="E78" s="2927">
        <v>0.15</v>
      </c>
      <c r="F78" s="2926">
        <v>20</v>
      </c>
    </row>
    <row r="79" spans="1:8" s="904" customFormat="1" ht="24">
      <c r="A79" s="2926">
        <v>7</v>
      </c>
      <c r="B79" s="4253"/>
      <c r="C79" s="2904" t="s">
        <v>2447</v>
      </c>
      <c r="D79" s="2904" t="s">
        <v>2448</v>
      </c>
      <c r="E79" s="2927">
        <v>0.15</v>
      </c>
      <c r="F79" s="2926">
        <v>20</v>
      </c>
    </row>
    <row r="80" spans="1:8" s="904" customFormat="1" ht="24">
      <c r="A80" s="2926">
        <v>8</v>
      </c>
      <c r="B80" s="4253"/>
      <c r="C80" s="2904" t="s">
        <v>2449</v>
      </c>
      <c r="D80" s="2904" t="s">
        <v>2450</v>
      </c>
      <c r="E80" s="2927">
        <v>0.1</v>
      </c>
      <c r="F80" s="2926">
        <v>15</v>
      </c>
    </row>
    <row r="81" spans="1:6" s="904" customFormat="1" ht="24">
      <c r="A81" s="2926">
        <v>9</v>
      </c>
      <c r="B81" s="4253"/>
      <c r="C81" s="2904" t="s">
        <v>2451</v>
      </c>
      <c r="D81" s="2904" t="s">
        <v>2452</v>
      </c>
      <c r="E81" s="2927">
        <v>0.1</v>
      </c>
      <c r="F81" s="2926">
        <v>15</v>
      </c>
    </row>
    <row r="82" spans="1:6" s="904" customFormat="1" ht="24">
      <c r="A82" s="2926">
        <v>10</v>
      </c>
      <c r="B82" s="4253"/>
      <c r="C82" s="2904" t="s">
        <v>2453</v>
      </c>
      <c r="D82" s="2904" t="s">
        <v>2454</v>
      </c>
      <c r="E82" s="2927">
        <v>0.1</v>
      </c>
      <c r="F82" s="2926">
        <v>15</v>
      </c>
    </row>
    <row r="83" spans="1:6" s="904" customFormat="1" ht="24">
      <c r="A83" s="2926">
        <v>11</v>
      </c>
      <c r="B83" s="4253"/>
      <c r="C83" s="2904" t="s">
        <v>2455</v>
      </c>
      <c r="D83" s="2904" t="s">
        <v>2456</v>
      </c>
      <c r="E83" s="2927">
        <v>0.1</v>
      </c>
      <c r="F83" s="2926">
        <v>15</v>
      </c>
    </row>
    <row r="84" spans="1:6" s="904" customFormat="1" ht="24">
      <c r="A84" s="2926">
        <v>12</v>
      </c>
      <c r="B84" s="4253"/>
      <c r="C84" s="2904" t="s">
        <v>2457</v>
      </c>
      <c r="D84" s="2904" t="s">
        <v>2458</v>
      </c>
      <c r="E84" s="2927">
        <v>0.1</v>
      </c>
      <c r="F84" s="2926">
        <v>15</v>
      </c>
    </row>
    <row r="85" spans="1:6" s="904" customFormat="1">
      <c r="A85" s="2926">
        <v>13</v>
      </c>
      <c r="B85" s="4253"/>
      <c r="C85" s="2904" t="s">
        <v>2459</v>
      </c>
      <c r="D85" s="2904" t="s">
        <v>2460</v>
      </c>
      <c r="E85" s="2927">
        <v>0.1</v>
      </c>
      <c r="F85" s="2926">
        <v>15</v>
      </c>
    </row>
    <row r="86" spans="1:6" s="904" customFormat="1">
      <c r="A86" s="2926">
        <v>14</v>
      </c>
      <c r="B86" s="4253"/>
      <c r="C86" s="2904" t="s">
        <v>2461</v>
      </c>
      <c r="D86" s="2904" t="s">
        <v>2462</v>
      </c>
      <c r="E86" s="2927">
        <v>0.1</v>
      </c>
      <c r="F86" s="2926">
        <v>15</v>
      </c>
    </row>
    <row r="87" spans="1:6" s="904" customFormat="1">
      <c r="A87" s="2926">
        <v>15</v>
      </c>
      <c r="B87" s="4253"/>
      <c r="C87" s="2904" t="s">
        <v>2463</v>
      </c>
      <c r="D87" s="2904" t="s">
        <v>2464</v>
      </c>
      <c r="E87" s="2927">
        <v>0.1</v>
      </c>
      <c r="F87" s="2926">
        <v>15</v>
      </c>
    </row>
    <row r="88" spans="1:6" s="904" customFormat="1" ht="24">
      <c r="A88" s="2926">
        <v>16</v>
      </c>
      <c r="B88" s="4253"/>
      <c r="C88" s="2904" t="s">
        <v>2465</v>
      </c>
      <c r="D88" s="2904" t="s">
        <v>2466</v>
      </c>
      <c r="E88" s="2927">
        <v>0.1</v>
      </c>
      <c r="F88" s="2926">
        <v>15</v>
      </c>
    </row>
    <row r="89" spans="1:6" s="904" customFormat="1" ht="24">
      <c r="A89" s="2926">
        <v>17</v>
      </c>
      <c r="B89" s="4259"/>
      <c r="C89" s="2904" t="s">
        <v>2467</v>
      </c>
      <c r="D89" s="2904" t="s">
        <v>2468</v>
      </c>
      <c r="E89" s="2927">
        <v>0.1</v>
      </c>
      <c r="F89" s="2926">
        <v>15</v>
      </c>
    </row>
    <row r="90" spans="1:6" s="904" customFormat="1">
      <c r="A90" s="2926">
        <v>18</v>
      </c>
      <c r="B90" s="4258" t="s">
        <v>2469</v>
      </c>
      <c r="C90" s="2904" t="s">
        <v>2470</v>
      </c>
      <c r="D90" s="2904" t="s">
        <v>2471</v>
      </c>
      <c r="E90" s="2927">
        <v>0.2</v>
      </c>
      <c r="F90" s="2926">
        <v>25</v>
      </c>
    </row>
    <row r="91" spans="1:6" s="904" customFormat="1" ht="24">
      <c r="A91" s="2926">
        <v>19</v>
      </c>
      <c r="B91" s="4253"/>
      <c r="C91" s="2904" t="s">
        <v>2472</v>
      </c>
      <c r="D91" s="2904" t="s">
        <v>2473</v>
      </c>
      <c r="E91" s="2927">
        <v>0.2</v>
      </c>
      <c r="F91" s="2926">
        <v>25</v>
      </c>
    </row>
    <row r="92" spans="1:6" s="904" customFormat="1">
      <c r="A92" s="2926">
        <v>20</v>
      </c>
      <c r="B92" s="4253"/>
      <c r="C92" s="2904" t="s">
        <v>2474</v>
      </c>
      <c r="D92" s="2904" t="s">
        <v>2475</v>
      </c>
      <c r="E92" s="2927">
        <v>0.15</v>
      </c>
      <c r="F92" s="2926">
        <v>20</v>
      </c>
    </row>
    <row r="93" spans="1:6" s="904" customFormat="1" ht="24">
      <c r="A93" s="2926">
        <v>21</v>
      </c>
      <c r="B93" s="4253"/>
      <c r="C93" s="2904" t="s">
        <v>2476</v>
      </c>
      <c r="D93" s="2904" t="s">
        <v>2477</v>
      </c>
      <c r="E93" s="2927">
        <v>0.15</v>
      </c>
      <c r="F93" s="2926">
        <v>20</v>
      </c>
    </row>
    <row r="94" spans="1:6" s="904" customFormat="1" ht="24">
      <c r="A94" s="2926">
        <v>22</v>
      </c>
      <c r="B94" s="4253"/>
      <c r="C94" s="2904" t="s">
        <v>2478</v>
      </c>
      <c r="D94" s="2904" t="s">
        <v>2479</v>
      </c>
      <c r="E94" s="2927">
        <v>0.15</v>
      </c>
      <c r="F94" s="2926">
        <v>20</v>
      </c>
    </row>
    <row r="95" spans="1:6" s="904" customFormat="1" ht="36">
      <c r="A95" s="2926">
        <v>23</v>
      </c>
      <c r="B95" s="4253"/>
      <c r="C95" s="2904" t="s">
        <v>2480</v>
      </c>
      <c r="D95" s="2904" t="s">
        <v>2481</v>
      </c>
      <c r="E95" s="2927">
        <v>0.15</v>
      </c>
      <c r="F95" s="2926">
        <v>20</v>
      </c>
    </row>
    <row r="96" spans="1:6" s="904" customFormat="1">
      <c r="A96" s="2926">
        <v>24</v>
      </c>
      <c r="B96" s="4253"/>
      <c r="C96" s="2904" t="s">
        <v>2482</v>
      </c>
      <c r="D96" s="2904" t="s">
        <v>2483</v>
      </c>
      <c r="E96" s="2927">
        <v>0.1</v>
      </c>
      <c r="F96" s="2926">
        <v>15</v>
      </c>
    </row>
    <row r="97" spans="1:6" s="904" customFormat="1" ht="24">
      <c r="A97" s="2926">
        <v>25</v>
      </c>
      <c r="B97" s="4253"/>
      <c r="C97" s="2904" t="s">
        <v>2484</v>
      </c>
      <c r="D97" s="2904" t="s">
        <v>2485</v>
      </c>
      <c r="E97" s="2927">
        <v>0.1</v>
      </c>
      <c r="F97" s="2926">
        <v>15</v>
      </c>
    </row>
    <row r="98" spans="1:6" s="904" customFormat="1" ht="24">
      <c r="A98" s="2926">
        <v>26</v>
      </c>
      <c r="B98" s="4253"/>
      <c r="C98" s="2904" t="s">
        <v>2486</v>
      </c>
      <c r="D98" s="2904" t="s">
        <v>2487</v>
      </c>
      <c r="E98" s="2927">
        <v>0.1</v>
      </c>
      <c r="F98" s="2926">
        <v>15</v>
      </c>
    </row>
    <row r="99" spans="1:6" s="904" customFormat="1" ht="24">
      <c r="A99" s="2926">
        <v>27</v>
      </c>
      <c r="B99" s="4253"/>
      <c r="C99" s="2904" t="s">
        <v>2488</v>
      </c>
      <c r="D99" s="2904" t="s">
        <v>2489</v>
      </c>
      <c r="E99" s="2927">
        <v>0.1</v>
      </c>
      <c r="F99" s="2926">
        <v>15</v>
      </c>
    </row>
    <row r="100" spans="1:6" s="904" customFormat="1" ht="24">
      <c r="A100" s="2926">
        <v>28</v>
      </c>
      <c r="B100" s="4253"/>
      <c r="C100" s="2904" t="s">
        <v>2490</v>
      </c>
      <c r="D100" s="2904" t="s">
        <v>2491</v>
      </c>
      <c r="E100" s="2927">
        <v>0.1</v>
      </c>
      <c r="F100" s="2926">
        <v>15</v>
      </c>
    </row>
    <row r="101" spans="1:6" s="904" customFormat="1" ht="24">
      <c r="A101" s="2926">
        <v>29</v>
      </c>
      <c r="B101" s="4253"/>
      <c r="C101" s="2904" t="s">
        <v>2492</v>
      </c>
      <c r="D101" s="2904" t="s">
        <v>2493</v>
      </c>
      <c r="E101" s="2927">
        <v>0.1</v>
      </c>
      <c r="F101" s="2926">
        <v>15</v>
      </c>
    </row>
    <row r="102" spans="1:6" s="904" customFormat="1" ht="24">
      <c r="A102" s="2926">
        <v>30</v>
      </c>
      <c r="B102" s="4253"/>
      <c r="C102" s="2904" t="s">
        <v>2494</v>
      </c>
      <c r="D102" s="2904" t="s">
        <v>2495</v>
      </c>
      <c r="E102" s="2927">
        <v>0.1</v>
      </c>
      <c r="F102" s="2926">
        <v>15</v>
      </c>
    </row>
    <row r="103" spans="1:6" s="904" customFormat="1" ht="24">
      <c r="A103" s="2926">
        <v>31</v>
      </c>
      <c r="B103" s="4253"/>
      <c r="C103" s="2904" t="s">
        <v>2496</v>
      </c>
      <c r="D103" s="2904" t="s">
        <v>2497</v>
      </c>
      <c r="E103" s="2927">
        <v>0.1</v>
      </c>
      <c r="F103" s="2926">
        <v>15</v>
      </c>
    </row>
    <row r="104" spans="1:6" s="904" customFormat="1" ht="24">
      <c r="A104" s="2926">
        <v>32</v>
      </c>
      <c r="B104" s="4253"/>
      <c r="C104" s="2904" t="s">
        <v>2498</v>
      </c>
      <c r="D104" s="2904" t="s">
        <v>2499</v>
      </c>
      <c r="E104" s="2927">
        <v>0.1</v>
      </c>
      <c r="F104" s="2926">
        <v>15</v>
      </c>
    </row>
    <row r="105" spans="1:6" s="904" customFormat="1" ht="24">
      <c r="A105" s="2926">
        <v>33</v>
      </c>
      <c r="B105" s="4253"/>
      <c r="C105" s="2904" t="s">
        <v>2500</v>
      </c>
      <c r="D105" s="2904" t="s">
        <v>2501</v>
      </c>
      <c r="E105" s="2927">
        <v>0.1</v>
      </c>
      <c r="F105" s="2926">
        <v>15</v>
      </c>
    </row>
    <row r="106" spans="1:6" s="904" customFormat="1" ht="24">
      <c r="A106" s="2926">
        <v>34</v>
      </c>
      <c r="B106" s="4259"/>
      <c r="C106" s="2904" t="s">
        <v>2502</v>
      </c>
      <c r="D106" s="2904" t="s">
        <v>2503</v>
      </c>
      <c r="E106" s="2927">
        <v>0.1</v>
      </c>
      <c r="F106" s="2926">
        <v>15</v>
      </c>
    </row>
    <row r="107" spans="1:6" s="904" customFormat="1" ht="24">
      <c r="A107" s="2926">
        <v>35</v>
      </c>
      <c r="B107" s="4258" t="s">
        <v>2504</v>
      </c>
      <c r="C107" s="2926" t="s">
        <v>2505</v>
      </c>
      <c r="D107" s="2904" t="s">
        <v>2506</v>
      </c>
      <c r="E107" s="2927">
        <v>0.15</v>
      </c>
      <c r="F107" s="2926">
        <v>20</v>
      </c>
    </row>
    <row r="108" spans="1:6" s="904" customFormat="1" ht="24">
      <c r="A108" s="2926">
        <v>36</v>
      </c>
      <c r="B108" s="4253"/>
      <c r="C108" s="2926" t="s">
        <v>2507</v>
      </c>
      <c r="D108" s="2904" t="s">
        <v>2508</v>
      </c>
      <c r="E108" s="2927">
        <v>0.15</v>
      </c>
      <c r="F108" s="2926">
        <v>20</v>
      </c>
    </row>
    <row r="109" spans="1:6" s="904" customFormat="1" ht="24">
      <c r="A109" s="2926">
        <v>37</v>
      </c>
      <c r="B109" s="4253"/>
      <c r="C109" s="2926" t="s">
        <v>2509</v>
      </c>
      <c r="D109" s="2904" t="s">
        <v>2510</v>
      </c>
      <c r="E109" s="2927">
        <v>0.15</v>
      </c>
      <c r="F109" s="2926">
        <v>20</v>
      </c>
    </row>
    <row r="110" spans="1:6" s="904" customFormat="1">
      <c r="A110" s="2926">
        <v>38</v>
      </c>
      <c r="B110" s="4253"/>
      <c r="C110" s="2926" t="s">
        <v>2511</v>
      </c>
      <c r="D110" s="2904" t="s">
        <v>2512</v>
      </c>
      <c r="E110" s="2927">
        <v>0.1</v>
      </c>
      <c r="F110" s="2926">
        <v>15</v>
      </c>
    </row>
    <row r="111" spans="1:6" s="904" customFormat="1" ht="24">
      <c r="A111" s="2926">
        <v>39</v>
      </c>
      <c r="B111" s="4253"/>
      <c r="C111" s="2926" t="s">
        <v>2513</v>
      </c>
      <c r="D111" s="2904" t="s">
        <v>2514</v>
      </c>
      <c r="E111" s="2927">
        <v>0.1</v>
      </c>
      <c r="F111" s="2926">
        <v>15</v>
      </c>
    </row>
    <row r="112" spans="1:6" s="904" customFormat="1" ht="24">
      <c r="A112" s="2926">
        <v>40</v>
      </c>
      <c r="B112" s="4259"/>
      <c r="C112" s="2926" t="s">
        <v>2515</v>
      </c>
      <c r="D112" s="2904" t="s">
        <v>2516</v>
      </c>
      <c r="E112" s="2927">
        <v>0.1</v>
      </c>
      <c r="F112" s="2926">
        <v>15</v>
      </c>
    </row>
    <row r="113" spans="1:6" s="904" customFormat="1" ht="24">
      <c r="A113" s="2926">
        <v>41</v>
      </c>
      <c r="B113" s="4260" t="s">
        <v>2517</v>
      </c>
      <c r="C113" s="2926" t="s">
        <v>2518</v>
      </c>
      <c r="D113" s="2904" t="s">
        <v>2519</v>
      </c>
      <c r="E113" s="2927">
        <v>0.1</v>
      </c>
      <c r="F113" s="2926">
        <v>15</v>
      </c>
    </row>
    <row r="114" spans="1:6" s="904" customFormat="1">
      <c r="A114" s="2926">
        <v>42</v>
      </c>
      <c r="B114" s="4260"/>
      <c r="C114" s="2926" t="s">
        <v>2520</v>
      </c>
      <c r="D114" s="2904" t="s">
        <v>2521</v>
      </c>
      <c r="E114" s="2927">
        <v>0.1</v>
      </c>
      <c r="F114" s="2926">
        <v>15</v>
      </c>
    </row>
    <row r="115" spans="1:6" s="904" customFormat="1" ht="24">
      <c r="A115" s="2926">
        <v>43</v>
      </c>
      <c r="B115" s="4260"/>
      <c r="C115" s="2926" t="s">
        <v>2522</v>
      </c>
      <c r="D115" s="2904" t="s">
        <v>2523</v>
      </c>
      <c r="E115" s="2927">
        <v>0.1</v>
      </c>
      <c r="F115" s="2926">
        <v>15</v>
      </c>
    </row>
    <row r="116" spans="1:6" s="904" customFormat="1" ht="24">
      <c r="A116" s="2926">
        <v>44</v>
      </c>
      <c r="B116" s="4258" t="s">
        <v>2524</v>
      </c>
      <c r="C116" s="2926" t="s">
        <v>2525</v>
      </c>
      <c r="D116" s="2904" t="s">
        <v>2526</v>
      </c>
      <c r="E116" s="2927">
        <v>0.1</v>
      </c>
      <c r="F116" s="2926">
        <v>15</v>
      </c>
    </row>
    <row r="117" spans="1:6" s="904" customFormat="1" ht="24">
      <c r="A117" s="2926">
        <v>45</v>
      </c>
      <c r="B117" s="4259"/>
      <c r="C117" s="2904" t="s">
        <v>2527</v>
      </c>
      <c r="D117" s="2904" t="s">
        <v>2528</v>
      </c>
      <c r="E117" s="2927">
        <v>0.1</v>
      </c>
      <c r="F117" s="2926">
        <v>15</v>
      </c>
    </row>
    <row r="118" spans="1:6" s="904" customFormat="1" ht="24">
      <c r="A118" s="2926">
        <v>46</v>
      </c>
      <c r="B118" s="4258" t="s">
        <v>2529</v>
      </c>
      <c r="C118" s="2926" t="s">
        <v>2530</v>
      </c>
      <c r="D118" s="2904" t="s">
        <v>2531</v>
      </c>
      <c r="E118" s="2927">
        <v>0.1</v>
      </c>
      <c r="F118" s="2926">
        <v>15</v>
      </c>
    </row>
    <row r="119" spans="1:6" s="904" customFormat="1" ht="24">
      <c r="A119" s="2926">
        <v>47</v>
      </c>
      <c r="B119" s="4259"/>
      <c r="C119" s="2926" t="s">
        <v>2532</v>
      </c>
      <c r="D119" s="2904" t="s">
        <v>2533</v>
      </c>
      <c r="E119" s="2927">
        <v>0.1</v>
      </c>
      <c r="F119" s="2926">
        <v>15</v>
      </c>
    </row>
    <row r="120" spans="1:6" s="904" customFormat="1" ht="24">
      <c r="A120" s="2926">
        <v>48</v>
      </c>
      <c r="B120" s="4258" t="s">
        <v>2534</v>
      </c>
      <c r="C120" s="2926" t="s">
        <v>2535</v>
      </c>
      <c r="D120" s="2904" t="s">
        <v>2536</v>
      </c>
      <c r="E120" s="2927">
        <v>0.1</v>
      </c>
      <c r="F120" s="2926">
        <v>15</v>
      </c>
    </row>
    <row r="121" spans="1:6" s="904" customFormat="1">
      <c r="A121" s="2926">
        <v>49</v>
      </c>
      <c r="B121" s="4259"/>
      <c r="C121" s="2926" t="s">
        <v>2537</v>
      </c>
      <c r="D121" s="2904" t="s">
        <v>2538</v>
      </c>
      <c r="E121" s="2927">
        <v>0.1</v>
      </c>
      <c r="F121" s="2926">
        <v>15</v>
      </c>
    </row>
    <row r="122" spans="1:6" s="904" customFormat="1" ht="24">
      <c r="A122" s="2926">
        <v>50</v>
      </c>
      <c r="B122" s="4260" t="s">
        <v>2539</v>
      </c>
      <c r="C122" s="2926" t="s">
        <v>2540</v>
      </c>
      <c r="D122" s="2904" t="s">
        <v>2541</v>
      </c>
      <c r="E122" s="2927">
        <v>0.1</v>
      </c>
      <c r="F122" s="2926">
        <v>15</v>
      </c>
    </row>
    <row r="123" spans="1:6" s="904" customFormat="1" ht="24">
      <c r="A123" s="2926">
        <v>51</v>
      </c>
      <c r="B123" s="4260"/>
      <c r="C123" s="2926" t="s">
        <v>2542</v>
      </c>
      <c r="D123" s="2904" t="s">
        <v>2543</v>
      </c>
      <c r="E123" s="2927">
        <v>0.1</v>
      </c>
      <c r="F123" s="2926">
        <v>15</v>
      </c>
    </row>
    <row r="124" spans="1:6" s="904" customFormat="1" ht="24">
      <c r="A124" s="2926">
        <v>52</v>
      </c>
      <c r="B124" s="4260" t="s">
        <v>2544</v>
      </c>
      <c r="C124" s="2926" t="s">
        <v>2545</v>
      </c>
      <c r="D124" s="2904" t="s">
        <v>2546</v>
      </c>
      <c r="E124" s="2927">
        <v>0.1</v>
      </c>
      <c r="F124" s="2926">
        <v>15</v>
      </c>
    </row>
    <row r="125" spans="1:6" s="904" customFormat="1" ht="24">
      <c r="A125" s="2926">
        <v>53</v>
      </c>
      <c r="B125" s="4260"/>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60" t="s">
        <v>2552</v>
      </c>
      <c r="C127" s="2926" t="s">
        <v>2553</v>
      </c>
      <c r="D127" s="2904" t="s">
        <v>2554</v>
      </c>
      <c r="E127" s="2927">
        <v>0.1</v>
      </c>
      <c r="F127" s="2926">
        <v>15</v>
      </c>
    </row>
    <row r="128" spans="1:6">
      <c r="A128" s="2926">
        <v>56</v>
      </c>
      <c r="B128" s="4260"/>
      <c r="C128" s="2926" t="s">
        <v>2555</v>
      </c>
      <c r="D128" s="2904" t="s">
        <v>2556</v>
      </c>
      <c r="E128" s="2927">
        <v>0.1</v>
      </c>
      <c r="F128" s="2926">
        <v>15</v>
      </c>
    </row>
    <row r="129" spans="1:14" ht="24">
      <c r="A129" s="2926">
        <v>57</v>
      </c>
      <c r="B129" s="4260"/>
      <c r="C129" s="2926" t="s">
        <v>2557</v>
      </c>
      <c r="D129" s="2904" t="s">
        <v>2558</v>
      </c>
      <c r="E129" s="2927">
        <v>0.1</v>
      </c>
      <c r="F129" s="2926">
        <v>15</v>
      </c>
    </row>
    <row r="130" spans="1:14" ht="24">
      <c r="A130" s="2926">
        <v>58</v>
      </c>
      <c r="B130" s="4260" t="s">
        <v>2559</v>
      </c>
      <c r="C130" s="2926" t="s">
        <v>2560</v>
      </c>
      <c r="D130" s="2904" t="s">
        <v>2561</v>
      </c>
      <c r="E130" s="2927">
        <v>0.1</v>
      </c>
      <c r="F130" s="2926">
        <v>15</v>
      </c>
    </row>
    <row r="131" spans="1:14" ht="24">
      <c r="A131" s="2926">
        <v>59</v>
      </c>
      <c r="B131" s="4260"/>
      <c r="C131" s="2926" t="s">
        <v>2562</v>
      </c>
      <c r="D131" s="2904" t="s">
        <v>2563</v>
      </c>
      <c r="E131" s="2927">
        <v>0.1</v>
      </c>
      <c r="F131" s="2926">
        <v>15</v>
      </c>
    </row>
    <row r="132" spans="1:14" ht="24">
      <c r="A132" s="2926">
        <v>60</v>
      </c>
      <c r="B132" s="4258" t="s">
        <v>2564</v>
      </c>
      <c r="C132" s="2926" t="s">
        <v>2565</v>
      </c>
      <c r="D132" s="2904" t="s">
        <v>2566</v>
      </c>
      <c r="E132" s="2927">
        <v>0.1</v>
      </c>
      <c r="F132" s="2926">
        <v>15</v>
      </c>
    </row>
    <row r="133" spans="1:14" ht="24">
      <c r="A133" s="2926">
        <v>61</v>
      </c>
      <c r="B133" s="4259"/>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60" t="s">
        <v>2572</v>
      </c>
      <c r="C135" s="2926" t="s">
        <v>2573</v>
      </c>
      <c r="D135" s="2904" t="s">
        <v>2574</v>
      </c>
      <c r="E135" s="2927">
        <v>0.1</v>
      </c>
      <c r="F135" s="2926">
        <v>15</v>
      </c>
    </row>
    <row r="136" spans="1:14">
      <c r="A136" s="2926">
        <v>64</v>
      </c>
      <c r="B136" s="4260"/>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61" t="s">
        <v>2720</v>
      </c>
      <c r="B1" s="4261"/>
      <c r="C1" s="4261"/>
      <c r="D1" s="4261"/>
      <c r="E1" s="4261"/>
      <c r="F1" s="4261"/>
      <c r="G1" s="4262"/>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63"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64"/>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4265" t="s">
        <v>3095</v>
      </c>
      <c r="B1" s="4265"/>
      <c r="C1" s="4265"/>
      <c r="D1" s="4265"/>
      <c r="E1" s="4265"/>
      <c r="F1" s="4266"/>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32106.47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根据《国有土地使用证》[]，估价对象（分摊）出让国有建设用地使用权面积为12128平方米。根据《建设工程规划许可证》[]、《出让合同》[]，估价对象规划建筑面积为32106.47平方米。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67" t="s">
        <v>2933</v>
      </c>
      <c r="B1" s="4267"/>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75" t="s">
        <v>1767</v>
      </c>
      <c r="C1" s="4275"/>
      <c r="D1" s="4275"/>
      <c r="E1" s="4275"/>
      <c r="F1" s="4275"/>
      <c r="G1" s="4274" t="s">
        <v>1768</v>
      </c>
      <c r="H1" s="4274"/>
      <c r="I1" s="4274"/>
      <c r="J1" s="4274"/>
      <c r="K1" s="4274"/>
      <c r="L1" s="4274"/>
      <c r="N1" s="4274" t="s">
        <v>1769</v>
      </c>
      <c r="O1" s="4274"/>
      <c r="P1" s="4274"/>
      <c r="Q1" s="4274"/>
      <c r="S1" s="4274" t="s">
        <v>1770</v>
      </c>
      <c r="T1" s="4274"/>
      <c r="U1" s="4274"/>
      <c r="V1" s="4274"/>
      <c r="X1" s="4273" t="s">
        <v>1830</v>
      </c>
      <c r="Y1" s="4274"/>
      <c r="Z1" s="4274"/>
      <c r="AA1" s="4274"/>
      <c r="AB1" s="4274"/>
      <c r="AD1" s="4273" t="s">
        <v>1834</v>
      </c>
      <c r="AE1" s="4274"/>
      <c r="AF1" s="4274"/>
      <c r="AG1" s="4274"/>
      <c r="AH1" s="4274"/>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69">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69"/>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69"/>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70"/>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68">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69"/>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69"/>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70"/>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68">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69"/>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69"/>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72"/>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71">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69"/>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69"/>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72"/>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71">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69"/>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69"/>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72"/>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76">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77"/>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77"/>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78"/>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71">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69"/>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69"/>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72"/>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71">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69">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69">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72">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71">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69">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69">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72">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71">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69">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69">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72">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71">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69">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69">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72">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71">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69">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69">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72">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71">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69">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69">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72">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71">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69">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69">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72">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71">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69">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69">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72">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71">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69">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69">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72">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71">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69">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69">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72">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D38"/>
  <sheetViews>
    <sheetView topLeftCell="A4" zoomScale="70" zoomScaleNormal="70" workbookViewId="0">
      <selection activeCell="S31" sqref="S31"/>
    </sheetView>
  </sheetViews>
  <sheetFormatPr defaultRowHeight="13.5"/>
  <cols>
    <col min="1" max="1" width="12.375" customWidth="1"/>
    <col min="11" max="17" width="0" hidden="1" customWidth="1"/>
    <col min="24" max="30" width="0" hidden="1" customWidth="1"/>
  </cols>
  <sheetData>
    <row r="1" spans="1:30">
      <c r="A1" s="3051">
        <f>'基准地价-商业'!G23</f>
        <v>45076</v>
      </c>
      <c r="B1" s="2999" t="s">
        <v>2696</v>
      </c>
      <c r="C1" s="3000"/>
      <c r="D1" s="3000"/>
      <c r="E1" s="3000"/>
      <c r="F1" s="3000"/>
      <c r="G1" s="3000"/>
      <c r="H1" s="3000"/>
      <c r="I1" s="3000"/>
      <c r="J1" s="3001"/>
      <c r="K1" s="3000" t="s">
        <v>2697</v>
      </c>
      <c r="L1" s="3000"/>
      <c r="M1" s="3000"/>
      <c r="N1" s="3000"/>
      <c r="O1" s="3000"/>
      <c r="P1" s="3000"/>
      <c r="Q1" s="3001"/>
      <c r="R1" s="4279" t="s">
        <v>2706</v>
      </c>
      <c r="S1" s="4280"/>
      <c r="T1" s="4280"/>
      <c r="U1" s="4280"/>
      <c r="V1" s="4280"/>
      <c r="W1" s="4280"/>
      <c r="X1" s="3001"/>
      <c r="Y1" s="4279" t="s">
        <v>2717</v>
      </c>
      <c r="Z1" s="4280"/>
      <c r="AA1" s="4280"/>
      <c r="AB1" s="4280"/>
      <c r="AC1" s="4280"/>
      <c r="AD1" s="4280"/>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79" t="s">
        <v>2713</v>
      </c>
      <c r="S21" s="4280"/>
      <c r="T21" s="4280"/>
      <c r="U21" s="4280"/>
      <c r="V21" s="4280"/>
      <c r="W21" s="4280"/>
      <c r="X21" s="3001"/>
      <c r="Y21" s="4279" t="s">
        <v>1834</v>
      </c>
      <c r="Z21" s="4280"/>
      <c r="AA21" s="4280"/>
      <c r="AB21" s="4280"/>
      <c r="AC21" s="4280"/>
      <c r="AD21" s="4280"/>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34402.235200000003</v>
      </c>
      <c r="C2" s="2675"/>
      <c r="D2" s="2676"/>
      <c r="E2" s="2677"/>
      <c r="F2" s="2677"/>
      <c r="G2" s="2671"/>
      <c r="H2" s="1594"/>
      <c r="I2" s="1594"/>
      <c r="J2" s="1594"/>
      <c r="K2" s="1595"/>
      <c r="L2" s="1594"/>
      <c r="M2" s="1594"/>
    </row>
    <row r="3" spans="1:33" ht="18" customHeight="1" thickBot="1">
      <c r="A3" s="679" t="s">
        <v>468</v>
      </c>
      <c r="B3" s="680">
        <f ca="1">IF(ISERROR(B2*10000/F43),0,ROUND(B2*10000/F43,0))</f>
        <v>11829</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1" t="s">
        <v>1723</v>
      </c>
      <c r="C6" s="3626">
        <f ca="1">ROUND(F6*F8*F7*(1-F9)/10000,4)</f>
        <v>2574.1691999999998</v>
      </c>
      <c r="D6" s="1909" t="s">
        <v>1722</v>
      </c>
      <c r="E6" s="636" t="s">
        <v>585</v>
      </c>
      <c r="F6" s="637">
        <f ca="1">INDIRECT("'数据-取费表'!u"&amp;$G$1)</f>
        <v>2.5</v>
      </c>
      <c r="G6" s="1599"/>
      <c r="H6" s="1916" t="s">
        <v>1278</v>
      </c>
      <c r="I6" s="4281" t="s">
        <v>1723</v>
      </c>
      <c r="J6" s="635">
        <f ca="1">ROUND(M6*M8*M7*(1-M9)/10000,0)</f>
        <v>0</v>
      </c>
      <c r="K6" s="231" t="s">
        <v>584</v>
      </c>
      <c r="L6" s="636" t="s">
        <v>585</v>
      </c>
      <c r="M6" s="637">
        <f ca="1">INDIRECT("'数据-取费表'!z"&amp;$G$1)</f>
        <v>0</v>
      </c>
    </row>
    <row r="7" spans="1:33" ht="18" customHeight="1">
      <c r="A7" s="1912"/>
      <c r="B7" s="4282"/>
      <c r="C7" s="3628"/>
      <c r="D7" s="641"/>
      <c r="E7" s="636" t="s">
        <v>586</v>
      </c>
      <c r="F7" s="637">
        <f ca="1">IF(INDIRECT("'数据-取费表'!ah"&amp;$G$1)="",INDIRECT("'数据-取费表'!k"&amp;$G$1),INDIRECT("'数据-取费表'!ah"&amp;$G$1))</f>
        <v>29082.55</v>
      </c>
      <c r="G7" s="1599"/>
      <c r="H7" s="1901"/>
      <c r="I7" s="4282"/>
      <c r="J7" s="640"/>
      <c r="K7" s="641"/>
      <c r="L7" s="636" t="s">
        <v>586</v>
      </c>
      <c r="M7" s="637">
        <f ca="1">F7</f>
        <v>29082.55</v>
      </c>
    </row>
    <row r="8" spans="1:33" ht="18" customHeight="1">
      <c r="A8" s="1905"/>
      <c r="B8" s="4283"/>
      <c r="C8" s="3628"/>
      <c r="D8" s="641"/>
      <c r="E8" s="636" t="s">
        <v>587</v>
      </c>
      <c r="F8" s="637">
        <f ca="1">INDIRECT("'数据-取费表'!ai"&amp;$G$1)</f>
        <v>365</v>
      </c>
      <c r="G8" s="1599"/>
      <c r="H8" s="1901"/>
      <c r="I8" s="4283"/>
      <c r="J8" s="640"/>
      <c r="K8" s="641"/>
      <c r="L8" s="636" t="s">
        <v>587</v>
      </c>
      <c r="M8" s="637">
        <f ca="1">INDIRECT("'数据-取费表'!ai"&amp;$G$1)</f>
        <v>365</v>
      </c>
    </row>
    <row r="9" spans="1:33" ht="18" customHeight="1">
      <c r="A9" s="638"/>
      <c r="B9" s="4284"/>
      <c r="C9" s="3628"/>
      <c r="D9" s="641"/>
      <c r="E9" s="636" t="s">
        <v>588</v>
      </c>
      <c r="F9" s="646">
        <f ca="1">INDIRECT("'数据-取费表'!w"&amp;$G$1)</f>
        <v>0.03</v>
      </c>
      <c r="G9" s="1599"/>
      <c r="H9" s="1917"/>
      <c r="I9" s="4283"/>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18256.468700000001</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18256.468700000001</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642.12940000000003</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14579.941499999999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291.59879999999998</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91.28</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526.71360000000004</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1487.154</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18256.468700000001</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545.54100000000005</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91.282300000000006</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18.256499999999999</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2031.8458999999998</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34402.235200000003</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0.53100000000000003</v>
      </c>
      <c r="K42" s="1618"/>
      <c r="L42" s="1564"/>
      <c r="M42" s="1564"/>
    </row>
    <row r="43" spans="1:18" ht="18" customHeight="1" thickBot="1">
      <c r="A43" s="671" t="s">
        <v>1261</v>
      </c>
      <c r="B43" s="672" t="s">
        <v>1264</v>
      </c>
      <c r="C43" s="3629">
        <f ca="1">ROUND(C40*10000/F43,0)</f>
        <v>11829</v>
      </c>
      <c r="D43" s="674" t="s">
        <v>1265</v>
      </c>
      <c r="E43" s="675" t="s">
        <v>1266</v>
      </c>
      <c r="F43" s="676">
        <f ca="1">INDIRECT("'数据-取费表'!k"&amp;$G$1)</f>
        <v>29082.55</v>
      </c>
      <c r="G43" s="1599"/>
      <c r="H43" s="1564"/>
      <c r="I43" s="693" t="s">
        <v>1276</v>
      </c>
      <c r="J43" s="694">
        <f ca="1">1-J42</f>
        <v>0.46899999999999997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-36281.235200000003</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34402.235200000003</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18256.468700000001</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121911</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85" t="s">
        <v>2133</v>
      </c>
      <c r="L53" s="4286"/>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34402.235200000003</v>
      </c>
      <c r="R54" s="1866" t="s">
        <v>1663</v>
      </c>
    </row>
    <row r="55" spans="1:18" s="1596" customFormat="1" ht="18" customHeight="1" thickTop="1" thickBot="1">
      <c r="A55" s="649">
        <v>2</v>
      </c>
      <c r="B55" s="650" t="s">
        <v>592</v>
      </c>
      <c r="C55" s="651">
        <f ca="1">C13</f>
        <v>18256.468700000001</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18256.468700000001</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34402.235200000003</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91.28</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34402.235200000003</v>
      </c>
      <c r="R63" s="1866" t="s">
        <v>1663</v>
      </c>
    </row>
    <row r="64" spans="1:18" s="1596" customFormat="1" ht="16.5" thickBot="1">
      <c r="A64" s="1293" t="s">
        <v>1337</v>
      </c>
      <c r="B64" s="636" t="s">
        <v>626</v>
      </c>
      <c r="C64" s="50">
        <f ca="1">ROUND(C55*F64,2)</f>
        <v>18.260000000000002</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34402.235200000003</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121911</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2031.8458999999998</v>
      </c>
      <c r="R70" s="1862" t="s">
        <v>1651</v>
      </c>
    </row>
    <row r="71" spans="1:18" ht="15.75" thickBot="1">
      <c r="O71" s="1864" t="s">
        <v>1672</v>
      </c>
      <c r="P71" s="1870" t="s">
        <v>1673</v>
      </c>
      <c r="Q71" s="1863">
        <f ca="1">C13</f>
        <v>18256.468700000001</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34402.235200000003</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估价范围判定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201" t="s">
        <v>471</v>
      </c>
      <c r="D4" s="4202"/>
      <c r="E4" s="4240" t="s">
        <v>472</v>
      </c>
      <c r="F4" s="4241"/>
      <c r="G4" s="4201" t="s">
        <v>473</v>
      </c>
      <c r="H4" s="4202"/>
      <c r="I4" s="4201" t="s">
        <v>474</v>
      </c>
      <c r="J4" s="4202"/>
      <c r="K4" s="372"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6" t="s">
        <v>473</v>
      </c>
      <c r="AC4" s="4198" t="s">
        <v>474</v>
      </c>
    </row>
    <row r="5" spans="1:29" ht="15">
      <c r="A5" s="373"/>
      <c r="B5" s="374"/>
      <c r="C5" s="4217" t="s">
        <v>2100</v>
      </c>
      <c r="D5" s="4218"/>
      <c r="E5" s="4291" t="s">
        <v>3300</v>
      </c>
      <c r="F5" s="4243"/>
      <c r="G5" s="4290" t="s">
        <v>3301</v>
      </c>
      <c r="H5" s="4218"/>
      <c r="I5" s="4290" t="s">
        <v>3302</v>
      </c>
      <c r="J5" s="4218"/>
      <c r="K5" s="372"/>
      <c r="L5" s="1653"/>
      <c r="M5" s="1654"/>
      <c r="N5" s="1654"/>
      <c r="O5" s="1654"/>
      <c r="P5" s="4205"/>
      <c r="Q5" s="4206"/>
      <c r="R5" s="4211"/>
      <c r="S5" s="4212"/>
      <c r="T5" s="4211"/>
      <c r="U5" s="4212"/>
      <c r="V5" s="4196"/>
      <c r="W5" s="4196"/>
      <c r="X5" s="1228"/>
      <c r="Y5" s="4211"/>
      <c r="Z5" s="4212"/>
      <c r="AA5" s="4199"/>
      <c r="AB5" s="4196"/>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196"/>
      <c r="AC6" s="4200"/>
    </row>
    <row r="7" spans="1:29" s="981" customFormat="1" ht="15.75" thickBot="1">
      <c r="A7" s="2103"/>
      <c r="B7" s="2110" t="s">
        <v>478</v>
      </c>
      <c r="C7" s="377">
        <f>'数据-取费表'!B2</f>
        <v>45076</v>
      </c>
      <c r="D7" s="378">
        <v>100</v>
      </c>
      <c r="E7" s="379">
        <f>C7</f>
        <v>45076</v>
      </c>
      <c r="F7" s="380">
        <f>SUMIF(58:58,YEAR(E7)&amp;"-"&amp;MONTH(E7),59:59)</f>
        <v>100</v>
      </c>
      <c r="G7" s="379">
        <f>C7</f>
        <v>45076</v>
      </c>
      <c r="H7" s="378">
        <f>SUMIF(58:58,YEAR(G7)&amp;"-"&amp;MONTH(G7),59:59)</f>
        <v>100</v>
      </c>
      <c r="I7" s="379">
        <f>C7</f>
        <v>45076</v>
      </c>
      <c r="J7" s="378">
        <f>SUMIF(58:58,YEAR(I7)&amp;"-"&amp;MONTH(I7),59:59)</f>
        <v>100</v>
      </c>
      <c r="K7" s="382"/>
      <c r="L7" s="1655"/>
      <c r="M7" s="1656"/>
      <c r="N7" s="1656"/>
      <c r="O7" s="1656"/>
      <c r="P7" s="4225" t="s">
        <v>479</v>
      </c>
      <c r="Q7" s="4227"/>
      <c r="R7" s="1229" t="s">
        <v>5</v>
      </c>
      <c r="S7" s="1230">
        <f t="shared" ref="S7:S15" si="0">F7</f>
        <v>100</v>
      </c>
      <c r="T7" s="1229" t="s">
        <v>5</v>
      </c>
      <c r="U7" s="1230">
        <f t="shared" ref="U7:U15" si="1">H7</f>
        <v>100</v>
      </c>
      <c r="V7" s="1229" t="s">
        <v>5</v>
      </c>
      <c r="W7" s="1230">
        <f t="shared" ref="W7:W15" si="2">J7</f>
        <v>100</v>
      </c>
      <c r="X7" s="1231"/>
      <c r="Y7" s="4225" t="s">
        <v>479</v>
      </c>
      <c r="Z7" s="4226"/>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225" t="s">
        <v>482</v>
      </c>
      <c r="Q8" s="4226"/>
      <c r="R8" s="1229" t="s">
        <v>5</v>
      </c>
      <c r="S8" s="1230">
        <f t="shared" si="0"/>
        <v>100</v>
      </c>
      <c r="T8" s="1229" t="s">
        <v>5</v>
      </c>
      <c r="U8" s="1230">
        <f t="shared" si="1"/>
        <v>100</v>
      </c>
      <c r="V8" s="1229" t="s">
        <v>5</v>
      </c>
      <c r="W8" s="1230">
        <f t="shared" si="2"/>
        <v>100</v>
      </c>
      <c r="X8" s="1231"/>
      <c r="Y8" s="4225" t="s">
        <v>482</v>
      </c>
      <c r="Z8" s="4226"/>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195"/>
      <c r="Q11" s="929" t="str">
        <f t="shared" si="6"/>
        <v>容积率</v>
      </c>
      <c r="R11" s="1229" t="s">
        <v>5</v>
      </c>
      <c r="S11" s="1230">
        <f t="shared" si="0"/>
        <v>100</v>
      </c>
      <c r="T11" s="1229" t="s">
        <v>5</v>
      </c>
      <c r="U11" s="1230">
        <f t="shared" si="1"/>
        <v>100</v>
      </c>
      <c r="V11" s="1229" t="s">
        <v>5</v>
      </c>
      <c r="W11" s="1230">
        <f t="shared" si="2"/>
        <v>100</v>
      </c>
      <c r="X11" s="1231"/>
      <c r="Y11" s="4076"/>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228" t="s">
        <v>489</v>
      </c>
      <c r="Q15" s="1233" t="str">
        <f t="shared" si="6"/>
        <v>商业繁华度</v>
      </c>
      <c r="R15" s="1234" t="s">
        <v>5</v>
      </c>
      <c r="S15" s="1235">
        <f t="shared" si="0"/>
        <v>100</v>
      </c>
      <c r="T15" s="1234" t="s">
        <v>5</v>
      </c>
      <c r="U15" s="1235">
        <f t="shared" si="1"/>
        <v>100</v>
      </c>
      <c r="V15" s="1234" t="s">
        <v>5</v>
      </c>
      <c r="W15" s="1235">
        <f t="shared" si="2"/>
        <v>100</v>
      </c>
      <c r="X15" s="1228"/>
      <c r="Y15" s="4228"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229"/>
      <c r="Q17" s="1233" t="str">
        <f>B17</f>
        <v>交通便捷度</v>
      </c>
      <c r="R17" s="1234" t="s">
        <v>5</v>
      </c>
      <c r="S17" s="1235">
        <f>F17</f>
        <v>100</v>
      </c>
      <c r="T17" s="1234" t="s">
        <v>5</v>
      </c>
      <c r="U17" s="1235">
        <f>H17</f>
        <v>100</v>
      </c>
      <c r="V17" s="1234" t="s">
        <v>5</v>
      </c>
      <c r="W17" s="1235">
        <f>J17</f>
        <v>100</v>
      </c>
      <c r="X17" s="1228"/>
      <c r="Y17" s="4229"/>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229"/>
      <c r="Q22" s="1958"/>
      <c r="R22" s="1234"/>
      <c r="S22" s="1235"/>
      <c r="T22" s="1234"/>
      <c r="U22" s="1235"/>
      <c r="V22" s="1234"/>
      <c r="W22" s="1235"/>
      <c r="X22" s="1960"/>
      <c r="Y22" s="4229"/>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229"/>
      <c r="Q23" s="1233" t="str">
        <f>B23</f>
        <v>自然及人文环境</v>
      </c>
      <c r="R23" s="1234" t="s">
        <v>5</v>
      </c>
      <c r="S23" s="1235">
        <f>F23</f>
        <v>100</v>
      </c>
      <c r="T23" s="1234" t="s">
        <v>5</v>
      </c>
      <c r="U23" s="1235">
        <f>H23</f>
        <v>100</v>
      </c>
      <c r="V23" s="1234" t="s">
        <v>5</v>
      </c>
      <c r="W23" s="1235">
        <f>J23</f>
        <v>100</v>
      </c>
      <c r="X23" s="1228"/>
      <c r="Y23" s="4229"/>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229"/>
      <c r="Q25" s="1233" t="str">
        <f t="shared" ref="Q25:Q46" si="8">B25</f>
        <v>临街状况</v>
      </c>
      <c r="R25" s="1234" t="s">
        <v>5</v>
      </c>
      <c r="S25" s="1235">
        <f>F25</f>
        <v>100</v>
      </c>
      <c r="T25" s="1234" t="s">
        <v>5</v>
      </c>
      <c r="U25" s="1235">
        <f>H25</f>
        <v>100</v>
      </c>
      <c r="V25" s="1234" t="s">
        <v>5</v>
      </c>
      <c r="W25" s="1235">
        <f>J25</f>
        <v>100</v>
      </c>
      <c r="X25" s="1228"/>
      <c r="Y25" s="4229"/>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229"/>
      <c r="Q26" s="1233" t="str">
        <f t="shared" si="8"/>
        <v>平面位置/可视性</v>
      </c>
      <c r="R26" s="1234" t="s">
        <v>5</v>
      </c>
      <c r="S26" s="1235">
        <f>F26</f>
        <v>100</v>
      </c>
      <c r="T26" s="1234" t="s">
        <v>5</v>
      </c>
      <c r="U26" s="1235">
        <f>H26</f>
        <v>100</v>
      </c>
      <c r="V26" s="1234" t="s">
        <v>5</v>
      </c>
      <c r="W26" s="1235">
        <f>J26</f>
        <v>100</v>
      </c>
      <c r="X26" s="1228"/>
      <c r="Y26" s="4229"/>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229"/>
      <c r="Q27" s="929" t="str">
        <f t="shared" si="8"/>
        <v>人流量</v>
      </c>
      <c r="R27" s="1229" t="s">
        <v>5</v>
      </c>
      <c r="S27" s="1230">
        <f>F27</f>
        <v>100</v>
      </c>
      <c r="T27" s="1229" t="s">
        <v>5</v>
      </c>
      <c r="U27" s="1230">
        <f>H27</f>
        <v>100</v>
      </c>
      <c r="V27" s="1229" t="s">
        <v>5</v>
      </c>
      <c r="W27" s="1230">
        <f>J27</f>
        <v>100</v>
      </c>
      <c r="X27" s="1231"/>
      <c r="Y27" s="4229"/>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229"/>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229"/>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229"/>
      <c r="Q29" s="1233">
        <f t="shared" si="8"/>
        <v>111</v>
      </c>
      <c r="R29" s="1234" t="s">
        <v>5</v>
      </c>
      <c r="S29" s="1235">
        <f t="shared" si="9"/>
        <v>100</v>
      </c>
      <c r="T29" s="1234" t="s">
        <v>5</v>
      </c>
      <c r="U29" s="1235">
        <f t="shared" si="10"/>
        <v>100</v>
      </c>
      <c r="V29" s="1234" t="s">
        <v>5</v>
      </c>
      <c r="W29" s="1235">
        <f t="shared" si="11"/>
        <v>100</v>
      </c>
      <c r="X29" s="1228"/>
      <c r="Y29" s="4229"/>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229"/>
      <c r="Q30" s="1233">
        <f t="shared" si="8"/>
        <v>111</v>
      </c>
      <c r="R30" s="1234" t="s">
        <v>5</v>
      </c>
      <c r="S30" s="1235">
        <f t="shared" si="9"/>
        <v>100</v>
      </c>
      <c r="T30" s="1234" t="s">
        <v>5</v>
      </c>
      <c r="U30" s="1235">
        <f t="shared" si="10"/>
        <v>100</v>
      </c>
      <c r="V30" s="1234" t="s">
        <v>5</v>
      </c>
      <c r="W30" s="1235">
        <f t="shared" si="11"/>
        <v>100</v>
      </c>
      <c r="X30" s="1228"/>
      <c r="Y30" s="4229"/>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229"/>
      <c r="Q31" s="1233">
        <f t="shared" si="8"/>
        <v>111</v>
      </c>
      <c r="R31" s="1234" t="s">
        <v>5</v>
      </c>
      <c r="S31" s="1235">
        <f t="shared" si="9"/>
        <v>100</v>
      </c>
      <c r="T31" s="1234" t="s">
        <v>5</v>
      </c>
      <c r="U31" s="1235">
        <f t="shared" si="10"/>
        <v>100</v>
      </c>
      <c r="V31" s="1234" t="s">
        <v>5</v>
      </c>
      <c r="W31" s="1235">
        <f t="shared" si="11"/>
        <v>100</v>
      </c>
      <c r="X31" s="1228"/>
      <c r="Y31" s="4229"/>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230" t="s">
        <v>499</v>
      </c>
      <c r="Q32" s="1233" t="str">
        <f t="shared" si="8"/>
        <v>商业类型</v>
      </c>
      <c r="R32" s="1234" t="s">
        <v>5</v>
      </c>
      <c r="S32" s="1235">
        <f t="shared" si="9"/>
        <v>100</v>
      </c>
      <c r="T32" s="1234" t="s">
        <v>5</v>
      </c>
      <c r="U32" s="1235">
        <f t="shared" si="10"/>
        <v>97</v>
      </c>
      <c r="V32" s="1234" t="s">
        <v>5</v>
      </c>
      <c r="W32" s="1235">
        <f t="shared" si="11"/>
        <v>97</v>
      </c>
      <c r="X32" s="1228"/>
      <c r="Y32" s="4231"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231"/>
      <c r="Q33" s="1260" t="str">
        <f t="shared" si="8"/>
        <v>项目建筑规模</v>
      </c>
      <c r="R33" s="1238" t="s">
        <v>5</v>
      </c>
      <c r="S33" s="1239">
        <f t="shared" si="9"/>
        <v>96</v>
      </c>
      <c r="T33" s="1238" t="s">
        <v>5</v>
      </c>
      <c r="U33" s="1239">
        <f t="shared" si="10"/>
        <v>96</v>
      </c>
      <c r="V33" s="1238" t="s">
        <v>5</v>
      </c>
      <c r="W33" s="1239">
        <f t="shared" si="11"/>
        <v>96</v>
      </c>
      <c r="X33" s="1240"/>
      <c r="Y33" s="4231"/>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231"/>
      <c r="Q34" s="1233" t="str">
        <f t="shared" si="8"/>
        <v>建筑结构</v>
      </c>
      <c r="R34" s="1234" t="s">
        <v>5</v>
      </c>
      <c r="S34" s="1235">
        <f t="shared" si="9"/>
        <v>100</v>
      </c>
      <c r="T34" s="1234" t="s">
        <v>5</v>
      </c>
      <c r="U34" s="1235">
        <f t="shared" si="10"/>
        <v>100</v>
      </c>
      <c r="V34" s="1234" t="s">
        <v>5</v>
      </c>
      <c r="W34" s="1235">
        <f t="shared" si="11"/>
        <v>100</v>
      </c>
      <c r="X34" s="1228"/>
      <c r="Y34" s="4231"/>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231"/>
      <c r="Q35" s="1233" t="str">
        <f t="shared" si="8"/>
        <v>公共部分装修</v>
      </c>
      <c r="R35" s="1234" t="s">
        <v>5</v>
      </c>
      <c r="S35" s="1235">
        <f t="shared" si="9"/>
        <v>100</v>
      </c>
      <c r="T35" s="1234" t="s">
        <v>5</v>
      </c>
      <c r="U35" s="1235">
        <f t="shared" si="10"/>
        <v>100</v>
      </c>
      <c r="V35" s="1234" t="s">
        <v>5</v>
      </c>
      <c r="W35" s="1235">
        <f t="shared" si="11"/>
        <v>100</v>
      </c>
      <c r="X35" s="1228"/>
      <c r="Y35" s="4231"/>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231"/>
      <c r="Q36" s="1233" t="str">
        <f t="shared" si="8"/>
        <v>成新度</v>
      </c>
      <c r="R36" s="1234" t="s">
        <v>5</v>
      </c>
      <c r="S36" s="1235">
        <f t="shared" si="9"/>
        <v>99</v>
      </c>
      <c r="T36" s="1234" t="s">
        <v>5</v>
      </c>
      <c r="U36" s="1235">
        <f t="shared" si="10"/>
        <v>99</v>
      </c>
      <c r="V36" s="1234" t="s">
        <v>5</v>
      </c>
      <c r="W36" s="1235">
        <f t="shared" si="11"/>
        <v>99</v>
      </c>
      <c r="X36" s="1228"/>
      <c r="Y36" s="4231"/>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231"/>
      <c r="Q37" s="929" t="str">
        <f t="shared" si="8"/>
        <v>市政基础设施</v>
      </c>
      <c r="R37" s="1229" t="s">
        <v>5</v>
      </c>
      <c r="S37" s="1230">
        <f t="shared" si="9"/>
        <v>100</v>
      </c>
      <c r="T37" s="1229" t="s">
        <v>5</v>
      </c>
      <c r="U37" s="1230">
        <f t="shared" si="10"/>
        <v>100</v>
      </c>
      <c r="V37" s="1229" t="s">
        <v>5</v>
      </c>
      <c r="W37" s="1230">
        <f t="shared" si="11"/>
        <v>100</v>
      </c>
      <c r="X37" s="1231"/>
      <c r="Y37" s="4231"/>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231" t="s">
        <v>706</v>
      </c>
      <c r="Q38" s="1233" t="str">
        <f t="shared" si="8"/>
        <v>业态</v>
      </c>
      <c r="R38" s="1234" t="s">
        <v>5</v>
      </c>
      <c r="S38" s="1235">
        <f t="shared" si="9"/>
        <v>100</v>
      </c>
      <c r="T38" s="1234" t="s">
        <v>5</v>
      </c>
      <c r="U38" s="1235">
        <f t="shared" si="10"/>
        <v>100</v>
      </c>
      <c r="V38" s="1234" t="s">
        <v>5</v>
      </c>
      <c r="W38" s="1235">
        <f t="shared" si="11"/>
        <v>100</v>
      </c>
      <c r="X38" s="1228"/>
      <c r="Y38" s="4231"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231"/>
      <c r="Q39" s="1233" t="str">
        <f t="shared" si="8"/>
        <v>层高</v>
      </c>
      <c r="R39" s="1234" t="s">
        <v>5</v>
      </c>
      <c r="S39" s="1235">
        <f t="shared" si="9"/>
        <v>100</v>
      </c>
      <c r="T39" s="1234" t="s">
        <v>5</v>
      </c>
      <c r="U39" s="1235">
        <f t="shared" si="10"/>
        <v>100</v>
      </c>
      <c r="V39" s="1234" t="s">
        <v>5</v>
      </c>
      <c r="W39" s="1235">
        <f t="shared" si="11"/>
        <v>100</v>
      </c>
      <c r="X39" s="1228"/>
      <c r="Y39" s="4231"/>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231"/>
      <c r="Q40" s="1233" t="str">
        <f t="shared" si="8"/>
        <v>单套建筑面积</v>
      </c>
      <c r="R40" s="1234" t="s">
        <v>5</v>
      </c>
      <c r="S40" s="1235">
        <f t="shared" si="9"/>
        <v>100</v>
      </c>
      <c r="T40" s="1234" t="s">
        <v>5</v>
      </c>
      <c r="U40" s="1235">
        <f t="shared" si="10"/>
        <v>100</v>
      </c>
      <c r="V40" s="1234" t="s">
        <v>5</v>
      </c>
      <c r="W40" s="1235">
        <f t="shared" si="11"/>
        <v>100</v>
      </c>
      <c r="X40" s="1228"/>
      <c r="Y40" s="4231"/>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231"/>
      <c r="Q41" s="1260" t="str">
        <f t="shared" si="8"/>
        <v>进深比</v>
      </c>
      <c r="R41" s="1238" t="s">
        <v>5</v>
      </c>
      <c r="S41" s="1239">
        <f t="shared" si="9"/>
        <v>100</v>
      </c>
      <c r="T41" s="1238" t="s">
        <v>5</v>
      </c>
      <c r="U41" s="1239">
        <f t="shared" si="10"/>
        <v>100</v>
      </c>
      <c r="V41" s="1238" t="s">
        <v>5</v>
      </c>
      <c r="W41" s="1239">
        <f t="shared" si="11"/>
        <v>100</v>
      </c>
      <c r="X41" s="1240"/>
      <c r="Y41" s="4231"/>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231"/>
      <c r="Q42" s="1233" t="str">
        <f t="shared" si="8"/>
        <v>内部装修</v>
      </c>
      <c r="R42" s="1234" t="s">
        <v>5</v>
      </c>
      <c r="S42" s="1235">
        <f t="shared" si="9"/>
        <v>100</v>
      </c>
      <c r="T42" s="1234" t="s">
        <v>5</v>
      </c>
      <c r="U42" s="1235">
        <f t="shared" si="10"/>
        <v>100</v>
      </c>
      <c r="V42" s="1234" t="s">
        <v>5</v>
      </c>
      <c r="W42" s="1235">
        <f t="shared" si="11"/>
        <v>100</v>
      </c>
      <c r="X42" s="1228"/>
      <c r="Y42" s="4231"/>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231"/>
      <c r="Q43" s="1233" t="str">
        <f t="shared" si="8"/>
        <v>内部装修维护情况</v>
      </c>
      <c r="R43" s="1234" t="s">
        <v>5</v>
      </c>
      <c r="S43" s="1235">
        <f t="shared" si="9"/>
        <v>100</v>
      </c>
      <c r="T43" s="1234" t="s">
        <v>5</v>
      </c>
      <c r="U43" s="1235">
        <f t="shared" si="10"/>
        <v>100</v>
      </c>
      <c r="V43" s="1234" t="s">
        <v>5</v>
      </c>
      <c r="W43" s="1235">
        <f t="shared" si="11"/>
        <v>100</v>
      </c>
      <c r="X43" s="1228"/>
      <c r="Y43" s="4231"/>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231"/>
      <c r="Q44" s="929">
        <f t="shared" si="8"/>
        <v>111</v>
      </c>
      <c r="R44" s="1229" t="s">
        <v>5</v>
      </c>
      <c r="S44" s="1230">
        <f t="shared" si="9"/>
        <v>100</v>
      </c>
      <c r="T44" s="1229" t="s">
        <v>5</v>
      </c>
      <c r="U44" s="1230">
        <f t="shared" si="10"/>
        <v>100</v>
      </c>
      <c r="V44" s="1229" t="s">
        <v>5</v>
      </c>
      <c r="W44" s="1230">
        <f t="shared" si="11"/>
        <v>100</v>
      </c>
      <c r="X44" s="1231"/>
      <c r="Y44" s="4231"/>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231"/>
      <c r="Q45" s="1233">
        <f t="shared" si="8"/>
        <v>111</v>
      </c>
      <c r="R45" s="1234" t="s">
        <v>5</v>
      </c>
      <c r="S45" s="1235">
        <f t="shared" si="9"/>
        <v>100</v>
      </c>
      <c r="T45" s="1234" t="s">
        <v>5</v>
      </c>
      <c r="U45" s="1235">
        <f t="shared" si="10"/>
        <v>100</v>
      </c>
      <c r="V45" s="1234" t="s">
        <v>5</v>
      </c>
      <c r="W45" s="1235">
        <f t="shared" si="11"/>
        <v>100</v>
      </c>
      <c r="X45" s="1228"/>
      <c r="Y45" s="4231"/>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89"/>
      <c r="Q46" s="1233">
        <f t="shared" si="8"/>
        <v>111</v>
      </c>
      <c r="R46" s="1234" t="s">
        <v>5</v>
      </c>
      <c r="S46" s="1235">
        <f t="shared" si="9"/>
        <v>100</v>
      </c>
      <c r="T46" s="1234" t="s">
        <v>5</v>
      </c>
      <c r="U46" s="1235">
        <f t="shared" si="10"/>
        <v>100</v>
      </c>
      <c r="V46" s="1234" t="s">
        <v>5</v>
      </c>
      <c r="W46" s="1235">
        <f t="shared" si="11"/>
        <v>100</v>
      </c>
      <c r="X46" s="1228"/>
      <c r="Y46" s="4289"/>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195" t="str">
        <f>A47</f>
        <v>成交单价（元/平方米）</v>
      </c>
      <c r="Q47" s="4195"/>
      <c r="R47" s="4287">
        <f>E47</f>
        <v>5</v>
      </c>
      <c r="S47" s="4287"/>
      <c r="T47" s="4287">
        <f>G47</f>
        <v>5.75</v>
      </c>
      <c r="U47" s="4287"/>
      <c r="V47" s="4287">
        <f>I47</f>
        <v>5</v>
      </c>
      <c r="W47" s="4287"/>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195" t="str">
        <f>A48</f>
        <v>比较价格（元/平方米）</v>
      </c>
      <c r="Q48" s="4195"/>
      <c r="R48" s="4287">
        <f>IF(F1="售价",ROUND(PRODUCT(R47,AA7:AA46),0),ROUND(PRODUCT(R47,AA7:AA46),1))</f>
        <v>5.3</v>
      </c>
      <c r="S48" s="4287"/>
      <c r="T48" s="4287">
        <f>IF(F1="售价",ROUND(PRODUCT(T47,AB7:AB46),0),ROUND(PRODUCT(T47,AB7:AB46),1))</f>
        <v>6.2</v>
      </c>
      <c r="U48" s="4287"/>
      <c r="V48" s="4287">
        <f>IF(F1="售价",ROUND(PRODUCT(V47,AC7:AC46),0),ROUND(PRODUCT(V47,AC7:AC46),1))</f>
        <v>5.4</v>
      </c>
      <c r="W48" s="4287"/>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232" t="str">
        <f>A49</f>
        <v>估价对象XX用房的比较价格（楼面单价，元/平方米）</v>
      </c>
      <c r="Q49" s="4233"/>
      <c r="R49" s="4288">
        <f>IF(F1="售价",ROUND(IF(D48="简单平均",AVERAGE(R48:V48),R48*F48+T48*H48+V48*J48),0),ROUND(IF(D48="简单平均",AVERAGE(R48:V48),R48*F48+T48*H48+V48*J48),1))</f>
        <v>5.6</v>
      </c>
      <c r="S49" s="4288"/>
      <c r="T49" s="4288"/>
      <c r="U49" s="4288"/>
      <c r="V49" s="4288"/>
      <c r="W49" s="4288"/>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E490"/>
  <sheetViews>
    <sheetView view="pageBreakPreview" topLeftCell="A7" zoomScale="80" zoomScaleNormal="80" zoomScaleSheetLayoutView="80" workbookViewId="0">
      <selection activeCell="F25" sqref="F25"/>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13067.5771</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4493</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10775</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718</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34189.794900000001</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34189.794900000001</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642.12940000000003</v>
      </c>
      <c r="D16" s="3378">
        <f ca="1">IF(B1="",'数据-汇总表'!E3,INDIRECT("'数据-取费表'!K"&amp;$K$1)+INDIRECT("'数据-取费表'!S"&amp;$K$1))</f>
        <v>32106.47</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14579.941499999999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32106.47</v>
      </c>
      <c r="E19" s="3946">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642.12940000000003</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642.12940000000003</v>
      </c>
      <c r="D22" s="3378">
        <f ca="1">IF(B1="",'数据-汇总表'!E6,IF(INDIRECT("'数据-取费表'!c"&amp;$K$1)="住宅",INDIRECT("'数据-取费表'!s"&amp;$K$1),INDIRECT("'数据-取费表'!k"&amp;$K$1)+INDIRECT("'数据-取费表'!s"&amp;$K$1)))</f>
        <v>32106.47</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304.44139999999999</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683.79589999999996</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3.0499999999999999E-2</v>
      </c>
      <c r="D25" s="3399" t="s">
        <v>455</v>
      </c>
      <c r="E25" s="3400"/>
      <c r="F25" s="3953">
        <v>3.0499999999999999E-2</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574.12950000000001</v>
      </c>
      <c r="D26" s="3332">
        <f ca="1">C27</f>
        <v>7.4300000000000005E-2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7.4300000000000005E-2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574.12950000000001</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16784.437699999999</v>
      </c>
      <c r="D30" s="3412">
        <f ca="1">C32</f>
        <v>0.1048</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16784.437699999999</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0.1048</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1621.0308</v>
      </c>
      <c r="D33" s="3332">
        <f ca="1">C34</f>
        <v>0.1031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0.1031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1621.0308</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13067.5771</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xr:uid="{00000000-0002-0000-2600-000000000000}">
      <formula1>"比较法,收益法"</formula1>
    </dataValidation>
    <dataValidation type="list" allowBlank="1" showInputMessage="1" showErrorMessage="1" sqref="G20" xr:uid="{00000000-0002-0000-2600-000001000000}">
      <formula1>"已全部缴纳,已部分缴纳"</formula1>
    </dataValidation>
    <dataValidation type="list" allowBlank="1" showInputMessage="1" showErrorMessage="1" sqref="C7:K7 B1" xr:uid="{00000000-0002-0000-2600-000002000000}">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32106.47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根据《国有土地使用证》[]，估价对象（分摊）出让国有建设用地使用权面积为12128平方米。根据《建设工程规划许可证》[]、《出让合同》[]，估价对象规划建筑面积为32106.47平方米。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zoomScale="89" zoomScaleNormal="60" zoomScaleSheetLayoutView="89" workbookViewId="0">
      <selection activeCell="G19" sqref="G19"/>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34189.794900000001</v>
      </c>
      <c r="C2" s="2675"/>
      <c r="D2" s="2676"/>
      <c r="E2" s="2677"/>
      <c r="F2" s="2677"/>
      <c r="G2" s="2671"/>
      <c r="H2" s="1594"/>
      <c r="I2" s="1594"/>
      <c r="J2" s="1594"/>
      <c r="K2" s="1595"/>
      <c r="L2" s="1594"/>
      <c r="M2" s="1594"/>
    </row>
    <row r="3" spans="1:33" ht="18" customHeight="1" thickBot="1">
      <c r="A3" s="679" t="s">
        <v>468</v>
      </c>
      <c r="B3" s="680">
        <f ca="1">IF(ISERROR(B2*10000/F43),0,ROUND(B2*10000/F43,0))</f>
        <v>11756</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1" t="s">
        <v>1723</v>
      </c>
      <c r="C6" s="3626">
        <f ca="1">ROUND(F6*F8*F7*(1-F9)/10000,4)</f>
        <v>2574.1691999999998</v>
      </c>
      <c r="D6" s="1909" t="s">
        <v>1722</v>
      </c>
      <c r="E6" s="636" t="s">
        <v>585</v>
      </c>
      <c r="F6" s="637">
        <f ca="1">INDIRECT("'数据-取费表'!u"&amp;$G$1)</f>
        <v>2.5</v>
      </c>
      <c r="G6" s="1599"/>
      <c r="H6" s="1916" t="s">
        <v>1278</v>
      </c>
      <c r="I6" s="4281" t="s">
        <v>1723</v>
      </c>
      <c r="J6" s="635">
        <f ca="1">ROUND(M6*M8*M7*(1-M9)/10000,0)</f>
        <v>0</v>
      </c>
      <c r="K6" s="231" t="s">
        <v>584</v>
      </c>
      <c r="L6" s="636" t="s">
        <v>585</v>
      </c>
      <c r="M6" s="637">
        <f ca="1">INDIRECT("'数据-取费表'!z"&amp;$G$1)</f>
        <v>0</v>
      </c>
    </row>
    <row r="7" spans="1:33" ht="18" customHeight="1">
      <c r="A7" s="1912"/>
      <c r="B7" s="4282"/>
      <c r="C7" s="3628"/>
      <c r="D7" s="641"/>
      <c r="E7" s="636" t="s">
        <v>586</v>
      </c>
      <c r="F7" s="637">
        <f ca="1">IF(INDIRECT("'数据-取费表'!ah"&amp;$G$1)="",INDIRECT("'数据-取费表'!k"&amp;$G$1),INDIRECT("'数据-取费表'!ah"&amp;$G$1))</f>
        <v>29082.55</v>
      </c>
      <c r="G7" s="1599"/>
      <c r="H7" s="1901"/>
      <c r="I7" s="4282"/>
      <c r="J7" s="640"/>
      <c r="K7" s="641"/>
      <c r="L7" s="636" t="s">
        <v>586</v>
      </c>
      <c r="M7" s="637">
        <f ca="1">F7</f>
        <v>29082.55</v>
      </c>
    </row>
    <row r="8" spans="1:33" ht="18" customHeight="1">
      <c r="A8" s="1905"/>
      <c r="B8" s="4283"/>
      <c r="C8" s="3628"/>
      <c r="D8" s="641"/>
      <c r="E8" s="636" t="s">
        <v>587</v>
      </c>
      <c r="F8" s="637">
        <f ca="1">INDIRECT("'数据-取费表'!ai"&amp;$G$1)</f>
        <v>365</v>
      </c>
      <c r="G8" s="1599"/>
      <c r="H8" s="1901"/>
      <c r="I8" s="4283"/>
      <c r="J8" s="640"/>
      <c r="K8" s="641"/>
      <c r="L8" s="636" t="s">
        <v>587</v>
      </c>
      <c r="M8" s="637">
        <f ca="1">INDIRECT("'数据-取费表'!ai"&amp;$G$1)</f>
        <v>365</v>
      </c>
    </row>
    <row r="9" spans="1:33" ht="18" customHeight="1">
      <c r="A9" s="638"/>
      <c r="B9" s="4284"/>
      <c r="C9" s="3628"/>
      <c r="D9" s="641"/>
      <c r="E9" s="636" t="s">
        <v>588</v>
      </c>
      <c r="F9" s="646">
        <f ca="1">INDIRECT("'数据-取费表'!w"&amp;$G$1)</f>
        <v>0.03</v>
      </c>
      <c r="G9" s="1599"/>
      <c r="H9" s="1917"/>
      <c r="I9" s="4283"/>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18256.468700000001</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18256.468700000001</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642.12940000000003</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14579.941499999999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291.59879999999998</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91.28</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526.71360000000004</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1487.154</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18256.468700000001</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545.54100000000005</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91.282300000000006</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18.256499999999999</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2031.8458999999998</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34189.794900000001</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3945">
        <f>'数据-取费表'!F6-'数据-取费表'!B20</f>
        <v>48.5</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0.53400000000000003</v>
      </c>
      <c r="K42" s="1618"/>
      <c r="L42" s="1564"/>
      <c r="M42" s="1564"/>
    </row>
    <row r="43" spans="1:18" ht="18" customHeight="1" thickBot="1">
      <c r="A43" s="671" t="s">
        <v>1261</v>
      </c>
      <c r="B43" s="672" t="s">
        <v>1264</v>
      </c>
      <c r="C43" s="3629">
        <f ca="1">ROUND(C40*10000/F43,0)</f>
        <v>11756</v>
      </c>
      <c r="D43" s="674" t="s">
        <v>1265</v>
      </c>
      <c r="E43" s="675" t="s">
        <v>1266</v>
      </c>
      <c r="F43" s="676">
        <f ca="1">INDIRECT("'数据-取费表'!k"&amp;$G$1)</f>
        <v>29082.55</v>
      </c>
      <c r="G43" s="1599"/>
      <c r="H43" s="1564"/>
      <c r="I43" s="693" t="s">
        <v>1276</v>
      </c>
      <c r="J43" s="694">
        <f ca="1">1-J42</f>
        <v>0.46599999999999997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-36057.794900000001</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34189.794900000001</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18256.468700000001</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121911</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85" t="s">
        <v>2133</v>
      </c>
      <c r="L53" s="4286"/>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34189.794900000001</v>
      </c>
      <c r="R54" s="1866" t="s">
        <v>1663</v>
      </c>
    </row>
    <row r="55" spans="1:18" s="1596" customFormat="1" ht="18" customHeight="1" thickTop="1" thickBot="1">
      <c r="A55" s="649">
        <v>2</v>
      </c>
      <c r="B55" s="650" t="s">
        <v>592</v>
      </c>
      <c r="C55" s="651">
        <f ca="1">C13</f>
        <v>18256.468700000001</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18256.468700000001</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34189.794900000001</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91.28</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34189.794900000001</v>
      </c>
      <c r="R63" s="1866" t="s">
        <v>1663</v>
      </c>
    </row>
    <row r="64" spans="1:18" s="1596" customFormat="1" ht="16.5" thickBot="1">
      <c r="A64" s="1293" t="s">
        <v>1337</v>
      </c>
      <c r="B64" s="636" t="s">
        <v>626</v>
      </c>
      <c r="C64" s="50">
        <f ca="1">ROUND(C55*F64,2)</f>
        <v>18.260000000000002</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34189.794900000001</v>
      </c>
      <c r="R66" s="1862" t="s">
        <v>1651</v>
      </c>
    </row>
    <row r="67" spans="1:18" s="1596" customFormat="1" ht="20.25" thickBot="1">
      <c r="A67" s="633" t="s">
        <v>1260</v>
      </c>
      <c r="B67" s="1748" t="s">
        <v>1576</v>
      </c>
      <c r="C67" s="635">
        <f ca="1">ROUND(C66*(1-((1+F69)/(1+F67))^F68)/(F67-F69),0)</f>
        <v>-1868</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48.5</v>
      </c>
      <c r="O68" s="1864" t="s">
        <v>1654</v>
      </c>
      <c r="P68" s="1862" t="s">
        <v>1683</v>
      </c>
      <c r="Q68" s="1868">
        <f ca="1">L51</f>
        <v>121911</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-642</v>
      </c>
      <c r="D70" s="674" t="s">
        <v>1265</v>
      </c>
      <c r="E70" s="675" t="s">
        <v>1266</v>
      </c>
      <c r="F70" s="676">
        <f ca="1">F43</f>
        <v>29082.55</v>
      </c>
      <c r="O70" s="1864" t="s">
        <v>1670</v>
      </c>
      <c r="P70" s="1870" t="s">
        <v>1671</v>
      </c>
      <c r="Q70" s="1863">
        <f ca="1">C39</f>
        <v>2031.8458999999998</v>
      </c>
      <c r="R70" s="1862" t="s">
        <v>1651</v>
      </c>
    </row>
    <row r="71" spans="1:18" ht="15.75" thickBot="1">
      <c r="O71" s="1864" t="s">
        <v>1672</v>
      </c>
      <c r="P71" s="1870" t="s">
        <v>1673</v>
      </c>
      <c r="Q71" s="1863">
        <f ca="1">C13</f>
        <v>18256.468700000001</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34189.794900000001</v>
      </c>
      <c r="R76" s="1866" t="s">
        <v>1663</v>
      </c>
    </row>
  </sheetData>
  <sheetProtection algorithmName="SHA-512" hashValue="6gE8jdBfEtjkYd5mOqtJpZjSM0Y9FsLuz1FGhOmCxPQcObUW/aNrU6KXrTS0beT4KuZwqPfrbb9P/3ZzeuaG4w==" saltValue="P+URQl4MWT2wfwR0KBHkQ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C18" zoomScale="90" zoomScaleNormal="60" zoomScaleSheetLayoutView="90" workbookViewId="0">
      <selection activeCell="G25" sqref="G25:I2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4328" t="s">
        <v>3408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201" t="s">
        <v>471</v>
      </c>
      <c r="D4" s="4202"/>
      <c r="E4" s="4240" t="s">
        <v>472</v>
      </c>
      <c r="F4" s="4241"/>
      <c r="G4" s="4201" t="s">
        <v>473</v>
      </c>
      <c r="H4" s="4202"/>
      <c r="I4" s="4201" t="s">
        <v>474</v>
      </c>
      <c r="J4" s="4202"/>
      <c r="K4" s="372" t="s">
        <v>475</v>
      </c>
      <c r="L4" s="1653"/>
      <c r="M4" s="1654"/>
      <c r="N4" s="1654"/>
      <c r="O4" s="1654"/>
      <c r="P4" s="4293" t="s">
        <v>476</v>
      </c>
      <c r="Q4" s="4204"/>
      <c r="R4" s="4209" t="s">
        <v>472</v>
      </c>
      <c r="S4" s="4210"/>
      <c r="T4" s="4209" t="s">
        <v>473</v>
      </c>
      <c r="U4" s="4210"/>
      <c r="V4" s="4196" t="s">
        <v>474</v>
      </c>
      <c r="W4" s="4196"/>
      <c r="X4" s="1228"/>
      <c r="Y4" s="4209" t="s">
        <v>476</v>
      </c>
      <c r="Z4" s="4210"/>
      <c r="AA4" s="4198" t="s">
        <v>472</v>
      </c>
      <c r="AB4" s="4198" t="s">
        <v>473</v>
      </c>
      <c r="AC4" s="4198" t="s">
        <v>474</v>
      </c>
    </row>
    <row r="5" spans="1:29" ht="15">
      <c r="A5" s="373"/>
      <c r="B5" s="374"/>
      <c r="C5" s="4290" t="s">
        <v>3395</v>
      </c>
      <c r="D5" s="4218"/>
      <c r="E5" s="4291" t="s">
        <v>3394</v>
      </c>
      <c r="F5" s="4243"/>
      <c r="G5" s="4290" t="s">
        <v>3396</v>
      </c>
      <c r="H5" s="4218"/>
      <c r="I5" s="4290" t="s">
        <v>3378</v>
      </c>
      <c r="J5" s="4218"/>
      <c r="K5" s="372"/>
      <c r="L5" s="1653"/>
      <c r="M5" s="1654"/>
      <c r="N5" s="1654"/>
      <c r="O5" s="1654"/>
      <c r="P5" s="4294"/>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95"/>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f>C7</f>
        <v>45076</v>
      </c>
      <c r="F7" s="380">
        <f>SUMIF(59:59,YEAR(E7)&amp;"-"&amp;MONTH(E7),60:60)</f>
        <v>100</v>
      </c>
      <c r="G7" s="379">
        <f>C7</f>
        <v>45076</v>
      </c>
      <c r="H7" s="378">
        <f>SUMIF(59:59,YEAR(G7)&amp;"-"&amp;MONTH(G7),60:60)</f>
        <v>100</v>
      </c>
      <c r="I7" s="379">
        <f>C7</f>
        <v>45076</v>
      </c>
      <c r="J7" s="378">
        <f>SUMIF(59:59,YEAR(I7)&amp;"-"&amp;MONTH(I7),60:60)</f>
        <v>100</v>
      </c>
      <c r="K7" s="382"/>
      <c r="L7" s="1655"/>
      <c r="M7" s="1656"/>
      <c r="N7" s="1656"/>
      <c r="O7" s="1656"/>
      <c r="P7" s="4227" t="s">
        <v>479</v>
      </c>
      <c r="Q7" s="4227"/>
      <c r="R7" s="1229" t="s">
        <v>5</v>
      </c>
      <c r="S7" s="1230">
        <f t="shared" ref="S7:S15" si="0">F7</f>
        <v>100</v>
      </c>
      <c r="T7" s="1229" t="s">
        <v>5</v>
      </c>
      <c r="U7" s="1230">
        <f t="shared" ref="U7:U15" si="1">H7</f>
        <v>100</v>
      </c>
      <c r="V7" s="1229" t="s">
        <v>5</v>
      </c>
      <c r="W7" s="1230">
        <f t="shared" ref="W7:W15" si="2">J7</f>
        <v>100</v>
      </c>
      <c r="X7" s="1231"/>
      <c r="Y7" s="4225" t="s">
        <v>479</v>
      </c>
      <c r="Z7" s="4226"/>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227" t="s">
        <v>482</v>
      </c>
      <c r="Q8" s="4226"/>
      <c r="R8" s="1229" t="s">
        <v>5</v>
      </c>
      <c r="S8" s="1230">
        <f t="shared" si="0"/>
        <v>100</v>
      </c>
      <c r="T8" s="1229" t="s">
        <v>5</v>
      </c>
      <c r="U8" s="1230">
        <f t="shared" si="1"/>
        <v>100</v>
      </c>
      <c r="V8" s="1229" t="s">
        <v>5</v>
      </c>
      <c r="W8" s="1230">
        <f t="shared" si="2"/>
        <v>100</v>
      </c>
      <c r="X8" s="1231"/>
      <c r="Y8" s="4225" t="s">
        <v>482</v>
      </c>
      <c r="Z8" s="4226"/>
      <c r="AA8" s="1232">
        <f t="shared" ref="AA8:AA47" si="3">D8/F8</f>
        <v>1</v>
      </c>
      <c r="AB8" s="1232">
        <f t="shared" ref="AB8:AB47" si="4">D8/H8</f>
        <v>1</v>
      </c>
      <c r="AC8" s="1232">
        <f t="shared" ref="AC8:AC47" si="5">D8/J8</f>
        <v>1</v>
      </c>
    </row>
    <row r="9" spans="1:29" s="981" customFormat="1" ht="15.75" thickBot="1">
      <c r="A9" s="2105"/>
      <c r="B9" s="2112" t="s">
        <v>1947</v>
      </c>
      <c r="C9" s="3887" t="s">
        <v>3398</v>
      </c>
      <c r="D9" s="144">
        <v>100</v>
      </c>
      <c r="E9" s="706" t="s">
        <v>3397</v>
      </c>
      <c r="F9" s="144">
        <f>SUMIF(64:64,E9,65:65)-SUMIF(64:64,C9,65:65)+100</f>
        <v>100</v>
      </c>
      <c r="G9" s="704" t="s">
        <v>3397</v>
      </c>
      <c r="H9" s="144">
        <f>SUMIF(64:64,G9,65:65)-SUMIF(64:64,C9,65:65)+100</f>
        <v>100</v>
      </c>
      <c r="I9" s="704" t="s">
        <v>3397</v>
      </c>
      <c r="J9" s="144">
        <f>SUMIF(64:64,I9,65:65)-SUMIF(64:64,C9,65:65)+100</f>
        <v>100</v>
      </c>
      <c r="K9" s="382"/>
      <c r="L9" s="1655"/>
      <c r="M9" s="1656"/>
      <c r="N9" s="1656"/>
      <c r="O9" s="1656"/>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hidden="1">
      <c r="A10" s="2106"/>
      <c r="B10" s="2111" t="s">
        <v>1948</v>
      </c>
      <c r="C10" s="3311" t="s">
        <v>3376</v>
      </c>
      <c r="D10" s="145">
        <v>100</v>
      </c>
      <c r="E10" s="3311" t="s">
        <v>3376</v>
      </c>
      <c r="F10" s="145">
        <f>SUMIF(66:66,E10,67:67)-SUMIF(66:66,C10,67:67)+100</f>
        <v>100</v>
      </c>
      <c r="G10" s="3312" t="s">
        <v>3377</v>
      </c>
      <c r="H10" s="145">
        <f>SUMIF(66:66,G10,67:67)-SUMIF(66:66,C10,67:67)+100</f>
        <v>100</v>
      </c>
      <c r="I10" s="3311"/>
      <c r="J10" s="145">
        <f>SUMIF(66:66,I10,67:67)-SUMIF(66:66,C10,67:67)+100</f>
        <v>100</v>
      </c>
      <c r="K10" s="382"/>
      <c r="L10" s="1658"/>
      <c r="M10" s="1697"/>
      <c r="N10" s="1697"/>
      <c r="O10" s="1697"/>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195"/>
      <c r="Q11" s="929" t="str">
        <f t="shared" si="6"/>
        <v>容积率</v>
      </c>
      <c r="R11" s="1229" t="s">
        <v>5</v>
      </c>
      <c r="S11" s="1230">
        <f t="shared" si="0"/>
        <v>100</v>
      </c>
      <c r="T11" s="1229" t="s">
        <v>5</v>
      </c>
      <c r="U11" s="1230">
        <f t="shared" si="1"/>
        <v>100</v>
      </c>
      <c r="V11" s="1229" t="s">
        <v>5</v>
      </c>
      <c r="W11" s="1230">
        <f t="shared" si="2"/>
        <v>100</v>
      </c>
      <c r="X11" s="1231"/>
      <c r="Y11" s="4076"/>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228" t="s">
        <v>489</v>
      </c>
      <c r="Q15" s="1233" t="str">
        <f t="shared" si="6"/>
        <v>办公集聚程度</v>
      </c>
      <c r="R15" s="1234" t="s">
        <v>5</v>
      </c>
      <c r="S15" s="1235">
        <f t="shared" si="0"/>
        <v>100</v>
      </c>
      <c r="T15" s="1234" t="s">
        <v>5</v>
      </c>
      <c r="U15" s="1235">
        <f t="shared" si="1"/>
        <v>100</v>
      </c>
      <c r="V15" s="1234" t="s">
        <v>5</v>
      </c>
      <c r="W15" s="1235">
        <f t="shared" si="2"/>
        <v>100</v>
      </c>
      <c r="X15" s="1228"/>
      <c r="Y15" s="4228"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229"/>
      <c r="Q16" s="1233"/>
      <c r="R16" s="1234"/>
      <c r="S16" s="1235"/>
      <c r="T16" s="1234"/>
      <c r="U16" s="1235"/>
      <c r="V16" s="1234"/>
      <c r="W16" s="1235"/>
      <c r="X16" s="1228"/>
      <c r="Y16" s="4229"/>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229"/>
      <c r="Q17" s="1233" t="str">
        <f>B17</f>
        <v>交通便捷度</v>
      </c>
      <c r="R17" s="1234" t="s">
        <v>5</v>
      </c>
      <c r="S17" s="1235">
        <f>F17</f>
        <v>97</v>
      </c>
      <c r="T17" s="1234" t="s">
        <v>5</v>
      </c>
      <c r="U17" s="1235">
        <f>H17</f>
        <v>100</v>
      </c>
      <c r="V17" s="1234" t="s">
        <v>5</v>
      </c>
      <c r="W17" s="1235">
        <f>J17</f>
        <v>100</v>
      </c>
      <c r="X17" s="1228"/>
      <c r="Y17" s="4229"/>
      <c r="Z17" s="1236" t="str">
        <f>Q17</f>
        <v>交通便捷度</v>
      </c>
      <c r="AA17" s="1237">
        <f t="shared" si="3"/>
        <v>1.0309278350515463</v>
      </c>
      <c r="AB17" s="1237">
        <f t="shared" si="4"/>
        <v>1</v>
      </c>
      <c r="AC17" s="1237">
        <f t="shared" si="5"/>
        <v>1</v>
      </c>
    </row>
    <row r="18" spans="1:29" ht="15">
      <c r="A18" s="390"/>
      <c r="B18" s="424"/>
      <c r="C18" s="3943" t="s">
        <v>3179</v>
      </c>
      <c r="D18" s="417"/>
      <c r="E18" s="427" t="s">
        <v>3180</v>
      </c>
      <c r="F18" s="417"/>
      <c r="G18" s="426" t="s">
        <v>3179</v>
      </c>
      <c r="H18" s="413"/>
      <c r="I18" s="426" t="s">
        <v>3179</v>
      </c>
      <c r="J18" s="413"/>
      <c r="K18" s="743"/>
      <c r="L18" s="1662"/>
      <c r="M18" s="1654"/>
      <c r="N18" s="1654"/>
      <c r="O18" s="1654"/>
      <c r="P18" s="4229"/>
      <c r="Q18" s="1233"/>
      <c r="R18" s="1234"/>
      <c r="S18" s="1235"/>
      <c r="T18" s="1234"/>
      <c r="U18" s="1235"/>
      <c r="V18" s="1234"/>
      <c r="W18" s="1235"/>
      <c r="X18" s="1228"/>
      <c r="Y18" s="4229"/>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229"/>
      <c r="Q20" s="1233"/>
      <c r="R20" s="1234"/>
      <c r="S20" s="1235"/>
      <c r="T20" s="1234"/>
      <c r="U20" s="1235"/>
      <c r="V20" s="1234"/>
      <c r="W20" s="1235"/>
      <c r="X20" s="1228"/>
      <c r="Y20" s="4229"/>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436"/>
      <c r="C22" s="3943" t="s">
        <v>3266</v>
      </c>
      <c r="D22" s="413"/>
      <c r="E22" s="434" t="s">
        <v>3266</v>
      </c>
      <c r="F22" s="413"/>
      <c r="G22" s="412" t="s">
        <v>3266</v>
      </c>
      <c r="H22" s="413"/>
      <c r="I22" s="412" t="s">
        <v>3266</v>
      </c>
      <c r="J22" s="413"/>
      <c r="K22" s="1975"/>
      <c r="L22" s="1662"/>
      <c r="M22" s="1654"/>
      <c r="N22" s="1654"/>
      <c r="O22" s="1654"/>
      <c r="P22" s="4229"/>
      <c r="Q22" s="1958"/>
      <c r="R22" s="1234"/>
      <c r="S22" s="1235"/>
      <c r="T22" s="1234"/>
      <c r="U22" s="1235"/>
      <c r="V22" s="1234"/>
      <c r="W22" s="1235"/>
      <c r="X22" s="1960"/>
      <c r="Y22" s="4229"/>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229"/>
      <c r="Q23" s="1233" t="str">
        <f>B23</f>
        <v>环境质量</v>
      </c>
      <c r="R23" s="1234" t="s">
        <v>5</v>
      </c>
      <c r="S23" s="1235">
        <f>F23</f>
        <v>100</v>
      </c>
      <c r="T23" s="1234" t="s">
        <v>5</v>
      </c>
      <c r="U23" s="1235">
        <f>H23</f>
        <v>97</v>
      </c>
      <c r="V23" s="1234" t="s">
        <v>5</v>
      </c>
      <c r="W23" s="1235">
        <f>J23</f>
        <v>97</v>
      </c>
      <c r="X23" s="1228"/>
      <c r="Y23" s="4229"/>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229"/>
      <c r="Q24" s="1233"/>
      <c r="R24" s="1234"/>
      <c r="S24" s="1235"/>
      <c r="T24" s="1234"/>
      <c r="U24" s="1235"/>
      <c r="V24" s="1234"/>
      <c r="W24" s="1235"/>
      <c r="X24" s="1228"/>
      <c r="Y24" s="4229"/>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229"/>
      <c r="Q25" s="1233" t="str">
        <f>B25</f>
        <v>毗邻道路的类型与等级</v>
      </c>
      <c r="R25" s="1234" t="s">
        <v>5</v>
      </c>
      <c r="S25" s="1235">
        <f>F25</f>
        <v>100</v>
      </c>
      <c r="T25" s="1234" t="s">
        <v>5</v>
      </c>
      <c r="U25" s="1235">
        <f>H25</f>
        <v>100</v>
      </c>
      <c r="V25" s="1234" t="s">
        <v>5</v>
      </c>
      <c r="W25" s="1235">
        <f>J25</f>
        <v>100</v>
      </c>
      <c r="X25" s="1228"/>
      <c r="Y25" s="4229"/>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229"/>
      <c r="Q26" s="1233"/>
      <c r="R26" s="1234"/>
      <c r="S26" s="1235"/>
      <c r="T26" s="1234"/>
      <c r="U26" s="1235"/>
      <c r="V26" s="1234"/>
      <c r="W26" s="1235"/>
      <c r="X26" s="1228"/>
      <c r="Y26" s="4229"/>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229"/>
      <c r="Q27" s="1233" t="str">
        <f t="shared" ref="Q27:Q47" si="8">B27</f>
        <v>楼层</v>
      </c>
      <c r="R27" s="1234" t="s">
        <v>5</v>
      </c>
      <c r="S27" s="1235">
        <f>F27</f>
        <v>100</v>
      </c>
      <c r="T27" s="1234" t="s">
        <v>5</v>
      </c>
      <c r="U27" s="1235">
        <f>H27</f>
        <v>100</v>
      </c>
      <c r="V27" s="1234" t="s">
        <v>5</v>
      </c>
      <c r="W27" s="1235">
        <f>J27</f>
        <v>100</v>
      </c>
      <c r="X27" s="1228"/>
      <c r="Y27" s="4229"/>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229"/>
      <c r="Q28" s="929" t="str">
        <f t="shared" si="8"/>
        <v>朝向</v>
      </c>
      <c r="R28" s="1229" t="s">
        <v>5</v>
      </c>
      <c r="S28" s="1230">
        <f>F28</f>
        <v>100</v>
      </c>
      <c r="T28" s="1229" t="s">
        <v>5</v>
      </c>
      <c r="U28" s="1230">
        <f>H28</f>
        <v>100</v>
      </c>
      <c r="V28" s="1229" t="s">
        <v>5</v>
      </c>
      <c r="W28" s="1230">
        <f>J28</f>
        <v>100</v>
      </c>
      <c r="X28" s="1231"/>
      <c r="Y28" s="4229"/>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229"/>
      <c r="Q29" s="1233">
        <f t="shared" si="8"/>
        <v>111</v>
      </c>
      <c r="R29" s="1234" t="s">
        <v>5</v>
      </c>
      <c r="S29" s="1235">
        <f t="shared" ref="S29:S47" si="9">F29</f>
        <v>100</v>
      </c>
      <c r="T29" s="1234" t="s">
        <v>5</v>
      </c>
      <c r="U29" s="1235">
        <f t="shared" ref="U29:U47" si="10">H29</f>
        <v>100</v>
      </c>
      <c r="V29" s="1234" t="s">
        <v>5</v>
      </c>
      <c r="W29" s="1235">
        <f t="shared" ref="W29:W47" si="11">J29</f>
        <v>100</v>
      </c>
      <c r="X29" s="1228"/>
      <c r="Y29" s="4229"/>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229"/>
      <c r="Q30" s="1233">
        <f t="shared" si="8"/>
        <v>111</v>
      </c>
      <c r="R30" s="1234" t="s">
        <v>5</v>
      </c>
      <c r="S30" s="1235">
        <f t="shared" si="9"/>
        <v>100</v>
      </c>
      <c r="T30" s="1234" t="s">
        <v>5</v>
      </c>
      <c r="U30" s="1235">
        <f t="shared" si="10"/>
        <v>100</v>
      </c>
      <c r="V30" s="1234" t="s">
        <v>5</v>
      </c>
      <c r="W30" s="1235">
        <f t="shared" si="11"/>
        <v>100</v>
      </c>
      <c r="X30" s="1228"/>
      <c r="Y30" s="4229"/>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229"/>
      <c r="Q31" s="1233">
        <f t="shared" si="8"/>
        <v>111</v>
      </c>
      <c r="R31" s="1234" t="s">
        <v>5</v>
      </c>
      <c r="S31" s="1235">
        <f t="shared" si="9"/>
        <v>100</v>
      </c>
      <c r="T31" s="1234" t="s">
        <v>5</v>
      </c>
      <c r="U31" s="1235">
        <f t="shared" si="10"/>
        <v>100</v>
      </c>
      <c r="V31" s="1234" t="s">
        <v>5</v>
      </c>
      <c r="W31" s="1235">
        <f t="shared" si="11"/>
        <v>100</v>
      </c>
      <c r="X31" s="1228"/>
      <c r="Y31" s="4229"/>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229"/>
      <c r="Q32" s="1233">
        <f t="shared" si="8"/>
        <v>111</v>
      </c>
      <c r="R32" s="1234" t="s">
        <v>5</v>
      </c>
      <c r="S32" s="1235">
        <f t="shared" si="9"/>
        <v>100</v>
      </c>
      <c r="T32" s="1234" t="s">
        <v>5</v>
      </c>
      <c r="U32" s="1235">
        <f t="shared" si="10"/>
        <v>100</v>
      </c>
      <c r="V32" s="1234" t="s">
        <v>5</v>
      </c>
      <c r="W32" s="1235">
        <f t="shared" si="11"/>
        <v>100</v>
      </c>
      <c r="X32" s="1228"/>
      <c r="Y32" s="4229"/>
      <c r="Z32" s="1236">
        <f t="shared" si="12"/>
        <v>111</v>
      </c>
      <c r="AA32" s="1237">
        <f t="shared" si="3"/>
        <v>1</v>
      </c>
      <c r="AB32" s="1237">
        <f t="shared" si="4"/>
        <v>1</v>
      </c>
      <c r="AC32" s="1237">
        <f t="shared" si="5"/>
        <v>1</v>
      </c>
    </row>
    <row r="33" spans="1:29" ht="15">
      <c r="A33" s="2098" t="s">
        <v>1946</v>
      </c>
      <c r="B33" s="140" t="s">
        <v>720</v>
      </c>
      <c r="C33" s="760" t="s">
        <v>3384</v>
      </c>
      <c r="D33" s="455">
        <v>100</v>
      </c>
      <c r="E33" s="760" t="s">
        <v>3384</v>
      </c>
      <c r="F33" s="433">
        <f>SUMIF(101:101,E33,102:102)-SUMIF(101:101,C33,102:102)+100</f>
        <v>100</v>
      </c>
      <c r="G33" s="760" t="s">
        <v>3384</v>
      </c>
      <c r="H33" s="398">
        <f>SUMIF(101:101,G33,102:102)-SUMIF(101:101,C33,102:102)+100</f>
        <v>100</v>
      </c>
      <c r="I33" s="760" t="s">
        <v>3384</v>
      </c>
      <c r="J33" s="455">
        <f>SUMIF(101:101,I33,102:102)-SUMIF(101:101,C33,102:102)+100</f>
        <v>100</v>
      </c>
      <c r="K33" s="442">
        <v>2</v>
      </c>
      <c r="L33" s="1662"/>
      <c r="M33" s="1654"/>
      <c r="N33" s="1654"/>
      <c r="O33" s="1654"/>
      <c r="P33" s="4230" t="s">
        <v>499</v>
      </c>
      <c r="Q33" s="1233" t="str">
        <f t="shared" si="8"/>
        <v>建筑类型</v>
      </c>
      <c r="R33" s="1234" t="s">
        <v>5</v>
      </c>
      <c r="S33" s="1235">
        <f t="shared" si="9"/>
        <v>100</v>
      </c>
      <c r="T33" s="1234" t="s">
        <v>5</v>
      </c>
      <c r="U33" s="1235">
        <f t="shared" si="10"/>
        <v>100</v>
      </c>
      <c r="V33" s="1234" t="s">
        <v>5</v>
      </c>
      <c r="W33" s="1235">
        <f t="shared" si="11"/>
        <v>100</v>
      </c>
      <c r="X33" s="1228"/>
      <c r="Y33" s="4231"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103</v>
      </c>
      <c r="G34" s="391">
        <v>339</v>
      </c>
      <c r="H34" s="145">
        <f>LOOKUP(G34,104:104,105:105)-LOOKUP(C34,104:104,105:105)+100</f>
        <v>103</v>
      </c>
      <c r="I34" s="391">
        <v>500</v>
      </c>
      <c r="J34" s="145">
        <f>LOOKUP(I34,104:104,105:105)-LOOKUP(C34,104:104,105:105)+100</f>
        <v>103</v>
      </c>
      <c r="K34" s="439"/>
      <c r="L34" s="1660"/>
      <c r="M34" s="1690"/>
      <c r="N34" s="1690"/>
      <c r="O34" s="1690"/>
      <c r="P34" s="4231"/>
      <c r="Q34" s="1260" t="str">
        <f t="shared" si="8"/>
        <v>项目建筑规模</v>
      </c>
      <c r="R34" s="1238" t="s">
        <v>5</v>
      </c>
      <c r="S34" s="1239">
        <f t="shared" si="9"/>
        <v>103</v>
      </c>
      <c r="T34" s="1238" t="s">
        <v>5</v>
      </c>
      <c r="U34" s="1239">
        <f t="shared" si="10"/>
        <v>103</v>
      </c>
      <c r="V34" s="1238" t="s">
        <v>5</v>
      </c>
      <c r="W34" s="1239">
        <f t="shared" si="11"/>
        <v>103</v>
      </c>
      <c r="X34" s="1240"/>
      <c r="Y34" s="4231"/>
      <c r="Z34" s="1241" t="str">
        <f t="shared" si="12"/>
        <v>项目建筑规模</v>
      </c>
      <c r="AA34" s="1237">
        <f t="shared" si="3"/>
        <v>0.970873786407767</v>
      </c>
      <c r="AB34" s="1237">
        <f t="shared" si="4"/>
        <v>0.970873786407767</v>
      </c>
      <c r="AC34" s="1237">
        <f t="shared" si="5"/>
        <v>0.970873786407767</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231"/>
      <c r="Q35" s="1233" t="str">
        <f t="shared" si="8"/>
        <v>建筑结构</v>
      </c>
      <c r="R35" s="1234" t="s">
        <v>5</v>
      </c>
      <c r="S35" s="1235">
        <f t="shared" si="9"/>
        <v>100</v>
      </c>
      <c r="T35" s="1234" t="s">
        <v>5</v>
      </c>
      <c r="U35" s="1235">
        <f t="shared" si="10"/>
        <v>100</v>
      </c>
      <c r="V35" s="1234" t="s">
        <v>5</v>
      </c>
      <c r="W35" s="1235">
        <f t="shared" si="11"/>
        <v>100</v>
      </c>
      <c r="X35" s="1228"/>
      <c r="Y35" s="4231"/>
      <c r="Z35" s="1236" t="str">
        <f t="shared" si="12"/>
        <v>建筑结构</v>
      </c>
      <c r="AA35" s="1237">
        <f t="shared" si="3"/>
        <v>1</v>
      </c>
      <c r="AB35" s="1237">
        <f t="shared" si="4"/>
        <v>1</v>
      </c>
      <c r="AC35" s="1237">
        <f t="shared" si="5"/>
        <v>1</v>
      </c>
    </row>
    <row r="36" spans="1:29" ht="15">
      <c r="A36" s="452"/>
      <c r="B36" s="385" t="s">
        <v>703</v>
      </c>
      <c r="C36" s="432" t="s">
        <v>3379</v>
      </c>
      <c r="D36" s="398">
        <v>100</v>
      </c>
      <c r="E36" s="432" t="s">
        <v>3379</v>
      </c>
      <c r="F36" s="433">
        <f>SUMIF(108:108,E36,109:109)-SUMIF(108:108,C36,109:109)+100</f>
        <v>100</v>
      </c>
      <c r="G36" s="432" t="s">
        <v>3379</v>
      </c>
      <c r="H36" s="398">
        <f>SUMIF(108:108,G36,109:109)-SUMIF(108:108,C36,109:109)+100</f>
        <v>100</v>
      </c>
      <c r="I36" s="432" t="s">
        <v>3379</v>
      </c>
      <c r="J36" s="398">
        <f>SUMIF(108:108,I36,109:109)-SUMIF(108:108,C36,109:109)+100</f>
        <v>100</v>
      </c>
      <c r="K36" s="442">
        <v>2</v>
      </c>
      <c r="L36" s="1662"/>
      <c r="M36" s="1654"/>
      <c r="N36" s="1654"/>
      <c r="O36" s="1654"/>
      <c r="P36" s="4231"/>
      <c r="Q36" s="1233" t="str">
        <f t="shared" si="8"/>
        <v>公共部分装修</v>
      </c>
      <c r="R36" s="1234" t="s">
        <v>5</v>
      </c>
      <c r="S36" s="1235">
        <f t="shared" si="9"/>
        <v>100</v>
      </c>
      <c r="T36" s="1234" t="s">
        <v>5</v>
      </c>
      <c r="U36" s="1235">
        <f t="shared" si="10"/>
        <v>100</v>
      </c>
      <c r="V36" s="1234" t="s">
        <v>5</v>
      </c>
      <c r="W36" s="1235">
        <f t="shared" si="11"/>
        <v>100</v>
      </c>
      <c r="X36" s="1228"/>
      <c r="Y36" s="4231"/>
      <c r="Z36" s="1236" t="str">
        <f t="shared" si="12"/>
        <v>公共部分装修</v>
      </c>
      <c r="AA36" s="1237">
        <f t="shared" si="3"/>
        <v>1</v>
      </c>
      <c r="AB36" s="1237">
        <f t="shared" si="4"/>
        <v>1</v>
      </c>
      <c r="AC36" s="1237">
        <f t="shared" si="5"/>
        <v>1</v>
      </c>
    </row>
    <row r="37" spans="1:29" ht="15">
      <c r="A37" s="452"/>
      <c r="B37" s="385" t="s">
        <v>704</v>
      </c>
      <c r="C37" s="727">
        <v>1</v>
      </c>
      <c r="D37" s="398">
        <v>100</v>
      </c>
      <c r="E37" s="727">
        <v>0.95</v>
      </c>
      <c r="F37" s="433">
        <f>LOOKUP(E37,111:111,112:112)-LOOKUP(C37,111:111,112:112)+100</f>
        <v>100</v>
      </c>
      <c r="G37" s="727">
        <v>0.95</v>
      </c>
      <c r="H37" s="433">
        <f>LOOKUP(G37,111:111,112:112)-LOOKUP(C37,111:111,112:112)+100</f>
        <v>100</v>
      </c>
      <c r="I37" s="727">
        <v>0.95</v>
      </c>
      <c r="J37" s="398">
        <f>LOOKUP(I37,111:111,112:112)-LOOKUP(C37,111:111,112:112)+100</f>
        <v>100</v>
      </c>
      <c r="K37" s="442">
        <v>1</v>
      </c>
      <c r="L37" s="1662"/>
      <c r="M37" s="1654"/>
      <c r="N37" s="1654"/>
      <c r="O37" s="1654"/>
      <c r="P37" s="4231"/>
      <c r="Q37" s="1233" t="str">
        <f t="shared" si="8"/>
        <v>成新度</v>
      </c>
      <c r="R37" s="1234" t="s">
        <v>5</v>
      </c>
      <c r="S37" s="1235">
        <f t="shared" si="9"/>
        <v>100</v>
      </c>
      <c r="T37" s="1234" t="s">
        <v>5</v>
      </c>
      <c r="U37" s="1235">
        <f t="shared" si="10"/>
        <v>100</v>
      </c>
      <c r="V37" s="1234" t="s">
        <v>5</v>
      </c>
      <c r="W37" s="1235">
        <f t="shared" si="11"/>
        <v>100</v>
      </c>
      <c r="X37" s="1228"/>
      <c r="Y37" s="4231"/>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231"/>
      <c r="Q38" s="929" t="str">
        <f t="shared" si="8"/>
        <v>写字楼等级</v>
      </c>
      <c r="R38" s="1229" t="s">
        <v>5</v>
      </c>
      <c r="S38" s="1230">
        <f t="shared" si="9"/>
        <v>100</v>
      </c>
      <c r="T38" s="1229" t="s">
        <v>5</v>
      </c>
      <c r="U38" s="1230">
        <f t="shared" si="10"/>
        <v>100</v>
      </c>
      <c r="V38" s="1229" t="s">
        <v>5</v>
      </c>
      <c r="W38" s="1230">
        <f t="shared" si="11"/>
        <v>100</v>
      </c>
      <c r="X38" s="1231"/>
      <c r="Y38" s="4231"/>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231" t="s">
        <v>499</v>
      </c>
      <c r="Q39" s="1233" t="str">
        <f t="shared" si="8"/>
        <v>物业管理</v>
      </c>
      <c r="R39" s="1234" t="s">
        <v>5</v>
      </c>
      <c r="S39" s="1235">
        <f t="shared" si="9"/>
        <v>100</v>
      </c>
      <c r="T39" s="1234" t="s">
        <v>5</v>
      </c>
      <c r="U39" s="1235">
        <f t="shared" si="10"/>
        <v>100</v>
      </c>
      <c r="V39" s="1234" t="s">
        <v>5</v>
      </c>
      <c r="W39" s="1235">
        <f t="shared" si="11"/>
        <v>100</v>
      </c>
      <c r="X39" s="1228"/>
      <c r="Y39" s="4231" t="s">
        <v>499</v>
      </c>
      <c r="Z39" s="1236" t="str">
        <f t="shared" si="12"/>
        <v>物业管理</v>
      </c>
      <c r="AA39" s="1237">
        <f t="shared" si="3"/>
        <v>1</v>
      </c>
      <c r="AB39" s="1237">
        <f t="shared" si="4"/>
        <v>1</v>
      </c>
      <c r="AC39" s="1237">
        <f t="shared" si="5"/>
        <v>1</v>
      </c>
    </row>
    <row r="40" spans="1:29" ht="15">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231"/>
      <c r="Q40" s="1233" t="str">
        <f t="shared" si="8"/>
        <v>市政基础设施</v>
      </c>
      <c r="R40" s="1234" t="s">
        <v>5</v>
      </c>
      <c r="S40" s="1235">
        <f t="shared" si="9"/>
        <v>100</v>
      </c>
      <c r="T40" s="1234" t="s">
        <v>5</v>
      </c>
      <c r="U40" s="1235">
        <f t="shared" si="10"/>
        <v>100</v>
      </c>
      <c r="V40" s="1234" t="s">
        <v>5</v>
      </c>
      <c r="W40" s="1235">
        <f t="shared" si="11"/>
        <v>100</v>
      </c>
      <c r="X40" s="1228"/>
      <c r="Y40" s="4231"/>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231"/>
      <c r="Q41" s="1233" t="str">
        <f t="shared" si="8"/>
        <v>层高</v>
      </c>
      <c r="R41" s="1234" t="s">
        <v>5</v>
      </c>
      <c r="S41" s="1235">
        <f t="shared" si="9"/>
        <v>100</v>
      </c>
      <c r="T41" s="1234" t="s">
        <v>5</v>
      </c>
      <c r="U41" s="1235">
        <f t="shared" si="10"/>
        <v>100</v>
      </c>
      <c r="V41" s="1234" t="s">
        <v>5</v>
      </c>
      <c r="W41" s="1235">
        <f t="shared" si="11"/>
        <v>100</v>
      </c>
      <c r="X41" s="1228"/>
      <c r="Y41" s="4231"/>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231"/>
      <c r="Q42" s="1260" t="str">
        <f t="shared" si="8"/>
        <v>单套建筑面积</v>
      </c>
      <c r="R42" s="1238" t="s">
        <v>5</v>
      </c>
      <c r="S42" s="1239">
        <f t="shared" si="9"/>
        <v>100</v>
      </c>
      <c r="T42" s="1238" t="s">
        <v>5</v>
      </c>
      <c r="U42" s="1239">
        <f t="shared" si="10"/>
        <v>100</v>
      </c>
      <c r="V42" s="1238" t="s">
        <v>5</v>
      </c>
      <c r="W42" s="1239">
        <f t="shared" si="11"/>
        <v>100</v>
      </c>
      <c r="X42" s="1240"/>
      <c r="Y42" s="4231"/>
      <c r="Z42" s="1241" t="str">
        <f t="shared" si="12"/>
        <v>单套建筑面积</v>
      </c>
      <c r="AA42" s="1237">
        <f t="shared" si="3"/>
        <v>1</v>
      </c>
      <c r="AB42" s="1237">
        <f t="shared" si="4"/>
        <v>1</v>
      </c>
      <c r="AC42" s="1237">
        <f t="shared" si="5"/>
        <v>1</v>
      </c>
    </row>
    <row r="43" spans="1:29" ht="15.75" thickBot="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231"/>
      <c r="Q43" s="1233" t="str">
        <f t="shared" si="8"/>
        <v>内部装修</v>
      </c>
      <c r="R43" s="1234" t="s">
        <v>5</v>
      </c>
      <c r="S43" s="1235">
        <f t="shared" si="9"/>
        <v>100</v>
      </c>
      <c r="T43" s="1234" t="s">
        <v>5</v>
      </c>
      <c r="U43" s="1235">
        <f t="shared" si="10"/>
        <v>100</v>
      </c>
      <c r="V43" s="1234" t="s">
        <v>5</v>
      </c>
      <c r="W43" s="1235">
        <f t="shared" si="11"/>
        <v>100</v>
      </c>
      <c r="X43" s="1228"/>
      <c r="Y43" s="4231"/>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231"/>
      <c r="Q44" s="1233" t="str">
        <f t="shared" si="8"/>
        <v>内部装修维护情况</v>
      </c>
      <c r="R44" s="1234" t="s">
        <v>5</v>
      </c>
      <c r="S44" s="1235">
        <f t="shared" si="9"/>
        <v>100</v>
      </c>
      <c r="T44" s="1234" t="s">
        <v>5</v>
      </c>
      <c r="U44" s="1235">
        <f t="shared" si="10"/>
        <v>100</v>
      </c>
      <c r="V44" s="1234" t="s">
        <v>5</v>
      </c>
      <c r="W44" s="1235">
        <f t="shared" si="11"/>
        <v>100</v>
      </c>
      <c r="X44" s="1228"/>
      <c r="Y44" s="4231"/>
      <c r="Z44" s="1236" t="str">
        <f t="shared" si="12"/>
        <v>内部装修维护情况</v>
      </c>
      <c r="AA44" s="1237">
        <f t="shared" si="3"/>
        <v>1</v>
      </c>
      <c r="AB44" s="1237">
        <f t="shared" si="4"/>
        <v>1</v>
      </c>
      <c r="AC44" s="1237">
        <f t="shared" si="5"/>
        <v>1</v>
      </c>
    </row>
    <row r="45" spans="1:29" s="981" customFormat="1" ht="15" hidden="1">
      <c r="A45" s="458"/>
      <c r="B45" s="721">
        <v>111</v>
      </c>
      <c r="C45" s="724"/>
      <c r="D45" s="145">
        <v>100</v>
      </c>
      <c r="E45" s="386"/>
      <c r="F45" s="707">
        <f>SUMIF(127:127,E45,128:128)-SUMIF(127:127,C45,128:128)+100</f>
        <v>100</v>
      </c>
      <c r="G45" s="386"/>
      <c r="H45" s="145">
        <f>SUMIF(127:127,G45,128:128)-SUMIF(127:127,C45,128:128)+100</f>
        <v>100</v>
      </c>
      <c r="I45" s="386"/>
      <c r="J45" s="145">
        <f>SUMIF(127:127,I45,128:128)-SUMIF(127:127,C45,128:128)+100</f>
        <v>100</v>
      </c>
      <c r="K45" s="439"/>
      <c r="L45" s="1655"/>
      <c r="M45" s="1656"/>
      <c r="N45" s="1656"/>
      <c r="O45" s="1656"/>
      <c r="P45" s="4231"/>
      <c r="Q45" s="929">
        <f t="shared" si="8"/>
        <v>111</v>
      </c>
      <c r="R45" s="1229" t="s">
        <v>5</v>
      </c>
      <c r="S45" s="1230">
        <f t="shared" si="9"/>
        <v>100</v>
      </c>
      <c r="T45" s="1229" t="s">
        <v>5</v>
      </c>
      <c r="U45" s="1230">
        <f t="shared" si="10"/>
        <v>100</v>
      </c>
      <c r="V45" s="1229" t="s">
        <v>5</v>
      </c>
      <c r="W45" s="1230">
        <f t="shared" si="11"/>
        <v>100</v>
      </c>
      <c r="X45" s="1231"/>
      <c r="Y45" s="4231"/>
      <c r="Z45" s="928">
        <f t="shared" si="12"/>
        <v>111</v>
      </c>
      <c r="AA45" s="1232">
        <f t="shared" si="3"/>
        <v>1</v>
      </c>
      <c r="AB45" s="1232">
        <f t="shared" si="4"/>
        <v>1</v>
      </c>
      <c r="AC45" s="1232">
        <f t="shared" si="5"/>
        <v>1</v>
      </c>
    </row>
    <row r="46" spans="1:29" ht="15" hidden="1">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231"/>
      <c r="Q46" s="1233">
        <f t="shared" si="8"/>
        <v>111</v>
      </c>
      <c r="R46" s="1234" t="s">
        <v>5</v>
      </c>
      <c r="S46" s="1235">
        <f t="shared" si="9"/>
        <v>100</v>
      </c>
      <c r="T46" s="1234" t="s">
        <v>5</v>
      </c>
      <c r="U46" s="1235">
        <f t="shared" si="10"/>
        <v>100</v>
      </c>
      <c r="V46" s="1234" t="s">
        <v>5</v>
      </c>
      <c r="W46" s="1235">
        <f t="shared" si="11"/>
        <v>100</v>
      </c>
      <c r="X46" s="1228"/>
      <c r="Y46" s="4231"/>
      <c r="Z46" s="1236">
        <f t="shared" si="12"/>
        <v>111</v>
      </c>
      <c r="AA46" s="1237">
        <f t="shared" si="3"/>
        <v>1</v>
      </c>
      <c r="AB46" s="1237">
        <f t="shared" si="4"/>
        <v>1</v>
      </c>
      <c r="AC46" s="1237">
        <f t="shared" si="5"/>
        <v>1</v>
      </c>
    </row>
    <row r="47" spans="1:29" ht="15.75" hidden="1"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89"/>
      <c r="Q47" s="1233">
        <f t="shared" si="8"/>
        <v>111</v>
      </c>
      <c r="R47" s="1234" t="s">
        <v>5</v>
      </c>
      <c r="S47" s="1235">
        <f t="shared" si="9"/>
        <v>100</v>
      </c>
      <c r="T47" s="1234" t="s">
        <v>5</v>
      </c>
      <c r="U47" s="1235">
        <f t="shared" si="10"/>
        <v>100</v>
      </c>
      <c r="V47" s="1234" t="s">
        <v>5</v>
      </c>
      <c r="W47" s="1235">
        <f t="shared" si="11"/>
        <v>100</v>
      </c>
      <c r="X47" s="1228"/>
      <c r="Y47" s="4289"/>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233" t="str">
        <f>A48</f>
        <v>成交单价（元/平方米）</v>
      </c>
      <c r="Q48" s="4195"/>
      <c r="R48" s="4287">
        <f>E48</f>
        <v>2.5</v>
      </c>
      <c r="S48" s="4287"/>
      <c r="T48" s="4287">
        <f>G48</f>
        <v>2.5</v>
      </c>
      <c r="U48" s="4287"/>
      <c r="V48" s="4287">
        <f>I48</f>
        <v>2.5</v>
      </c>
      <c r="W48" s="4287"/>
      <c r="X48" s="1223"/>
      <c r="Y48" s="1242"/>
      <c r="Z48" s="1223"/>
      <c r="AA48" s="1223"/>
      <c r="AB48" s="1223"/>
      <c r="AC48" s="1223"/>
    </row>
    <row r="49" spans="1:29" ht="15.75" thickBot="1">
      <c r="A49" s="473" t="s">
        <v>1951</v>
      </c>
      <c r="B49" s="732"/>
      <c r="C49" s="2004">
        <f>R50</f>
        <v>2.5</v>
      </c>
      <c r="D49" s="2450" t="s">
        <v>2167</v>
      </c>
      <c r="E49" s="2005">
        <f>R49</f>
        <v>2.5</v>
      </c>
      <c r="F49" s="2451"/>
      <c r="G49" s="2004">
        <f>T49</f>
        <v>2.5</v>
      </c>
      <c r="H49" s="2451"/>
      <c r="I49" s="2005">
        <f>V49</f>
        <v>2.5</v>
      </c>
      <c r="J49" s="2451"/>
      <c r="K49" s="2458">
        <f>F49+H49+J49</f>
        <v>0</v>
      </c>
      <c r="L49" s="1664"/>
      <c r="M49" s="1654"/>
      <c r="N49" s="1654"/>
      <c r="O49" s="1654"/>
      <c r="P49" s="4233" t="str">
        <f>A49</f>
        <v>比较价格（元/平方米）</v>
      </c>
      <c r="Q49" s="4195"/>
      <c r="R49" s="4287">
        <f>IF(F1="售价",ROUND(PRODUCT(R48,AA7:AA47),0),ROUND(PRODUCT(R48,AA7:AA47),1))</f>
        <v>2.5</v>
      </c>
      <c r="S49" s="4287"/>
      <c r="T49" s="4287">
        <f>IF(F1="售价",ROUND(PRODUCT(T48,AB7:AB47),0),ROUND(PRODUCT(T48,AB7:AB47),1))</f>
        <v>2.5</v>
      </c>
      <c r="U49" s="4287"/>
      <c r="V49" s="4287">
        <f>IF(F1="售价",ROUND(PRODUCT(V48,AC7:AC47),0),ROUND(PRODUCT(V48,AC7:AC47),1))</f>
        <v>2.5</v>
      </c>
      <c r="W49" s="4287"/>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92" t="str">
        <f>A50</f>
        <v>估价对象XX用房的比较价格（楼面单价，元/平方米）</v>
      </c>
      <c r="Q50" s="4233"/>
      <c r="R50" s="4288">
        <f>IF(F1="售价",ROUND(IF(D49="简单平均",AVERAGE(R49:V49),R49*F49+T49*H49+V49*J49),0),ROUND(IF(D49="简单平均",AVERAGE(R49:V49),R49*F49+T49*H49+V49*J49),1))</f>
        <v>2.5</v>
      </c>
      <c r="S50" s="4288"/>
      <c r="T50" s="4288"/>
      <c r="U50" s="4288"/>
      <c r="V50" s="4288"/>
      <c r="W50" s="4288"/>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3375</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3391</v>
      </c>
      <c r="D89" s="3890" t="s">
        <v>3392</v>
      </c>
      <c r="E89" s="3890" t="s">
        <v>3393</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3385</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0(含)-5000</v>
      </c>
      <c r="D103" s="564" t="str">
        <f t="shared" ref="D103:L103" si="20">D104&amp;"(含)"&amp;"-"&amp;E104</f>
        <v>5000(含)-10000</v>
      </c>
      <c r="E103" s="564" t="str">
        <f t="shared" si="20"/>
        <v>10000(含)-20000</v>
      </c>
      <c r="F103" s="564" t="str">
        <f t="shared" si="20"/>
        <v>20000(含)-30000</v>
      </c>
      <c r="G103" s="564" t="str">
        <f t="shared" si="20"/>
        <v>30000(含)-</v>
      </c>
      <c r="H103" s="564" t="str">
        <f t="shared" si="20"/>
        <v>(含)-</v>
      </c>
      <c r="I103" s="564" t="str">
        <f t="shared" si="20"/>
        <v>(含)-</v>
      </c>
      <c r="J103" s="564" t="str">
        <f t="shared" si="20"/>
        <v>(含)-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5000</v>
      </c>
      <c r="E104" s="586">
        <v>10000</v>
      </c>
      <c r="F104" s="586">
        <v>20000</v>
      </c>
      <c r="G104" s="586">
        <v>30000</v>
      </c>
      <c r="H104" s="586"/>
      <c r="I104" s="587"/>
      <c r="J104" s="588"/>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3386</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3380</v>
      </c>
      <c r="D108" s="3890" t="s">
        <v>3381</v>
      </c>
      <c r="E108" s="3890" t="s">
        <v>3382</v>
      </c>
      <c r="F108" s="3941" t="s">
        <v>3383</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3387</v>
      </c>
      <c r="D117" s="3890" t="s">
        <v>3388</v>
      </c>
      <c r="E117" s="3890" t="s">
        <v>3389</v>
      </c>
      <c r="F117" s="3890" t="s">
        <v>3390</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3380</v>
      </c>
      <c r="D123" s="3890" t="s">
        <v>3381</v>
      </c>
      <c r="E123" s="3890" t="s">
        <v>3382</v>
      </c>
      <c r="F123" s="3941" t="s">
        <v>3383</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f>B45</f>
        <v>111</v>
      </c>
      <c r="C127" s="544"/>
      <c r="D127" s="544"/>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c r="D128" s="527"/>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9"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
  <sheetViews>
    <sheetView topLeftCell="L1" zoomScale="70" zoomScaleNormal="70" workbookViewId="0">
      <selection activeCell="U27" sqref="U27"/>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J26"/>
  <sheetViews>
    <sheetView view="pageBreakPreview" zoomScale="80" zoomScaleNormal="80" zoomScaleSheetLayoutView="80" workbookViewId="0">
      <selection activeCell="F16" sqref="F16"/>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0</v>
      </c>
      <c r="C2" s="2609"/>
      <c r="D2" s="2609"/>
      <c r="E2" s="2609"/>
      <c r="F2" s="2609"/>
      <c r="G2" s="2610"/>
      <c r="H2" s="2610"/>
      <c r="I2" s="2610"/>
      <c r="J2" s="2610"/>
    </row>
    <row r="3" spans="1:10" ht="16.5">
      <c r="A3" s="2600" t="s">
        <v>2028</v>
      </c>
      <c r="B3" s="2602">
        <f>项目基本情况!D3</f>
        <v>45076</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219.00309999999999</v>
      </c>
      <c r="C5" s="2600">
        <f ca="1">ROUND(B5*10000/$B$1,0)</f>
        <v>1151</v>
      </c>
      <c r="D5" s="2600" t="e">
        <f ca="1">ROUND(B5*10000/$B$2,0)</f>
        <v>#DIV/0!</v>
      </c>
      <c r="E5" s="2609"/>
      <c r="F5" s="2609"/>
      <c r="G5" s="2610"/>
      <c r="H5" s="2610"/>
      <c r="I5" s="2610"/>
      <c r="J5" s="2610"/>
    </row>
    <row r="6" spans="1:10" ht="16.5">
      <c r="A6" s="2600" t="s">
        <v>2034</v>
      </c>
      <c r="B6" s="2600">
        <f>SUM(G14:G23)</f>
        <v>0</v>
      </c>
      <c r="C6" s="2600">
        <f>ROUND(B6*10000/$B$1,0)</f>
        <v>0</v>
      </c>
      <c r="D6" s="2600" t="e">
        <f>ROUND(B6*10000/$B$2,0)</f>
        <v>#DIV/0!</v>
      </c>
      <c r="E6" s="2609"/>
      <c r="F6" s="2609"/>
      <c r="G6" s="2610"/>
      <c r="H6" s="2610"/>
      <c r="I6" s="2610"/>
      <c r="J6" s="2610"/>
    </row>
    <row r="7" spans="1:10" ht="16.5">
      <c r="A7" s="2600" t="s">
        <v>2035</v>
      </c>
      <c r="B7" s="2600">
        <f>SUM(H14:H23)</f>
        <v>0</v>
      </c>
      <c r="C7" s="2600">
        <f>ROUND(B7*10000/$B$1,0)</f>
        <v>0</v>
      </c>
      <c r="D7" s="2600" t="e">
        <f>ROUND(B7*10000/$B$2,0)</f>
        <v>#DIV/0!</v>
      </c>
      <c r="E7" s="2609"/>
      <c r="F7" s="2609"/>
      <c r="G7" s="2610"/>
      <c r="H7" s="2610"/>
      <c r="I7" s="2610"/>
      <c r="J7" s="2610"/>
    </row>
    <row r="8" spans="1:10" ht="16.5">
      <c r="A8" s="2600" t="s">
        <v>2036</v>
      </c>
      <c r="B8" s="2600">
        <f>SUM(I14:I23)</f>
        <v>0</v>
      </c>
      <c r="C8" s="2600">
        <f>ROUND(B8*10000/$B$1,0)</f>
        <v>0</v>
      </c>
      <c r="D8" s="2600" t="e">
        <f>ROUND(B8*10000/$B$2,0)</f>
        <v>#DIV/0!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'数据-汇总表'!D20</f>
        <v>0</v>
      </c>
      <c r="D14" s="2606">
        <f ca="1">结果汇总表!F34</f>
        <v>219.00309999999999</v>
      </c>
      <c r="E14" s="2606">
        <f ca="1">ROUND(D14*10000/B14,0)</f>
        <v>1151</v>
      </c>
      <c r="F14" s="2606" t="e">
        <f ca="1">ROUND(D14*10000/C14,0)</f>
        <v>#DIV/0!</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296" t="s">
        <v>2208</v>
      </c>
      <c r="K2" s="4297"/>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98" t="s">
        <v>2217</v>
      </c>
      <c r="K3" s="4299"/>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298" t="s">
        <v>2219</v>
      </c>
      <c r="K4" s="4299"/>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300" t="s">
        <v>2223</v>
      </c>
      <c r="B6" s="4301"/>
      <c r="C6" s="4302"/>
      <c r="D6" s="3634">
        <f>R5</f>
        <v>0</v>
      </c>
      <c r="E6" s="2764"/>
      <c r="F6" s="2765"/>
      <c r="G6" s="2766"/>
      <c r="H6" s="2743"/>
      <c r="I6" s="2744"/>
      <c r="J6" s="4303">
        <v>1</v>
      </c>
      <c r="K6" s="4304"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303"/>
      <c r="K7" s="4305"/>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307" t="s">
        <v>2237</v>
      </c>
      <c r="C8" s="4308"/>
      <c r="D8" s="2780" t="s">
        <v>2238</v>
      </c>
      <c r="E8" s="2781" t="s">
        <v>2239</v>
      </c>
      <c r="F8" s="2782" t="s">
        <v>2240</v>
      </c>
      <c r="G8" s="2783"/>
      <c r="H8" s="2743"/>
      <c r="I8" s="2744"/>
      <c r="J8" s="4303"/>
      <c r="K8" s="4305"/>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307" t="s">
        <v>2243</v>
      </c>
      <c r="C9" s="4308"/>
      <c r="D9" s="3636">
        <f>ROUND(D6*E9,4)</f>
        <v>0</v>
      </c>
      <c r="E9" s="2784">
        <v>0.25</v>
      </c>
      <c r="F9" s="2785" t="s">
        <v>2244</v>
      </c>
      <c r="G9" s="2766"/>
      <c r="H9" s="2743"/>
      <c r="I9" s="2744"/>
      <c r="J9" s="4303"/>
      <c r="K9" s="4305"/>
      <c r="L9" s="2775" t="s">
        <v>2245</v>
      </c>
      <c r="M9" s="2776"/>
      <c r="N9" s="2755"/>
      <c r="O9" s="2777"/>
      <c r="P9" s="2777"/>
      <c r="Q9" s="2778">
        <v>365</v>
      </c>
      <c r="R9" s="3648">
        <f t="shared" si="0"/>
        <v>0</v>
      </c>
      <c r="S9" s="2735"/>
      <c r="T9" s="2735"/>
      <c r="U9" s="2735"/>
      <c r="V9" s="2744"/>
    </row>
    <row r="10" spans="1:22" s="2748" customFormat="1" ht="13.15" customHeight="1">
      <c r="A10" s="2779">
        <v>2</v>
      </c>
      <c r="B10" s="4307" t="s">
        <v>2246</v>
      </c>
      <c r="C10" s="4308"/>
      <c r="D10" s="3636">
        <f>ROUND(D6*E10,4)</f>
        <v>0</v>
      </c>
      <c r="E10" s="2784">
        <v>0.02</v>
      </c>
      <c r="F10" s="2785" t="s">
        <v>2247</v>
      </c>
      <c r="G10" s="2766"/>
      <c r="H10" s="2743"/>
      <c r="I10" s="2744"/>
      <c r="J10" s="4303"/>
      <c r="K10" s="4305"/>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307" t="s">
        <v>2249</v>
      </c>
      <c r="C11" s="4308"/>
      <c r="D11" s="3636">
        <f>D12+D14+D15+D16</f>
        <v>0</v>
      </c>
      <c r="E11" s="2786" t="e">
        <f>D11/D6</f>
        <v>#DIV/0!</v>
      </c>
      <c r="F11" s="2782"/>
      <c r="G11" s="2783"/>
      <c r="H11" s="2743"/>
      <c r="I11" s="2744"/>
      <c r="J11" s="4303"/>
      <c r="K11" s="4305"/>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309" t="s">
        <v>2252</v>
      </c>
      <c r="C12" s="4310"/>
      <c r="D12" s="3637">
        <f>ROUND(D13*1.2%*(1-30%),4)</f>
        <v>0</v>
      </c>
      <c r="E12" s="2788">
        <v>1.2E-2</v>
      </c>
      <c r="F12" s="2782" t="s">
        <v>2253</v>
      </c>
      <c r="G12" s="2783"/>
      <c r="H12" s="2743"/>
      <c r="I12" s="2744"/>
      <c r="J12" s="4303"/>
      <c r="K12" s="4305"/>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303"/>
      <c r="K13" s="4305"/>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309" t="s">
        <v>2258</v>
      </c>
      <c r="C14" s="4310"/>
      <c r="D14" s="3637">
        <f>ROUND(E14*B5/10000,4)</f>
        <v>0</v>
      </c>
      <c r="E14" s="2778"/>
      <c r="F14" s="2782" t="s">
        <v>2259</v>
      </c>
      <c r="G14" s="2783"/>
      <c r="H14" s="2743"/>
      <c r="I14" s="2744"/>
      <c r="J14" s="4303"/>
      <c r="K14" s="4306"/>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309" t="s">
        <v>2262</v>
      </c>
      <c r="C15" s="4310"/>
      <c r="D15" s="3637">
        <f>ROUND(D6*E15,4)</f>
        <v>0</v>
      </c>
      <c r="E15" s="2788">
        <v>5.5E-2</v>
      </c>
      <c r="F15" s="2782" t="s">
        <v>2263</v>
      </c>
      <c r="G15" s="2766"/>
      <c r="H15" s="2743"/>
      <c r="I15" s="2744"/>
      <c r="J15" s="4303">
        <v>2</v>
      </c>
      <c r="K15" s="4304"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309" t="s">
        <v>2273</v>
      </c>
      <c r="C16" s="4310"/>
      <c r="D16" s="3644">
        <f>ROUND(D6*E16,4)</f>
        <v>0</v>
      </c>
      <c r="E16" s="2797">
        <v>0</v>
      </c>
      <c r="F16" s="2785" t="s">
        <v>2274</v>
      </c>
      <c r="G16" s="2766"/>
      <c r="H16" s="2743"/>
      <c r="I16" s="2744"/>
      <c r="J16" s="4303"/>
      <c r="K16" s="4305"/>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311" t="s">
        <v>2276</v>
      </c>
      <c r="C17" s="4312"/>
      <c r="D17" s="3638">
        <f>ROUND(D6*E17,4)</f>
        <v>0</v>
      </c>
      <c r="E17" s="2799">
        <v>0.04</v>
      </c>
      <c r="F17" s="2800" t="s">
        <v>2277</v>
      </c>
      <c r="G17" s="2766"/>
      <c r="H17" s="2743"/>
      <c r="I17" s="2744"/>
      <c r="J17" s="4303"/>
      <c r="K17" s="4305"/>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303"/>
      <c r="K18" s="4305"/>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303"/>
      <c r="K19" s="4306"/>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303">
        <v>3</v>
      </c>
      <c r="K20" s="4304"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303"/>
      <c r="K21" s="4305"/>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303"/>
      <c r="K22" s="4305"/>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303"/>
      <c r="K23" s="4305"/>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303"/>
      <c r="K24" s="4306"/>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313">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314"/>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296" t="s">
        <v>2319</v>
      </c>
      <c r="K32" s="4297"/>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98" t="s">
        <v>2323</v>
      </c>
      <c r="K33" s="4299"/>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98" t="s">
        <v>2325</v>
      </c>
      <c r="K34" s="4299"/>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303">
        <v>1</v>
      </c>
      <c r="K36" s="4304"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303"/>
      <c r="K37" s="4305"/>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303"/>
      <c r="K38" s="4305"/>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303"/>
      <c r="K39" s="4305"/>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303"/>
      <c r="K40" s="4306"/>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313">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314"/>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B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316" t="s">
        <v>1723</v>
      </c>
      <c r="C8" s="3688">
        <f ca="1">ROUND(F8*F10*F9*(1-F11)/10000,4)</f>
        <v>0</v>
      </c>
      <c r="D8" s="3689" t="s">
        <v>1728</v>
      </c>
      <c r="E8" s="58" t="s">
        <v>585</v>
      </c>
      <c r="F8" s="3690">
        <f ca="1">INDIRECT("'数据-取费表'!u"&amp;$G$1)</f>
        <v>0</v>
      </c>
      <c r="G8" s="3684"/>
      <c r="H8" s="1447" t="s">
        <v>1278</v>
      </c>
      <c r="I8" s="4316" t="s">
        <v>1723</v>
      </c>
      <c r="J8" s="3691">
        <f ca="1">ROUND(M8*M10*M9*(1-M11)/10000,0)</f>
        <v>0</v>
      </c>
      <c r="K8" s="647" t="s">
        <v>1728</v>
      </c>
      <c r="L8" s="636" t="s">
        <v>1255</v>
      </c>
      <c r="M8" s="3690">
        <f ca="1">INDIRECT("'数据-取费表'!z"&amp;$G$1)</f>
        <v>0</v>
      </c>
    </row>
    <row r="9" spans="1:25" ht="18" customHeight="1">
      <c r="A9" s="1912"/>
      <c r="B9" s="4317"/>
      <c r="C9" s="3692"/>
      <c r="D9" s="3693"/>
      <c r="E9" s="58" t="s">
        <v>586</v>
      </c>
      <c r="F9" s="3690">
        <f ca="1">IF(INDIRECT("'数据-取费表'!ah"&amp;$G$1)="",INDIRECT("'数据-取费表'!k"&amp;$G$1),INDIRECT("'数据-取费表'!ah"&amp;$G$1))</f>
        <v>0</v>
      </c>
      <c r="G9" s="3684"/>
      <c r="H9" s="3694"/>
      <c r="I9" s="4317"/>
      <c r="J9" s="3695"/>
      <c r="K9" s="1450"/>
      <c r="L9" s="636" t="s">
        <v>1256</v>
      </c>
      <c r="M9" s="3690">
        <f ca="1">F9</f>
        <v>0</v>
      </c>
    </row>
    <row r="10" spans="1:25" ht="18" customHeight="1">
      <c r="A10" s="1905"/>
      <c r="B10" s="4318"/>
      <c r="C10" s="3692"/>
      <c r="D10" s="3693"/>
      <c r="E10" s="58" t="s">
        <v>587</v>
      </c>
      <c r="F10" s="3690">
        <f ca="1">INDIRECT("'数据-取费表'!ai"&amp;$G$1)</f>
        <v>365</v>
      </c>
      <c r="G10" s="3684"/>
      <c r="H10" s="3694"/>
      <c r="I10" s="4318"/>
      <c r="J10" s="3695"/>
      <c r="K10" s="1450"/>
      <c r="L10" s="636" t="s">
        <v>1257</v>
      </c>
      <c r="M10" s="3690">
        <f ca="1">INDIRECT("'数据-取费表'!ai"&amp;$G$1)</f>
        <v>365</v>
      </c>
    </row>
    <row r="11" spans="1:25" ht="18" customHeight="1">
      <c r="A11" s="1915"/>
      <c r="B11" s="4319"/>
      <c r="C11" s="3692"/>
      <c r="D11" s="3693"/>
      <c r="E11" s="58" t="s">
        <v>588</v>
      </c>
      <c r="F11" s="3696">
        <f ca="1">INDIRECT("'数据-取费表'!w"&amp;$G$1)</f>
        <v>0</v>
      </c>
      <c r="G11" s="3684"/>
      <c r="H11" s="1915"/>
      <c r="I11" s="4318"/>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315"/>
      <c r="J36" s="1617"/>
      <c r="K36" s="1617"/>
      <c r="L36" s="1617"/>
      <c r="M36" s="1617"/>
    </row>
    <row r="37" spans="1:18" ht="18" customHeight="1">
      <c r="A37" s="1448"/>
      <c r="B37" s="657"/>
      <c r="C37" s="3749"/>
      <c r="D37" s="664"/>
      <c r="E37" s="636" t="s">
        <v>621</v>
      </c>
      <c r="F37" s="3690">
        <f ca="1">INDIRECT("'数据-取费表'!r"&amp;$G$1)</f>
        <v>0</v>
      </c>
      <c r="G37" s="1619"/>
      <c r="H37" s="1602"/>
      <c r="I37" s="4315"/>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20"/>
      <c r="L54" s="4321"/>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2D00-000000000000}">
      <formula1>项目类型</formula1>
    </dataValidation>
    <dataValidation type="list" allowBlank="1" showInputMessage="1" showErrorMessage="1" sqref="D35" xr:uid="{00000000-0002-0000-2D00-000001000000}">
      <formula1>"按租金收入计税,按房产原值计税,按票据"</formula1>
    </dataValidation>
    <dataValidation type="list" allowBlank="1" showInputMessage="1" showErrorMessage="1" sqref="K21" xr:uid="{00000000-0002-0000-2D00-000002000000}">
      <formula1>"按租金收入计税,按房产原值计税"</formula1>
    </dataValidation>
    <dataValidation type="list" allowBlank="1" showInputMessage="1" showErrorMessage="1" sqref="F12 M12" xr:uid="{00000000-0002-0000-2D00-000003000000}">
      <formula1>"押一,押二,押三,自定义"</formula1>
    </dataValidation>
    <dataValidation type="list" allowBlank="1" showInputMessage="1" showErrorMessage="1" sqref="J57" xr:uid="{00000000-0002-0000-2D00-000004000000}">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642</v>
      </c>
      <c r="D13" s="2682">
        <f>'数据-汇总表'!E6</f>
        <v>32106.47</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E00-000000000000}">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201" t="s">
        <v>471</v>
      </c>
      <c r="D4" s="4202"/>
      <c r="E4" s="4240" t="s">
        <v>472</v>
      </c>
      <c r="F4" s="4241"/>
      <c r="G4" s="4201" t="s">
        <v>473</v>
      </c>
      <c r="H4" s="4202"/>
      <c r="I4" s="4201" t="s">
        <v>474</v>
      </c>
      <c r="J4" s="4202"/>
      <c r="K4" s="699"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8" t="s">
        <v>473</v>
      </c>
      <c r="AC4" s="4198" t="s">
        <v>474</v>
      </c>
    </row>
    <row r="5" spans="1:29" ht="15">
      <c r="A5" s="373"/>
      <c r="B5" s="374"/>
      <c r="C5" s="4217" t="s">
        <v>2100</v>
      </c>
      <c r="D5" s="4218"/>
      <c r="E5" s="4242" t="s">
        <v>2101</v>
      </c>
      <c r="F5" s="4243"/>
      <c r="G5" s="4217" t="s">
        <v>2102</v>
      </c>
      <c r="H5" s="4218"/>
      <c r="I5" s="4217" t="s">
        <v>2103</v>
      </c>
      <c r="J5" s="4218"/>
      <c r="K5" s="700"/>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700"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SUMIF(58:58,YEAR(E7)&amp;"-"&amp;MONTH(E7),59:59)</f>
        <v>0</v>
      </c>
      <c r="G7" s="381"/>
      <c r="H7" s="378">
        <f>SUMIF(58:58,YEAR(G7)&amp;"-"&amp;MONTH(G7),59:59)</f>
        <v>0</v>
      </c>
      <c r="I7" s="381"/>
      <c r="J7" s="378">
        <f>SUMIF(58:58,YEAR(I7)&amp;"-"&amp;MONTH(I7),59:59)</f>
        <v>0</v>
      </c>
      <c r="K7" s="701"/>
      <c r="L7" s="1655"/>
      <c r="M7" s="1656"/>
      <c r="N7" s="1656"/>
      <c r="O7" s="1656"/>
      <c r="P7" s="4225" t="s">
        <v>479</v>
      </c>
      <c r="Q7" s="4227"/>
      <c r="R7" s="1229" t="s">
        <v>10</v>
      </c>
      <c r="S7" s="1230">
        <f t="shared" ref="S7:S15" si="0">F7</f>
        <v>0</v>
      </c>
      <c r="T7" s="1229" t="s">
        <v>10</v>
      </c>
      <c r="U7" s="1230">
        <f t="shared" ref="U7:U15" si="1">H7</f>
        <v>0</v>
      </c>
      <c r="V7" s="1229" t="s">
        <v>10</v>
      </c>
      <c r="W7" s="1230">
        <f t="shared" ref="W7:W15"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225" t="s">
        <v>482</v>
      </c>
      <c r="Q8" s="4226"/>
      <c r="R8" s="1229" t="s">
        <v>10</v>
      </c>
      <c r="S8" s="1230">
        <f t="shared" si="0"/>
        <v>0</v>
      </c>
      <c r="T8" s="1229" t="s">
        <v>10</v>
      </c>
      <c r="U8" s="1230">
        <f t="shared" si="1"/>
        <v>0</v>
      </c>
      <c r="V8" s="1229" t="s">
        <v>10</v>
      </c>
      <c r="W8" s="1230">
        <f t="shared" si="2"/>
        <v>0</v>
      </c>
      <c r="X8" s="1231"/>
      <c r="Y8" s="4225" t="s">
        <v>482</v>
      </c>
      <c r="Z8" s="4226"/>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195"/>
      <c r="Q11" s="929" t="str">
        <f t="shared" si="6"/>
        <v>容积率</v>
      </c>
      <c r="R11" s="1229" t="s">
        <v>8</v>
      </c>
      <c r="S11" s="1230" t="e">
        <f t="shared" si="0"/>
        <v>#N/A</v>
      </c>
      <c r="T11" s="1229" t="s">
        <v>8</v>
      </c>
      <c r="U11" s="1230" t="e">
        <f t="shared" si="1"/>
        <v>#N/A</v>
      </c>
      <c r="V11" s="1229" t="s">
        <v>8</v>
      </c>
      <c r="W11" s="1230" t="e">
        <f t="shared" si="2"/>
        <v>#N/A</v>
      </c>
      <c r="X11" s="1231"/>
      <c r="Y11" s="4076"/>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195"/>
      <c r="Q12" s="929">
        <f t="shared" si="6"/>
        <v>111</v>
      </c>
      <c r="R12" s="1229" t="s">
        <v>8</v>
      </c>
      <c r="S12" s="1230">
        <f t="shared" si="0"/>
        <v>100</v>
      </c>
      <c r="T12" s="1229" t="s">
        <v>8</v>
      </c>
      <c r="U12" s="1230">
        <f t="shared" si="1"/>
        <v>100</v>
      </c>
      <c r="V12" s="1229" t="s">
        <v>8</v>
      </c>
      <c r="W12" s="1230">
        <f t="shared" si="2"/>
        <v>100</v>
      </c>
      <c r="X12" s="1231"/>
      <c r="Y12" s="4076"/>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195"/>
      <c r="Q13" s="929">
        <f t="shared" si="6"/>
        <v>111</v>
      </c>
      <c r="R13" s="1229" t="s">
        <v>8</v>
      </c>
      <c r="S13" s="1230">
        <f t="shared" si="0"/>
        <v>100</v>
      </c>
      <c r="T13" s="1229" t="s">
        <v>8</v>
      </c>
      <c r="U13" s="1230">
        <f t="shared" si="1"/>
        <v>100</v>
      </c>
      <c r="V13" s="1229" t="s">
        <v>8</v>
      </c>
      <c r="W13" s="1230">
        <f t="shared" si="2"/>
        <v>100</v>
      </c>
      <c r="X13" s="1231"/>
      <c r="Y13" s="4076"/>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195"/>
      <c r="Q14" s="929">
        <f t="shared" si="6"/>
        <v>111</v>
      </c>
      <c r="R14" s="1229" t="s">
        <v>8</v>
      </c>
      <c r="S14" s="1230">
        <f t="shared" si="0"/>
        <v>100</v>
      </c>
      <c r="T14" s="1229" t="s">
        <v>8</v>
      </c>
      <c r="U14" s="1230">
        <f t="shared" si="1"/>
        <v>100</v>
      </c>
      <c r="V14" s="1229" t="s">
        <v>8</v>
      </c>
      <c r="W14" s="1230">
        <f t="shared" si="2"/>
        <v>100</v>
      </c>
      <c r="X14" s="1231"/>
      <c r="Y14" s="4076"/>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228" t="s">
        <v>489</v>
      </c>
      <c r="Q15" s="1233" t="str">
        <f t="shared" si="6"/>
        <v>居住社区成熟度</v>
      </c>
      <c r="R15" s="1234" t="s">
        <v>8</v>
      </c>
      <c r="S15" s="1235">
        <f t="shared" si="0"/>
        <v>100</v>
      </c>
      <c r="T15" s="1234" t="s">
        <v>8</v>
      </c>
      <c r="U15" s="1235">
        <f t="shared" si="1"/>
        <v>100</v>
      </c>
      <c r="V15" s="1234" t="s">
        <v>8</v>
      </c>
      <c r="W15" s="1235">
        <f t="shared" si="2"/>
        <v>100</v>
      </c>
      <c r="X15" s="1228"/>
      <c r="Y15" s="4228"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229"/>
      <c r="Q17" s="1233" t="str">
        <f>B17</f>
        <v>交通便捷度</v>
      </c>
      <c r="R17" s="1234" t="s">
        <v>8</v>
      </c>
      <c r="S17" s="1235">
        <f>F17</f>
        <v>100</v>
      </c>
      <c r="T17" s="1234" t="s">
        <v>8</v>
      </c>
      <c r="U17" s="1235">
        <f>H17</f>
        <v>100</v>
      </c>
      <c r="V17" s="1234" t="s">
        <v>8</v>
      </c>
      <c r="W17" s="1235">
        <f>J17</f>
        <v>100</v>
      </c>
      <c r="X17" s="1228"/>
      <c r="Y17" s="4229"/>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229"/>
      <c r="Q19" s="1233" t="str">
        <f>B19</f>
        <v>公共配套设施</v>
      </c>
      <c r="R19" s="1234" t="s">
        <v>8</v>
      </c>
      <c r="S19" s="1235">
        <f>F19</f>
        <v>100</v>
      </c>
      <c r="T19" s="1234" t="s">
        <v>8</v>
      </c>
      <c r="U19" s="1235">
        <f>H19</f>
        <v>100</v>
      </c>
      <c r="V19" s="1234" t="s">
        <v>8</v>
      </c>
      <c r="W19" s="1235">
        <f>J19</f>
        <v>100</v>
      </c>
      <c r="X19" s="1228"/>
      <c r="Y19" s="4229"/>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229"/>
      <c r="Q21" s="1958" t="str">
        <f>B21</f>
        <v>基础设施水平</v>
      </c>
      <c r="R21" s="1234" t="s">
        <v>8</v>
      </c>
      <c r="S21" s="1235">
        <f>F21</f>
        <v>100</v>
      </c>
      <c r="T21" s="1234" t="s">
        <v>8</v>
      </c>
      <c r="U21" s="1235">
        <f>H21</f>
        <v>100</v>
      </c>
      <c r="V21" s="1234" t="s">
        <v>8</v>
      </c>
      <c r="W21" s="1235">
        <f>J21</f>
        <v>100</v>
      </c>
      <c r="X21" s="1960"/>
      <c r="Y21" s="4229"/>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229"/>
      <c r="Q22" s="1958"/>
      <c r="R22" s="1234"/>
      <c r="S22" s="1235"/>
      <c r="T22" s="1234"/>
      <c r="U22" s="1235"/>
      <c r="V22" s="1234"/>
      <c r="W22" s="1235"/>
      <c r="X22" s="1960"/>
      <c r="Y22" s="4229"/>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229"/>
      <c r="Q23" s="1233" t="str">
        <f>B23</f>
        <v>自然及人文环境</v>
      </c>
      <c r="R23" s="1234" t="s">
        <v>8</v>
      </c>
      <c r="S23" s="1235">
        <f>F23</f>
        <v>100</v>
      </c>
      <c r="T23" s="1234" t="s">
        <v>8</v>
      </c>
      <c r="U23" s="1235">
        <f>H23</f>
        <v>100</v>
      </c>
      <c r="V23" s="1234" t="s">
        <v>8</v>
      </c>
      <c r="W23" s="1235">
        <f>J23</f>
        <v>100</v>
      </c>
      <c r="X23" s="1228"/>
      <c r="Y23" s="4229"/>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229"/>
      <c r="Q25" s="1233" t="str">
        <f t="shared" ref="Q25:Q46" si="8">B25</f>
        <v>楼层-1</v>
      </c>
      <c r="R25" s="1234" t="s">
        <v>8</v>
      </c>
      <c r="S25" s="1235">
        <f>F25</f>
        <v>100</v>
      </c>
      <c r="T25" s="1234" t="s">
        <v>8</v>
      </c>
      <c r="U25" s="1235">
        <f>H25</f>
        <v>100</v>
      </c>
      <c r="V25" s="1234" t="s">
        <v>8</v>
      </c>
      <c r="W25" s="1235">
        <f>J25</f>
        <v>100</v>
      </c>
      <c r="X25" s="1228"/>
      <c r="Y25" s="4229"/>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229"/>
      <c r="Q26" s="1233" t="str">
        <f t="shared" si="8"/>
        <v>朝向</v>
      </c>
      <c r="R26" s="1234" t="s">
        <v>8</v>
      </c>
      <c r="S26" s="1235">
        <f>F26</f>
        <v>100</v>
      </c>
      <c r="T26" s="1234" t="s">
        <v>8</v>
      </c>
      <c r="U26" s="1235">
        <f>H26</f>
        <v>100</v>
      </c>
      <c r="V26" s="1234" t="s">
        <v>8</v>
      </c>
      <c r="W26" s="1235">
        <f>J26</f>
        <v>100</v>
      </c>
      <c r="X26" s="1228"/>
      <c r="Y26" s="4229"/>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229"/>
      <c r="Q27" s="929" t="str">
        <f t="shared" si="8"/>
        <v>道路级别</v>
      </c>
      <c r="R27" s="1229" t="s">
        <v>8</v>
      </c>
      <c r="S27" s="1230">
        <f>F27</f>
        <v>100</v>
      </c>
      <c r="T27" s="1229" t="s">
        <v>8</v>
      </c>
      <c r="U27" s="1230">
        <f>H27</f>
        <v>100</v>
      </c>
      <c r="V27" s="1229" t="s">
        <v>8</v>
      </c>
      <c r="W27" s="1230">
        <f>J27</f>
        <v>100</v>
      </c>
      <c r="X27" s="1231"/>
      <c r="Y27" s="4229"/>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229"/>
      <c r="Q28" s="1233">
        <f t="shared" si="8"/>
        <v>111</v>
      </c>
      <c r="R28" s="1234" t="s">
        <v>8</v>
      </c>
      <c r="S28" s="1235">
        <f t="shared" ref="S28:S46" si="9">F28</f>
        <v>100</v>
      </c>
      <c r="T28" s="1234" t="s">
        <v>8</v>
      </c>
      <c r="U28" s="1235">
        <f t="shared" ref="U28:U46" si="10">H28</f>
        <v>100</v>
      </c>
      <c r="V28" s="1234" t="s">
        <v>8</v>
      </c>
      <c r="W28" s="1235">
        <f t="shared" ref="W28:W46" si="11">J28</f>
        <v>100</v>
      </c>
      <c r="X28" s="1228"/>
      <c r="Y28" s="4229"/>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229"/>
      <c r="Q29" s="1233">
        <f t="shared" si="8"/>
        <v>111</v>
      </c>
      <c r="R29" s="1234" t="s">
        <v>8</v>
      </c>
      <c r="S29" s="1235">
        <f t="shared" si="9"/>
        <v>100</v>
      </c>
      <c r="T29" s="1234" t="s">
        <v>8</v>
      </c>
      <c r="U29" s="1235">
        <f t="shared" si="10"/>
        <v>100</v>
      </c>
      <c r="V29" s="1234" t="s">
        <v>8</v>
      </c>
      <c r="W29" s="1235">
        <f t="shared" si="11"/>
        <v>100</v>
      </c>
      <c r="X29" s="1228"/>
      <c r="Y29" s="4229"/>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229"/>
      <c r="Q30" s="1233">
        <f t="shared" si="8"/>
        <v>111</v>
      </c>
      <c r="R30" s="1234" t="s">
        <v>8</v>
      </c>
      <c r="S30" s="1235">
        <f t="shared" si="9"/>
        <v>100</v>
      </c>
      <c r="T30" s="1234" t="s">
        <v>8</v>
      </c>
      <c r="U30" s="1235">
        <f t="shared" si="10"/>
        <v>100</v>
      </c>
      <c r="V30" s="1234" t="s">
        <v>8</v>
      </c>
      <c r="W30" s="1235">
        <f t="shared" si="11"/>
        <v>100</v>
      </c>
      <c r="X30" s="1228"/>
      <c r="Y30" s="4229"/>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229"/>
      <c r="Q31" s="1233">
        <f t="shared" si="8"/>
        <v>111</v>
      </c>
      <c r="R31" s="1234" t="s">
        <v>8</v>
      </c>
      <c r="S31" s="1235">
        <f t="shared" si="9"/>
        <v>100</v>
      </c>
      <c r="T31" s="1234" t="s">
        <v>8</v>
      </c>
      <c r="U31" s="1235">
        <f t="shared" si="10"/>
        <v>100</v>
      </c>
      <c r="V31" s="1234" t="s">
        <v>8</v>
      </c>
      <c r="W31" s="1235">
        <f t="shared" si="11"/>
        <v>100</v>
      </c>
      <c r="X31" s="1228"/>
      <c r="Y31" s="4229"/>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230" t="s">
        <v>499</v>
      </c>
      <c r="Q32" s="1233" t="str">
        <f t="shared" si="8"/>
        <v>建筑类型</v>
      </c>
      <c r="R32" s="1234" t="s">
        <v>8</v>
      </c>
      <c r="S32" s="1235">
        <f t="shared" si="9"/>
        <v>100</v>
      </c>
      <c r="T32" s="1234" t="s">
        <v>8</v>
      </c>
      <c r="U32" s="1235">
        <f t="shared" si="10"/>
        <v>100</v>
      </c>
      <c r="V32" s="1234" t="s">
        <v>8</v>
      </c>
      <c r="W32" s="1235">
        <f t="shared" si="11"/>
        <v>100</v>
      </c>
      <c r="X32" s="1228"/>
      <c r="Y32" s="4231"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231"/>
      <c r="Q33" s="1260" t="str">
        <f t="shared" si="8"/>
        <v>项目建筑规模</v>
      </c>
      <c r="R33" s="1238" t="s">
        <v>8</v>
      </c>
      <c r="S33" s="1239" t="e">
        <f t="shared" si="9"/>
        <v>#N/A</v>
      </c>
      <c r="T33" s="1238" t="s">
        <v>8</v>
      </c>
      <c r="U33" s="1239" t="e">
        <f t="shared" si="10"/>
        <v>#N/A</v>
      </c>
      <c r="V33" s="1238" t="s">
        <v>8</v>
      </c>
      <c r="W33" s="1239" t="e">
        <f t="shared" si="11"/>
        <v>#N/A</v>
      </c>
      <c r="X33" s="1240"/>
      <c r="Y33" s="4231"/>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231"/>
      <c r="Q34" s="1233" t="str">
        <f t="shared" si="8"/>
        <v>建筑结构</v>
      </c>
      <c r="R34" s="1234" t="s">
        <v>8</v>
      </c>
      <c r="S34" s="1235">
        <f t="shared" si="9"/>
        <v>100</v>
      </c>
      <c r="T34" s="1234" t="s">
        <v>8</v>
      </c>
      <c r="U34" s="1235">
        <f t="shared" si="10"/>
        <v>100</v>
      </c>
      <c r="V34" s="1234" t="s">
        <v>8</v>
      </c>
      <c r="W34" s="1235">
        <f t="shared" si="11"/>
        <v>100</v>
      </c>
      <c r="X34" s="1228"/>
      <c r="Y34" s="4231"/>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231"/>
      <c r="Q35" s="1233" t="str">
        <f t="shared" si="8"/>
        <v>建筑品质</v>
      </c>
      <c r="R35" s="1234" t="s">
        <v>8</v>
      </c>
      <c r="S35" s="1235">
        <f t="shared" si="9"/>
        <v>100</v>
      </c>
      <c r="T35" s="1234" t="s">
        <v>8</v>
      </c>
      <c r="U35" s="1235">
        <f t="shared" si="10"/>
        <v>100</v>
      </c>
      <c r="V35" s="1234" t="s">
        <v>8</v>
      </c>
      <c r="W35" s="1235">
        <f t="shared" si="11"/>
        <v>100</v>
      </c>
      <c r="X35" s="1228"/>
      <c r="Y35" s="4231"/>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231"/>
      <c r="Q36" s="1233" t="str">
        <f t="shared" si="8"/>
        <v>公共部分装修</v>
      </c>
      <c r="R36" s="1234" t="s">
        <v>8</v>
      </c>
      <c r="S36" s="1235">
        <f t="shared" si="9"/>
        <v>100</v>
      </c>
      <c r="T36" s="1234" t="s">
        <v>8</v>
      </c>
      <c r="U36" s="1235">
        <f t="shared" si="10"/>
        <v>100</v>
      </c>
      <c r="V36" s="1234" t="s">
        <v>8</v>
      </c>
      <c r="W36" s="1235">
        <f t="shared" si="11"/>
        <v>100</v>
      </c>
      <c r="X36" s="1228"/>
      <c r="Y36" s="4231"/>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231"/>
      <c r="Q37" s="929" t="str">
        <f t="shared" si="8"/>
        <v>成新度</v>
      </c>
      <c r="R37" s="1229" t="s">
        <v>8</v>
      </c>
      <c r="S37" s="1230" t="e">
        <f t="shared" si="9"/>
        <v>#N/A</v>
      </c>
      <c r="T37" s="1229" t="s">
        <v>8</v>
      </c>
      <c r="U37" s="1230" t="e">
        <f t="shared" si="10"/>
        <v>#N/A</v>
      </c>
      <c r="V37" s="1229" t="s">
        <v>8</v>
      </c>
      <c r="W37" s="1230" t="e">
        <f t="shared" si="11"/>
        <v>#N/A</v>
      </c>
      <c r="X37" s="1231"/>
      <c r="Y37" s="4231"/>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231" t="s">
        <v>499</v>
      </c>
      <c r="Q38" s="1233" t="str">
        <f t="shared" si="8"/>
        <v>物业管理</v>
      </c>
      <c r="R38" s="1234" t="s">
        <v>8</v>
      </c>
      <c r="S38" s="1235">
        <f t="shared" si="9"/>
        <v>100</v>
      </c>
      <c r="T38" s="1234" t="s">
        <v>8</v>
      </c>
      <c r="U38" s="1235">
        <f t="shared" si="10"/>
        <v>100</v>
      </c>
      <c r="V38" s="1234" t="s">
        <v>8</v>
      </c>
      <c r="W38" s="1235">
        <f t="shared" si="11"/>
        <v>100</v>
      </c>
      <c r="X38" s="1228"/>
      <c r="Y38" s="4231"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231"/>
      <c r="Q39" s="1233" t="str">
        <f t="shared" si="8"/>
        <v>市政基础设施</v>
      </c>
      <c r="R39" s="1234" t="s">
        <v>8</v>
      </c>
      <c r="S39" s="1235">
        <f t="shared" si="9"/>
        <v>100</v>
      </c>
      <c r="T39" s="1234" t="s">
        <v>8</v>
      </c>
      <c r="U39" s="1235">
        <f t="shared" si="10"/>
        <v>100</v>
      </c>
      <c r="V39" s="1234" t="s">
        <v>8</v>
      </c>
      <c r="W39" s="1235">
        <f t="shared" si="11"/>
        <v>100</v>
      </c>
      <c r="X39" s="1228"/>
      <c r="Y39" s="4231"/>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231"/>
      <c r="Q40" s="1233" t="str">
        <f t="shared" si="8"/>
        <v>房型</v>
      </c>
      <c r="R40" s="1234" t="s">
        <v>8</v>
      </c>
      <c r="S40" s="1235">
        <f t="shared" si="9"/>
        <v>100</v>
      </c>
      <c r="T40" s="1234" t="s">
        <v>8</v>
      </c>
      <c r="U40" s="1235">
        <f t="shared" si="10"/>
        <v>100</v>
      </c>
      <c r="V40" s="1234" t="s">
        <v>8</v>
      </c>
      <c r="W40" s="1235">
        <f t="shared" si="11"/>
        <v>100</v>
      </c>
      <c r="X40" s="1228"/>
      <c r="Y40" s="4231"/>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231"/>
      <c r="Q41" s="1260" t="str">
        <f t="shared" si="8"/>
        <v>单套/主力户型建筑面积</v>
      </c>
      <c r="R41" s="1238" t="s">
        <v>8</v>
      </c>
      <c r="S41" s="1239">
        <f t="shared" si="9"/>
        <v>100</v>
      </c>
      <c r="T41" s="1238" t="s">
        <v>8</v>
      </c>
      <c r="U41" s="1239">
        <f t="shared" si="10"/>
        <v>100</v>
      </c>
      <c r="V41" s="1238" t="s">
        <v>8</v>
      </c>
      <c r="W41" s="1239">
        <f t="shared" si="11"/>
        <v>100</v>
      </c>
      <c r="X41" s="1240"/>
      <c r="Y41" s="4231"/>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231"/>
      <c r="Q42" s="1233" t="str">
        <f t="shared" si="8"/>
        <v>内部装修</v>
      </c>
      <c r="R42" s="1234" t="s">
        <v>8</v>
      </c>
      <c r="S42" s="1235">
        <f t="shared" si="9"/>
        <v>100</v>
      </c>
      <c r="T42" s="1234" t="s">
        <v>8</v>
      </c>
      <c r="U42" s="1235">
        <f t="shared" si="10"/>
        <v>100</v>
      </c>
      <c r="V42" s="1234" t="s">
        <v>8</v>
      </c>
      <c r="W42" s="1235">
        <f t="shared" si="11"/>
        <v>100</v>
      </c>
      <c r="X42" s="1228"/>
      <c r="Y42" s="4231"/>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231"/>
      <c r="Q43" s="1233" t="str">
        <f t="shared" si="8"/>
        <v>内部装修维护情况</v>
      </c>
      <c r="R43" s="1234" t="s">
        <v>8</v>
      </c>
      <c r="S43" s="1235">
        <f t="shared" si="9"/>
        <v>100</v>
      </c>
      <c r="T43" s="1234" t="s">
        <v>8</v>
      </c>
      <c r="U43" s="1235">
        <f t="shared" si="10"/>
        <v>100</v>
      </c>
      <c r="V43" s="1234" t="s">
        <v>8</v>
      </c>
      <c r="W43" s="1235">
        <f t="shared" si="11"/>
        <v>100</v>
      </c>
      <c r="X43" s="1228"/>
      <c r="Y43" s="4231"/>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231"/>
      <c r="Q44" s="929">
        <f t="shared" si="8"/>
        <v>111</v>
      </c>
      <c r="R44" s="1229" t="s">
        <v>8</v>
      </c>
      <c r="S44" s="1230">
        <f t="shared" si="9"/>
        <v>100</v>
      </c>
      <c r="T44" s="1229" t="s">
        <v>8</v>
      </c>
      <c r="U44" s="1230">
        <f t="shared" si="10"/>
        <v>100</v>
      </c>
      <c r="V44" s="1229" t="s">
        <v>8</v>
      </c>
      <c r="W44" s="1230">
        <f t="shared" si="11"/>
        <v>100</v>
      </c>
      <c r="X44" s="1231"/>
      <c r="Y44" s="4231"/>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231"/>
      <c r="Q45" s="1233">
        <f t="shared" si="8"/>
        <v>111</v>
      </c>
      <c r="R45" s="1234" t="s">
        <v>8</v>
      </c>
      <c r="S45" s="1235">
        <f t="shared" si="9"/>
        <v>100</v>
      </c>
      <c r="T45" s="1234" t="s">
        <v>8</v>
      </c>
      <c r="U45" s="1235">
        <f t="shared" si="10"/>
        <v>100</v>
      </c>
      <c r="V45" s="1234" t="s">
        <v>8</v>
      </c>
      <c r="W45" s="1235">
        <f t="shared" si="11"/>
        <v>100</v>
      </c>
      <c r="X45" s="1228"/>
      <c r="Y45" s="4231"/>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89"/>
      <c r="Q46" s="1233">
        <f t="shared" si="8"/>
        <v>111</v>
      </c>
      <c r="R46" s="1234" t="s">
        <v>7</v>
      </c>
      <c r="S46" s="1235">
        <f t="shared" si="9"/>
        <v>100</v>
      </c>
      <c r="T46" s="1234" t="s">
        <v>7</v>
      </c>
      <c r="U46" s="1235">
        <f t="shared" si="10"/>
        <v>100</v>
      </c>
      <c r="V46" s="1234" t="s">
        <v>7</v>
      </c>
      <c r="W46" s="1235">
        <f t="shared" si="11"/>
        <v>100</v>
      </c>
      <c r="X46" s="1228"/>
      <c r="Y46" s="4289"/>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195" t="str">
        <f>A47</f>
        <v>成交单价（元/平方米）</v>
      </c>
      <c r="Q47" s="4195"/>
      <c r="R47" s="4287">
        <f>E47</f>
        <v>0</v>
      </c>
      <c r="S47" s="4287"/>
      <c r="T47" s="4287">
        <f>G47</f>
        <v>0</v>
      </c>
      <c r="U47" s="4287"/>
      <c r="V47" s="4287">
        <f>I47</f>
        <v>0</v>
      </c>
      <c r="W47" s="4287"/>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195" t="str">
        <f>A48</f>
        <v>比较价格（元/平方米）</v>
      </c>
      <c r="Q48" s="4195"/>
      <c r="R48" s="4287" t="e">
        <f>IF(F1="售价",ROUND(PRODUCT(R47,AA7:AA46),0),ROUND(PRODUCT(R47,AA7:AA46),1))</f>
        <v>#DIV/0!</v>
      </c>
      <c r="S48" s="4287"/>
      <c r="T48" s="4287" t="e">
        <f>IF(F1="售价",ROUND(PRODUCT(T47,AB7:AB46),0),ROUND(PRODUCT(T47,AB7:AB46),1))</f>
        <v>#DIV/0!</v>
      </c>
      <c r="U48" s="4287"/>
      <c r="V48" s="4287" t="e">
        <f>IF(F1="售价",ROUND(PRODUCT(V47,AC7:AC46),0),ROUND(PRODUCT(V47,AC7:AC46),1))</f>
        <v>#DIV/0!</v>
      </c>
      <c r="W48" s="4287"/>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232" t="str">
        <f>A49</f>
        <v>估价对象XX用房的比较价格（楼面单价，元/平方米）</v>
      </c>
      <c r="Q49" s="4233"/>
      <c r="R49" s="4288" t="e">
        <f>IF(F1="售价",ROUND(IF(D48="简单平均",AVERAGE(R48:V48),R48*F48+T48*H48+V48*J48),0),ROUND(IF(D48="简单平均",AVERAGE(R48:V48),R48*F48+T48*H48+V48*J48),1))</f>
        <v>#DIV/0!</v>
      </c>
      <c r="S49" s="4288"/>
      <c r="T49" s="4288"/>
      <c r="U49" s="4288"/>
      <c r="V49" s="4288"/>
      <c r="W49" s="4288"/>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F00-000000000000}">
      <formula1>环境</formula1>
    </dataValidation>
    <dataValidation type="list" allowBlank="1" showInputMessage="1" showErrorMessage="1" sqref="E16 G16 I16 C16" xr:uid="{00000000-0002-0000-2F00-000001000000}">
      <formula1>居住社区成熟度</formula1>
    </dataValidation>
    <dataValidation type="list" allowBlank="1" showInputMessage="1" showErrorMessage="1" sqref="E18 G18 I18 C18" xr:uid="{00000000-0002-0000-2F00-000002000000}">
      <formula1>交通便捷度</formula1>
    </dataValidation>
    <dataValidation type="list" allowBlank="1" showInputMessage="1" showErrorMessage="1" sqref="C20 G20 I20 E20" xr:uid="{00000000-0002-0000-2F00-000003000000}">
      <formula1>公共配套设施</formula1>
    </dataValidation>
    <dataValidation type="list" allowBlank="1" showInputMessage="1" showErrorMessage="1" sqref="E25 G25 I25 C25" xr:uid="{00000000-0002-0000-2F00-000004000000}">
      <formula1>住宅楼层</formula1>
    </dataValidation>
    <dataValidation type="list" allowBlank="1" showInputMessage="1" showErrorMessage="1" sqref="E26 G26 I26 C26" xr:uid="{00000000-0002-0000-2F00-000005000000}">
      <formula1>住宅朝向</formula1>
    </dataValidation>
    <dataValidation type="list" allowBlank="1" showInputMessage="1" showErrorMessage="1" sqref="E32 G32 I32 C32" xr:uid="{00000000-0002-0000-2F00-000006000000}">
      <formula1>住宅建筑类型</formula1>
    </dataValidation>
    <dataValidation type="list" allowBlank="1" showInputMessage="1" showErrorMessage="1" sqref="E34 G34 I34 C34" xr:uid="{00000000-0002-0000-2F00-000007000000}">
      <formula1>住宅建筑结构</formula1>
    </dataValidation>
    <dataValidation type="list" allowBlank="1" showInputMessage="1" showErrorMessage="1" sqref="E35 G35 I35 C35" xr:uid="{00000000-0002-0000-2F00-000008000000}">
      <formula1>住宅建筑品质</formula1>
    </dataValidation>
    <dataValidation type="list" allowBlank="1" showInputMessage="1" showErrorMessage="1" sqref="E36 G36 I36 C36" xr:uid="{00000000-0002-0000-2F00-000009000000}">
      <formula1>住宅公共部分装修</formula1>
    </dataValidation>
    <dataValidation type="list" allowBlank="1" showInputMessage="1" showErrorMessage="1" sqref="E38 G38 I38 C38" xr:uid="{00000000-0002-0000-2F00-00000A000000}">
      <formula1>住宅物业管理</formula1>
    </dataValidation>
    <dataValidation type="list" allowBlank="1" showInputMessage="1" showErrorMessage="1" sqref="E39 G39 I39 C39" xr:uid="{00000000-0002-0000-2F00-00000B000000}">
      <formula1>住宅基础设施水平</formula1>
    </dataValidation>
    <dataValidation type="list" allowBlank="1" showInputMessage="1" showErrorMessage="1" sqref="E40 G40 I40 C40" xr:uid="{00000000-0002-0000-2F00-00000C000000}">
      <formula1>住宅房型</formula1>
    </dataValidation>
    <dataValidation type="list" allowBlank="1" showInputMessage="1" showErrorMessage="1" sqref="E42 G42 I42 C42" xr:uid="{00000000-0002-0000-2F00-00000D000000}">
      <formula1>住宅内部装修</formula1>
    </dataValidation>
    <dataValidation type="list" allowBlank="1" showInputMessage="1" showErrorMessage="1" sqref="E43 G43 I43 C43" xr:uid="{00000000-0002-0000-2F00-00000E000000}">
      <formula1>内部装修维护情况</formula1>
    </dataValidation>
    <dataValidation type="list" allowBlank="1" showInputMessage="1" showErrorMessage="1" sqref="E8 G8 I8 C8" xr:uid="{00000000-0002-0000-2F00-00000F000000}">
      <formula1>住宅交易情况</formula1>
    </dataValidation>
    <dataValidation type="list" allowBlank="1" showInputMessage="1" showErrorMessage="1" sqref="D1" xr:uid="{00000000-0002-0000-2F00-000010000000}">
      <formula1>项目类型</formula1>
    </dataValidation>
    <dataValidation type="list" allowBlank="1" showInputMessage="1" showErrorMessage="1" sqref="E9 G9 I9" xr:uid="{00000000-0002-0000-2F00-000011000000}">
      <formula1>住宅用途</formula1>
    </dataValidation>
    <dataValidation type="list" allowBlank="1" showInputMessage="1" showErrorMessage="1" sqref="C22 E22 G22 I22" xr:uid="{00000000-0002-0000-2F00-000012000000}">
      <formula1>基础设施水平</formula1>
    </dataValidation>
    <dataValidation type="list" allowBlank="1" showInputMessage="1" showErrorMessage="1" sqref="F1" xr:uid="{00000000-0002-0000-2F00-000013000000}">
      <formula1>"售价,租金"</formula1>
    </dataValidation>
    <dataValidation type="list" allowBlank="1" showInputMessage="1" showErrorMessage="1" sqref="D48" xr:uid="{00000000-0002-0000-2F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201" t="s">
        <v>471</v>
      </c>
      <c r="D4" s="4202"/>
      <c r="E4" s="4240" t="s">
        <v>472</v>
      </c>
      <c r="F4" s="4241"/>
      <c r="G4" s="4201" t="s">
        <v>473</v>
      </c>
      <c r="H4" s="4202"/>
      <c r="I4" s="4201" t="s">
        <v>474</v>
      </c>
      <c r="J4" s="4202"/>
      <c r="K4" s="372"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9" t="s">
        <v>473</v>
      </c>
      <c r="AC4" s="4198" t="s">
        <v>474</v>
      </c>
    </row>
    <row r="5" spans="1:29" ht="15">
      <c r="A5" s="373"/>
      <c r="B5" s="374"/>
      <c r="C5" s="4217" t="s">
        <v>2100</v>
      </c>
      <c r="D5" s="4218"/>
      <c r="E5" s="4242" t="s">
        <v>2101</v>
      </c>
      <c r="F5" s="4243"/>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SUMIF(52:52,YEAR(E7)&amp;"-"&amp;MONTH(E7),53:53)</f>
        <v>0</v>
      </c>
      <c r="G7" s="379"/>
      <c r="H7" s="378">
        <f>SUMIF(52:52,YEAR(G7)&amp;"-"&amp;MONTH(G7),53:53)</f>
        <v>0</v>
      </c>
      <c r="I7" s="379"/>
      <c r="J7" s="378">
        <f>SUMIF(52:52,YEAR(I7)&amp;"-"&amp;MONTH(I7),53:53)</f>
        <v>0</v>
      </c>
      <c r="K7" s="382"/>
      <c r="L7" s="1655"/>
      <c r="M7" s="1656"/>
      <c r="N7" s="1656"/>
      <c r="O7" s="1656"/>
      <c r="P7" s="4225" t="s">
        <v>479</v>
      </c>
      <c r="Q7" s="4227"/>
      <c r="R7" s="1229" t="s">
        <v>5</v>
      </c>
      <c r="S7" s="1230">
        <f t="shared" ref="S7:S15" si="0">F7</f>
        <v>0</v>
      </c>
      <c r="T7" s="1229" t="s">
        <v>5</v>
      </c>
      <c r="U7" s="1230">
        <f t="shared" ref="U7:U15" si="1">H7</f>
        <v>0</v>
      </c>
      <c r="V7" s="1229" t="s">
        <v>5</v>
      </c>
      <c r="W7" s="1230">
        <f t="shared" ref="W7:W15"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195"/>
      <c r="Q11" s="929" t="str">
        <f t="shared" si="6"/>
        <v>容积率</v>
      </c>
      <c r="R11" s="1229" t="s">
        <v>5</v>
      </c>
      <c r="S11" s="1230" t="e">
        <f t="shared" si="0"/>
        <v>#N/A</v>
      </c>
      <c r="T11" s="1229" t="s">
        <v>5</v>
      </c>
      <c r="U11" s="1230" t="e">
        <f t="shared" si="1"/>
        <v>#N/A</v>
      </c>
      <c r="V11" s="1229" t="s">
        <v>5</v>
      </c>
      <c r="W11" s="1230" t="e">
        <f t="shared" si="2"/>
        <v>#N/A</v>
      </c>
      <c r="X11" s="1231"/>
      <c r="Y11" s="4076"/>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228" t="s">
        <v>489</v>
      </c>
      <c r="Q15" s="1233" t="str">
        <f t="shared" si="6"/>
        <v>产业集聚程度</v>
      </c>
      <c r="R15" s="1234" t="s">
        <v>5</v>
      </c>
      <c r="S15" s="1235">
        <f t="shared" si="0"/>
        <v>100</v>
      </c>
      <c r="T15" s="1234" t="s">
        <v>5</v>
      </c>
      <c r="U15" s="1235">
        <f t="shared" si="1"/>
        <v>100</v>
      </c>
      <c r="V15" s="1234" t="s">
        <v>5</v>
      </c>
      <c r="W15" s="1235">
        <f t="shared" si="2"/>
        <v>100</v>
      </c>
      <c r="X15" s="1228"/>
      <c r="Y15" s="4228"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229"/>
      <c r="Q17" s="1233" t="str">
        <f>B17</f>
        <v>交通便捷度</v>
      </c>
      <c r="R17" s="1234" t="s">
        <v>5</v>
      </c>
      <c r="S17" s="1235">
        <f>F17</f>
        <v>100</v>
      </c>
      <c r="T17" s="1234" t="s">
        <v>5</v>
      </c>
      <c r="U17" s="1235">
        <f>H17</f>
        <v>100</v>
      </c>
      <c r="V17" s="1234" t="s">
        <v>5</v>
      </c>
      <c r="W17" s="1235">
        <f>J17</f>
        <v>100</v>
      </c>
      <c r="X17" s="1228"/>
      <c r="Y17" s="4229"/>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229"/>
      <c r="Q22" s="1958"/>
      <c r="R22" s="1234"/>
      <c r="S22" s="1235"/>
      <c r="T22" s="1234"/>
      <c r="U22" s="1235"/>
      <c r="V22" s="1234"/>
      <c r="W22" s="1235"/>
      <c r="X22" s="1960"/>
      <c r="Y22" s="4229"/>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229"/>
      <c r="Q23" s="1233" t="str">
        <f>B23</f>
        <v>环境质量</v>
      </c>
      <c r="R23" s="1234" t="s">
        <v>5</v>
      </c>
      <c r="S23" s="1235">
        <f>F23</f>
        <v>100</v>
      </c>
      <c r="T23" s="1234" t="s">
        <v>5</v>
      </c>
      <c r="U23" s="1235">
        <f>H23</f>
        <v>100</v>
      </c>
      <c r="V23" s="1234" t="s">
        <v>5</v>
      </c>
      <c r="W23" s="1235">
        <f>J23</f>
        <v>100</v>
      </c>
      <c r="X23" s="1228"/>
      <c r="Y23" s="4229"/>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229"/>
      <c r="Q25" s="1233">
        <f>B25</f>
        <v>111</v>
      </c>
      <c r="R25" s="1234" t="s">
        <v>5</v>
      </c>
      <c r="S25" s="1235">
        <f>F25</f>
        <v>100</v>
      </c>
      <c r="T25" s="1234" t="s">
        <v>5</v>
      </c>
      <c r="U25" s="1235">
        <f>H25</f>
        <v>100</v>
      </c>
      <c r="V25" s="1234" t="s">
        <v>5</v>
      </c>
      <c r="W25" s="1235">
        <f>J25</f>
        <v>100</v>
      </c>
      <c r="X25" s="1228"/>
      <c r="Y25" s="4229"/>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229"/>
      <c r="Q26" s="1233">
        <f t="shared" ref="Q26:Q40" si="8">B26</f>
        <v>111</v>
      </c>
      <c r="R26" s="1234" t="s">
        <v>5</v>
      </c>
      <c r="S26" s="1235">
        <f>F26</f>
        <v>100</v>
      </c>
      <c r="T26" s="1234" t="s">
        <v>5</v>
      </c>
      <c r="U26" s="1235">
        <f>H26</f>
        <v>100</v>
      </c>
      <c r="V26" s="1234" t="s">
        <v>5</v>
      </c>
      <c r="W26" s="1235">
        <f>J26</f>
        <v>100</v>
      </c>
      <c r="X26" s="1228"/>
      <c r="Y26" s="4229"/>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229"/>
      <c r="Q27" s="929">
        <f t="shared" si="8"/>
        <v>111</v>
      </c>
      <c r="R27" s="1229" t="s">
        <v>5</v>
      </c>
      <c r="S27" s="1230">
        <f>F27</f>
        <v>100</v>
      </c>
      <c r="T27" s="1229" t="s">
        <v>5</v>
      </c>
      <c r="U27" s="1230">
        <f>H27</f>
        <v>100</v>
      </c>
      <c r="V27" s="1229" t="s">
        <v>5</v>
      </c>
      <c r="W27" s="1230">
        <f>J27</f>
        <v>100</v>
      </c>
      <c r="X27" s="1231"/>
      <c r="Y27" s="4229"/>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229"/>
      <c r="Q28" s="1233">
        <f t="shared" si="8"/>
        <v>111</v>
      </c>
      <c r="R28" s="1234" t="s">
        <v>5</v>
      </c>
      <c r="S28" s="1235">
        <f t="shared" ref="S28:S40" si="9">F28</f>
        <v>100</v>
      </c>
      <c r="T28" s="1234" t="s">
        <v>5</v>
      </c>
      <c r="U28" s="1235">
        <f t="shared" ref="U28:U40" si="10">H28</f>
        <v>100</v>
      </c>
      <c r="V28" s="1234" t="s">
        <v>5</v>
      </c>
      <c r="W28" s="1235">
        <f t="shared" ref="W28:W40" si="11">J28</f>
        <v>100</v>
      </c>
      <c r="X28" s="1228"/>
      <c r="Y28" s="4229"/>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230" t="s">
        <v>499</v>
      </c>
      <c r="Q29" s="1233" t="str">
        <f t="shared" si="8"/>
        <v>建筑类型</v>
      </c>
      <c r="R29" s="1234" t="s">
        <v>5</v>
      </c>
      <c r="S29" s="1235">
        <f t="shared" si="9"/>
        <v>100</v>
      </c>
      <c r="T29" s="1234" t="s">
        <v>5</v>
      </c>
      <c r="U29" s="1235">
        <f t="shared" si="10"/>
        <v>100</v>
      </c>
      <c r="V29" s="1234" t="s">
        <v>5</v>
      </c>
      <c r="W29" s="1235">
        <f t="shared" si="11"/>
        <v>100</v>
      </c>
      <c r="X29" s="1228"/>
      <c r="Y29" s="4231"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231"/>
      <c r="Q30" s="1260" t="str">
        <f t="shared" si="8"/>
        <v>项目建筑规模</v>
      </c>
      <c r="R30" s="1238" t="s">
        <v>5</v>
      </c>
      <c r="S30" s="1239" t="e">
        <f t="shared" si="9"/>
        <v>#N/A</v>
      </c>
      <c r="T30" s="1238" t="s">
        <v>5</v>
      </c>
      <c r="U30" s="1239" t="e">
        <f t="shared" si="10"/>
        <v>#N/A</v>
      </c>
      <c r="V30" s="1238" t="s">
        <v>5</v>
      </c>
      <c r="W30" s="1239" t="e">
        <f t="shared" si="11"/>
        <v>#N/A</v>
      </c>
      <c r="X30" s="1240"/>
      <c r="Y30" s="4231"/>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231"/>
      <c r="Q31" s="1233" t="str">
        <f t="shared" si="8"/>
        <v>建筑结构</v>
      </c>
      <c r="R31" s="1234" t="s">
        <v>5</v>
      </c>
      <c r="S31" s="1235">
        <f t="shared" si="9"/>
        <v>100</v>
      </c>
      <c r="T31" s="1234" t="s">
        <v>5</v>
      </c>
      <c r="U31" s="1235">
        <f t="shared" si="10"/>
        <v>100</v>
      </c>
      <c r="V31" s="1234" t="s">
        <v>5</v>
      </c>
      <c r="W31" s="1235">
        <f t="shared" si="11"/>
        <v>100</v>
      </c>
      <c r="X31" s="1228"/>
      <c r="Y31" s="4231"/>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231"/>
      <c r="Q32" s="1233" t="str">
        <f t="shared" si="8"/>
        <v>公共部分装修</v>
      </c>
      <c r="R32" s="1234" t="s">
        <v>5</v>
      </c>
      <c r="S32" s="1235">
        <f t="shared" si="9"/>
        <v>100</v>
      </c>
      <c r="T32" s="1234" t="s">
        <v>5</v>
      </c>
      <c r="U32" s="1235">
        <f t="shared" si="10"/>
        <v>100</v>
      </c>
      <c r="V32" s="1234" t="s">
        <v>5</v>
      </c>
      <c r="W32" s="1235">
        <f t="shared" si="11"/>
        <v>100</v>
      </c>
      <c r="X32" s="1228"/>
      <c r="Y32" s="4231"/>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231"/>
      <c r="Q33" s="1233" t="str">
        <f t="shared" si="8"/>
        <v>成新度</v>
      </c>
      <c r="R33" s="1234" t="s">
        <v>5</v>
      </c>
      <c r="S33" s="1235" t="e">
        <f t="shared" si="9"/>
        <v>#N/A</v>
      </c>
      <c r="T33" s="1234" t="s">
        <v>5</v>
      </c>
      <c r="U33" s="1235" t="e">
        <f t="shared" si="10"/>
        <v>#N/A</v>
      </c>
      <c r="V33" s="1234" t="s">
        <v>5</v>
      </c>
      <c r="W33" s="1235" t="e">
        <f t="shared" si="11"/>
        <v>#N/A</v>
      </c>
      <c r="X33" s="1228"/>
      <c r="Y33" s="4231"/>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231"/>
      <c r="Q34" s="929" t="str">
        <f t="shared" si="8"/>
        <v>物业管理</v>
      </c>
      <c r="R34" s="1229" t="s">
        <v>5</v>
      </c>
      <c r="S34" s="1230">
        <f t="shared" si="9"/>
        <v>100</v>
      </c>
      <c r="T34" s="1229" t="s">
        <v>5</v>
      </c>
      <c r="U34" s="1230">
        <f t="shared" si="10"/>
        <v>100</v>
      </c>
      <c r="V34" s="1229" t="s">
        <v>5</v>
      </c>
      <c r="W34" s="1230">
        <f t="shared" si="11"/>
        <v>100</v>
      </c>
      <c r="X34" s="1231"/>
      <c r="Y34" s="4231"/>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231" t="s">
        <v>499</v>
      </c>
      <c r="Q35" s="1233" t="str">
        <f t="shared" si="8"/>
        <v>市政基础设施</v>
      </c>
      <c r="R35" s="1234" t="s">
        <v>5</v>
      </c>
      <c r="S35" s="1235">
        <f t="shared" si="9"/>
        <v>100</v>
      </c>
      <c r="T35" s="1234" t="s">
        <v>5</v>
      </c>
      <c r="U35" s="1235">
        <f t="shared" si="10"/>
        <v>100</v>
      </c>
      <c r="V35" s="1234" t="s">
        <v>5</v>
      </c>
      <c r="W35" s="1235">
        <f t="shared" si="11"/>
        <v>100</v>
      </c>
      <c r="X35" s="1228"/>
      <c r="Y35" s="4231"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231"/>
      <c r="Q36" s="1233" t="str">
        <f t="shared" si="8"/>
        <v>内部装修</v>
      </c>
      <c r="R36" s="1234" t="s">
        <v>5</v>
      </c>
      <c r="S36" s="1235">
        <f t="shared" si="9"/>
        <v>100</v>
      </c>
      <c r="T36" s="1234" t="s">
        <v>5</v>
      </c>
      <c r="U36" s="1235">
        <f t="shared" si="10"/>
        <v>100</v>
      </c>
      <c r="V36" s="1234" t="s">
        <v>5</v>
      </c>
      <c r="W36" s="1235">
        <f t="shared" si="11"/>
        <v>100</v>
      </c>
      <c r="X36" s="1228"/>
      <c r="Y36" s="4231"/>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231"/>
      <c r="Q37" s="1233" t="str">
        <f t="shared" si="8"/>
        <v>内部装修状况</v>
      </c>
      <c r="R37" s="1234" t="s">
        <v>5</v>
      </c>
      <c r="S37" s="1235">
        <f t="shared" si="9"/>
        <v>100</v>
      </c>
      <c r="T37" s="1234" t="s">
        <v>5</v>
      </c>
      <c r="U37" s="1235">
        <f t="shared" si="10"/>
        <v>100</v>
      </c>
      <c r="V37" s="1234" t="s">
        <v>5</v>
      </c>
      <c r="W37" s="1235">
        <f t="shared" si="11"/>
        <v>100</v>
      </c>
      <c r="X37" s="1228"/>
      <c r="Y37" s="4231"/>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231"/>
      <c r="Q38" s="1260">
        <f t="shared" si="8"/>
        <v>111</v>
      </c>
      <c r="R38" s="1238" t="s">
        <v>5</v>
      </c>
      <c r="S38" s="1239">
        <f t="shared" si="9"/>
        <v>100</v>
      </c>
      <c r="T38" s="1238" t="s">
        <v>5</v>
      </c>
      <c r="U38" s="1239">
        <f t="shared" si="10"/>
        <v>100</v>
      </c>
      <c r="V38" s="1238" t="s">
        <v>5</v>
      </c>
      <c r="W38" s="1239">
        <f t="shared" si="11"/>
        <v>100</v>
      </c>
      <c r="X38" s="1240"/>
      <c r="Y38" s="4231"/>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231"/>
      <c r="Q39" s="1233">
        <f t="shared" si="8"/>
        <v>111</v>
      </c>
      <c r="R39" s="1234" t="s">
        <v>5</v>
      </c>
      <c r="S39" s="1235">
        <f t="shared" si="9"/>
        <v>100</v>
      </c>
      <c r="T39" s="1234" t="s">
        <v>5</v>
      </c>
      <c r="U39" s="1235">
        <f t="shared" si="10"/>
        <v>100</v>
      </c>
      <c r="V39" s="1234" t="s">
        <v>5</v>
      </c>
      <c r="W39" s="1235">
        <f t="shared" si="11"/>
        <v>100</v>
      </c>
      <c r="X39" s="1228"/>
      <c r="Y39" s="4231"/>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89"/>
      <c r="Q40" s="1233">
        <f t="shared" si="8"/>
        <v>111</v>
      </c>
      <c r="R40" s="1234" t="s">
        <v>5</v>
      </c>
      <c r="S40" s="1235">
        <f t="shared" si="9"/>
        <v>100</v>
      </c>
      <c r="T40" s="1234" t="s">
        <v>5</v>
      </c>
      <c r="U40" s="1235">
        <f t="shared" si="10"/>
        <v>100</v>
      </c>
      <c r="V40" s="1234" t="s">
        <v>5</v>
      </c>
      <c r="W40" s="1235">
        <f t="shared" si="11"/>
        <v>100</v>
      </c>
      <c r="X40" s="1228"/>
      <c r="Y40" s="4289"/>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195" t="str">
        <f>A41</f>
        <v>成交单价（元/平方米）</v>
      </c>
      <c r="Q41" s="4195"/>
      <c r="R41" s="4287">
        <f>E41</f>
        <v>0</v>
      </c>
      <c r="S41" s="4287"/>
      <c r="T41" s="4287">
        <f>G41</f>
        <v>0</v>
      </c>
      <c r="U41" s="4287"/>
      <c r="V41" s="4287">
        <f>I41</f>
        <v>0</v>
      </c>
      <c r="W41" s="4287"/>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195" t="str">
        <f>A42</f>
        <v>比较价格（元/平方米）</v>
      </c>
      <c r="Q42" s="4195"/>
      <c r="R42" s="4287" t="e">
        <f>IF(F1="售价",ROUND(PRODUCT(R41,AA7:AA40),0),ROUND(PRODUCT(R41,AA7:AA40),1))</f>
        <v>#DIV/0!</v>
      </c>
      <c r="S42" s="4287"/>
      <c r="T42" s="4287" t="e">
        <f>IF(F1="售价",ROUND(PRODUCT(T41,AB7:AB40),0),ROUND(PRODUCT(T41,AB7:AB40),1))</f>
        <v>#DIV/0!</v>
      </c>
      <c r="U42" s="4287"/>
      <c r="V42" s="4287" t="e">
        <f>IF(F1="售价",ROUND(PRODUCT(V41,AC7:AC40),0),ROUND(PRODUCT(V41,AC7:AC40),1))</f>
        <v>#DIV/0!</v>
      </c>
      <c r="W42" s="4287"/>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232" t="str">
        <f>A43</f>
        <v>估价对象XX用房的比较价格（楼面单价，元/平方米）</v>
      </c>
      <c r="Q43" s="4233"/>
      <c r="R43" s="4288" t="e">
        <f>IF(F1="售价",ROUND(IF(D42="简单平均",AVERAGE(R42:V42),R42*F42+T42*H42+V42*J42),0),ROUND(IF(D42="简单平均",AVERAGE(R42:V42),R42*F42+T42*H42+V42*J42),1))</f>
        <v>#DIV/0!</v>
      </c>
      <c r="S43" s="4288"/>
      <c r="T43" s="4288"/>
      <c r="U43" s="4288"/>
      <c r="V43" s="4288"/>
      <c r="W43" s="4288"/>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000-000000000000}">
      <formula1>项目类型</formula1>
    </dataValidation>
    <dataValidation type="list" allowBlank="1" showInputMessage="1" showErrorMessage="1" sqref="C20 G20 I20 E20" xr:uid="{00000000-0002-0000-3000-000001000000}">
      <formula1>公共配套设施</formula1>
    </dataValidation>
    <dataValidation type="list" allowBlank="1" showInputMessage="1" showErrorMessage="1" sqref="E18 G18 I18 C18" xr:uid="{00000000-0002-0000-3000-000002000000}">
      <formula1>交通便捷度</formula1>
    </dataValidation>
    <dataValidation type="list" allowBlank="1" showInputMessage="1" showErrorMessage="1" sqref="E24 G24 I24 C24" xr:uid="{00000000-0002-0000-3000-000003000000}">
      <formula1>环境</formula1>
    </dataValidation>
    <dataValidation type="list" allowBlank="1" showInputMessage="1" showErrorMessage="1" sqref="C8 E8 G8 I8" xr:uid="{00000000-0002-0000-3000-000004000000}">
      <formula1>工业交易情况</formula1>
    </dataValidation>
    <dataValidation type="list" allowBlank="1" showInputMessage="1" showErrorMessage="1" sqref="E9 G9 I9" xr:uid="{00000000-0002-0000-3000-000005000000}">
      <formula1>工业用途</formula1>
    </dataValidation>
    <dataValidation type="list" allowBlank="1" showInputMessage="1" showErrorMessage="1" sqref="C29 E29 G29 I29" xr:uid="{00000000-0002-0000-3000-000006000000}">
      <formula1>工业建筑类型</formula1>
    </dataValidation>
    <dataValidation type="list" allowBlank="1" showInputMessage="1" showErrorMessage="1" sqref="C31 E31 G31 I31" xr:uid="{00000000-0002-0000-3000-000007000000}">
      <formula1>工业建筑结构</formula1>
    </dataValidation>
    <dataValidation type="list" allowBlank="1" showInputMessage="1" showErrorMessage="1" sqref="C32 E32 G32 I32" xr:uid="{00000000-0002-0000-3000-000008000000}">
      <formula1>工业公共部分装修</formula1>
    </dataValidation>
    <dataValidation type="list" allowBlank="1" showInputMessage="1" showErrorMessage="1" sqref="C34 E34 G34 I34" xr:uid="{00000000-0002-0000-3000-000009000000}">
      <formula1>工业物业管理</formula1>
    </dataValidation>
    <dataValidation type="list" allowBlank="1" showInputMessage="1" showErrorMessage="1" sqref="C35 E35 G35 I35" xr:uid="{00000000-0002-0000-3000-00000A000000}">
      <formula1>工业基础设施水平</formula1>
    </dataValidation>
    <dataValidation type="list" allowBlank="1" showInputMessage="1" showErrorMessage="1" sqref="C36 E36 G36 I36" xr:uid="{00000000-0002-0000-3000-00000B000000}">
      <formula1>工业内部装修</formula1>
    </dataValidation>
    <dataValidation type="list" allowBlank="1" showInputMessage="1" showErrorMessage="1" sqref="C37 E37 G37 I37" xr:uid="{00000000-0002-0000-3000-00000C000000}">
      <formula1>内部装修维护情况</formula1>
    </dataValidation>
    <dataValidation type="list" allowBlank="1" showInputMessage="1" showErrorMessage="1" sqref="C16 E16 G16 I16" xr:uid="{00000000-0002-0000-3000-00000D000000}">
      <formula1>产业集聚程度</formula1>
    </dataValidation>
    <dataValidation type="list" allowBlank="1" showInputMessage="1" showErrorMessage="1" sqref="C22 E22 G22 I22" xr:uid="{00000000-0002-0000-3000-00000E000000}">
      <formula1>基础设施水平</formula1>
    </dataValidation>
    <dataValidation type="list" allowBlank="1" showInputMessage="1" showErrorMessage="1" sqref="F1" xr:uid="{00000000-0002-0000-3000-00000F000000}">
      <formula1>"售价,租金"</formula1>
    </dataValidation>
    <dataValidation type="list" allowBlank="1" showInputMessage="1" showErrorMessage="1" sqref="D42" xr:uid="{00000000-0002-0000-30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7" t="s">
        <v>1475</v>
      </c>
      <c r="B1" s="3957"/>
      <c r="C1" s="3957"/>
      <c r="D1" s="3957"/>
      <c r="E1" s="3957"/>
      <c r="F1" s="3957"/>
      <c r="G1" s="3957"/>
      <c r="H1" s="3957"/>
      <c r="I1" s="3957"/>
      <c r="J1" s="3957"/>
      <c r="K1" s="3957"/>
      <c r="L1" s="3957"/>
      <c r="M1" s="3957"/>
      <c r="N1" s="3957"/>
      <c r="O1" s="3957"/>
      <c r="P1" s="3957"/>
      <c r="Q1" s="3957"/>
      <c r="R1" s="3957"/>
    </row>
    <row r="2" spans="1:18">
      <c r="A2" s="1434" t="s">
        <v>1477</v>
      </c>
      <c r="B2" s="1434"/>
      <c r="C2" s="1434"/>
      <c r="D2" s="1434"/>
      <c r="E2" s="1434"/>
      <c r="F2" s="1434"/>
      <c r="G2" s="1434"/>
      <c r="H2" s="1434"/>
      <c r="I2" s="1435"/>
      <c r="J2" s="1435"/>
      <c r="K2" s="1436" t="str">
        <f>"估价期日："&amp;TEXT(项目基本情况!D3,"yyyy年m月d日;;")</f>
        <v>估价期日：2023年5月30日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58" t="s">
        <v>1466</v>
      </c>
      <c r="B3" s="3958" t="s">
        <v>1922</v>
      </c>
      <c r="C3" s="3959" t="s">
        <v>1467</v>
      </c>
      <c r="D3" s="3958" t="s">
        <v>1926</v>
      </c>
      <c r="E3" s="3961" t="s">
        <v>1468</v>
      </c>
      <c r="F3" s="3961"/>
      <c r="G3" s="3961"/>
      <c r="H3" s="3961" t="s">
        <v>1469</v>
      </c>
      <c r="I3" s="3961"/>
      <c r="J3" s="3961"/>
      <c r="K3" s="3959" t="s">
        <v>1470</v>
      </c>
      <c r="L3" s="3959" t="s">
        <v>1471</v>
      </c>
      <c r="M3" s="3958" t="s">
        <v>1923</v>
      </c>
      <c r="N3" s="3960" t="str">
        <f>"（分摊）"&amp;项目基本情况!A17&amp;"国有建设用地使用权面积/㎡"</f>
        <v>（分摊）出让国有建设用地使用权面积/㎡</v>
      </c>
      <c r="O3" s="3958" t="s">
        <v>1500</v>
      </c>
      <c r="P3" s="3959" t="s">
        <v>1480</v>
      </c>
      <c r="Q3" s="3959" t="s">
        <v>1501</v>
      </c>
      <c r="R3" s="3959" t="s">
        <v>1472</v>
      </c>
    </row>
    <row r="4" spans="1:18" ht="36.75" customHeight="1">
      <c r="A4" s="3958"/>
      <c r="B4" s="3958"/>
      <c r="C4" s="3959"/>
      <c r="D4" s="3958"/>
      <c r="E4" s="2014" t="s">
        <v>1479</v>
      </c>
      <c r="F4" s="2014" t="s">
        <v>1935</v>
      </c>
      <c r="G4" s="2014" t="s">
        <v>1473</v>
      </c>
      <c r="H4" s="2014" t="s">
        <v>1474</v>
      </c>
      <c r="I4" s="2014" t="s">
        <v>1936</v>
      </c>
      <c r="J4" s="2014" t="s">
        <v>1473</v>
      </c>
      <c r="K4" s="3959"/>
      <c r="L4" s="3959"/>
      <c r="M4" s="3958"/>
      <c r="N4" s="3960"/>
      <c r="O4" s="3958"/>
      <c r="P4" s="3959"/>
      <c r="Q4" s="3959"/>
      <c r="R4" s="3959"/>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32106.47</v>
      </c>
      <c r="P5" s="1437" t="e">
        <f ca="1">结果表!E42</f>
        <v>#REF!</v>
      </c>
      <c r="Q5" s="1437" t="e">
        <f ca="1">结果表!D42</f>
        <v>#REF!</v>
      </c>
      <c r="R5" s="1438" t="e">
        <f ca="1">结果表!C42</f>
        <v>#REF!</v>
      </c>
    </row>
    <row r="6" spans="1:18">
      <c r="A6" s="3962" t="str">
        <f>IF(项目基本情况!B9="市场价格","——","抵押价格")</f>
        <v>——</v>
      </c>
      <c r="B6" s="3963"/>
      <c r="C6" s="3963"/>
      <c r="D6" s="3963"/>
      <c r="E6" s="3963"/>
      <c r="F6" s="3963"/>
      <c r="G6" s="3963"/>
      <c r="H6" s="3963"/>
      <c r="I6" s="3963"/>
      <c r="J6" s="3963"/>
      <c r="K6" s="3963"/>
      <c r="L6" s="3963"/>
      <c r="M6" s="3963"/>
      <c r="N6" s="3963"/>
      <c r="O6" s="3963"/>
      <c r="P6" s="3963"/>
      <c r="Q6" s="3964"/>
      <c r="R6" s="1439" t="str">
        <f>结果表!O39</f>
        <v>——</v>
      </c>
    </row>
    <row r="7" spans="1:18">
      <c r="A7" s="3962" t="str">
        <f>IF(项目基本情况!B9="市场价格","——",IF(项目基本情况!E8="已注销及未注销","抵押担保权已注销时的抵押价格","——"))</f>
        <v>——</v>
      </c>
      <c r="B7" s="3963"/>
      <c r="C7" s="3963"/>
      <c r="D7" s="3963"/>
      <c r="E7" s="3963"/>
      <c r="F7" s="3963"/>
      <c r="G7" s="3963"/>
      <c r="H7" s="3963"/>
      <c r="I7" s="3963"/>
      <c r="J7" s="3963"/>
      <c r="K7" s="3963"/>
      <c r="L7" s="3963"/>
      <c r="M7" s="3963"/>
      <c r="N7" s="3963"/>
      <c r="O7" s="3963"/>
      <c r="P7" s="3963"/>
      <c r="Q7" s="3964"/>
      <c r="R7" s="1439" t="str">
        <f>结果表!O40</f>
        <v>——</v>
      </c>
    </row>
    <row r="8" spans="1:18">
      <c r="A8" s="3962" t="str">
        <f>IF(项目基本情况!B9="市场价格","——",项目基本情况!E9)</f>
        <v>——</v>
      </c>
      <c r="B8" s="3963"/>
      <c r="C8" s="3963"/>
      <c r="D8" s="3963"/>
      <c r="E8" s="3963"/>
      <c r="F8" s="3963"/>
      <c r="G8" s="3963"/>
      <c r="H8" s="3963"/>
      <c r="I8" s="3963"/>
      <c r="J8" s="3963"/>
      <c r="K8" s="3963"/>
      <c r="L8" s="3963"/>
      <c r="M8" s="3963"/>
      <c r="N8" s="3963"/>
      <c r="O8" s="3963"/>
      <c r="P8" s="3963"/>
      <c r="Q8" s="3964"/>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1" t="s">
        <v>738</v>
      </c>
      <c r="D4" s="4202"/>
      <c r="E4" s="4201" t="s">
        <v>739</v>
      </c>
      <c r="F4" s="4202"/>
      <c r="G4" s="4201" t="s">
        <v>740</v>
      </c>
      <c r="H4" s="4202"/>
      <c r="I4" s="4201" t="s">
        <v>741</v>
      </c>
      <c r="J4" s="4202"/>
      <c r="K4" s="372" t="s">
        <v>742</v>
      </c>
      <c r="L4" s="1653"/>
      <c r="M4" s="1654"/>
      <c r="N4" s="1654"/>
      <c r="O4" s="1654"/>
      <c r="P4" s="4203" t="s">
        <v>743</v>
      </c>
      <c r="Q4" s="4204"/>
      <c r="R4" s="4209" t="s">
        <v>739</v>
      </c>
      <c r="S4" s="4210"/>
      <c r="T4" s="4209" t="s">
        <v>740</v>
      </c>
      <c r="U4" s="4210"/>
      <c r="V4" s="4196" t="s">
        <v>741</v>
      </c>
      <c r="W4" s="4196"/>
      <c r="X4" s="1228"/>
      <c r="Y4" s="4209" t="s">
        <v>743</v>
      </c>
      <c r="Z4" s="4210"/>
      <c r="AA4" s="4198" t="s">
        <v>739</v>
      </c>
      <c r="AB4" s="4199" t="s">
        <v>740</v>
      </c>
      <c r="AC4" s="4198" t="s">
        <v>741</v>
      </c>
    </row>
    <row r="5" spans="1:29" ht="15">
      <c r="A5" s="373"/>
      <c r="B5" s="374"/>
      <c r="C5" s="4217" t="s">
        <v>2100</v>
      </c>
      <c r="D5" s="4218"/>
      <c r="E5" s="4217" t="s">
        <v>2101</v>
      </c>
      <c r="F5" s="4218"/>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19" t="s">
        <v>2104</v>
      </c>
      <c r="F6" s="4220"/>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SUMIF(48:48,YEAR(E7)&amp;"-"&amp;MONTH(E7),49:49)</f>
        <v>0</v>
      </c>
      <c r="G7" s="381"/>
      <c r="H7" s="378">
        <f>SUMIF(48:48,YEAR(G7)&amp;"-"&amp;MONTH(G7),49:49)</f>
        <v>0</v>
      </c>
      <c r="I7" s="381"/>
      <c r="J7" s="378">
        <f>SUMIF(48:48,YEAR(I7)&amp;"-"&amp;MONTH(I7),49:49)</f>
        <v>0</v>
      </c>
      <c r="K7" s="382"/>
      <c r="L7" s="1655"/>
      <c r="M7" s="1656"/>
      <c r="N7" s="1656"/>
      <c r="O7" s="1656"/>
      <c r="P7" s="4225" t="s">
        <v>479</v>
      </c>
      <c r="Q7" s="4227"/>
      <c r="R7" s="1229" t="s">
        <v>5</v>
      </c>
      <c r="S7" s="1230">
        <f t="shared" ref="S7:S14" si="0">F7</f>
        <v>0</v>
      </c>
      <c r="T7" s="1229" t="s">
        <v>5</v>
      </c>
      <c r="U7" s="1230">
        <f t="shared" ref="U7:U14" si="1">H7</f>
        <v>0</v>
      </c>
      <c r="V7" s="1229" t="s">
        <v>5</v>
      </c>
      <c r="W7" s="1230">
        <f t="shared" ref="W7:W14"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195" t="s">
        <v>484</v>
      </c>
      <c r="Q9" s="929" t="str">
        <f t="shared" ref="Q9:Q14" si="6">B9</f>
        <v>用途</v>
      </c>
      <c r="R9" s="1229" t="s">
        <v>5</v>
      </c>
      <c r="S9" s="1230">
        <f t="shared" si="0"/>
        <v>100</v>
      </c>
      <c r="T9" s="1229" t="s">
        <v>5</v>
      </c>
      <c r="U9" s="1230">
        <f t="shared" si="1"/>
        <v>100</v>
      </c>
      <c r="V9" s="1229" t="s">
        <v>5</v>
      </c>
      <c r="W9" s="1230">
        <f t="shared" si="2"/>
        <v>100</v>
      </c>
      <c r="X9" s="1231"/>
      <c r="Y9" s="4076"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195"/>
      <c r="Q11" s="929">
        <f t="shared" si="6"/>
        <v>111</v>
      </c>
      <c r="R11" s="1229" t="s">
        <v>5</v>
      </c>
      <c r="S11" s="1230">
        <f t="shared" si="0"/>
        <v>100</v>
      </c>
      <c r="T11" s="1229" t="s">
        <v>5</v>
      </c>
      <c r="U11" s="1230">
        <f t="shared" si="1"/>
        <v>100</v>
      </c>
      <c r="V11" s="1229" t="s">
        <v>5</v>
      </c>
      <c r="W11" s="1230">
        <f t="shared" si="2"/>
        <v>100</v>
      </c>
      <c r="X11" s="1231"/>
      <c r="Y11" s="4076"/>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228" t="s">
        <v>489</v>
      </c>
      <c r="Q14" s="1233" t="str">
        <f t="shared" si="6"/>
        <v>交通便捷度</v>
      </c>
      <c r="R14" s="1234" t="s">
        <v>5</v>
      </c>
      <c r="S14" s="1235">
        <f t="shared" si="0"/>
        <v>100</v>
      </c>
      <c r="T14" s="1234" t="s">
        <v>5</v>
      </c>
      <c r="U14" s="1235">
        <f t="shared" si="1"/>
        <v>100</v>
      </c>
      <c r="V14" s="1234" t="s">
        <v>5</v>
      </c>
      <c r="W14" s="1235">
        <f t="shared" si="2"/>
        <v>100</v>
      </c>
      <c r="X14" s="1228"/>
      <c r="Y14" s="4228"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229"/>
      <c r="Q15" s="1233"/>
      <c r="R15" s="1234"/>
      <c r="S15" s="1235"/>
      <c r="T15" s="1234"/>
      <c r="U15" s="1235"/>
      <c r="V15" s="1234"/>
      <c r="W15" s="1235"/>
      <c r="X15" s="1228"/>
      <c r="Y15" s="4229"/>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229"/>
      <c r="Q16" s="1233" t="str">
        <f>B16</f>
        <v>公共配套设施</v>
      </c>
      <c r="R16" s="1234" t="s">
        <v>5</v>
      </c>
      <c r="S16" s="1235">
        <f>F16</f>
        <v>100</v>
      </c>
      <c r="T16" s="1234" t="s">
        <v>5</v>
      </c>
      <c r="U16" s="1235">
        <f>H16</f>
        <v>100</v>
      </c>
      <c r="V16" s="1234" t="s">
        <v>5</v>
      </c>
      <c r="W16" s="1235">
        <f>J16</f>
        <v>100</v>
      </c>
      <c r="X16" s="1228"/>
      <c r="Y16" s="4229"/>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229"/>
      <c r="Q17" s="1233"/>
      <c r="R17" s="1234"/>
      <c r="S17" s="1235"/>
      <c r="T17" s="1234"/>
      <c r="U17" s="1235"/>
      <c r="V17" s="1234"/>
      <c r="W17" s="1235"/>
      <c r="X17" s="1228"/>
      <c r="Y17" s="4229"/>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229"/>
      <c r="Q18" s="1958" t="str">
        <f>B18</f>
        <v>基础设施水平</v>
      </c>
      <c r="R18" s="1234" t="s">
        <v>5</v>
      </c>
      <c r="S18" s="1235">
        <f>F18</f>
        <v>100</v>
      </c>
      <c r="T18" s="1234" t="s">
        <v>5</v>
      </c>
      <c r="U18" s="1235">
        <f>H18</f>
        <v>100</v>
      </c>
      <c r="V18" s="1234" t="s">
        <v>5</v>
      </c>
      <c r="W18" s="1235">
        <f>J18</f>
        <v>100</v>
      </c>
      <c r="X18" s="1960"/>
      <c r="Y18" s="4229"/>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229"/>
      <c r="Q19" s="1958"/>
      <c r="R19" s="1234"/>
      <c r="S19" s="1235"/>
      <c r="T19" s="1234"/>
      <c r="U19" s="1235"/>
      <c r="V19" s="1234"/>
      <c r="W19" s="1235"/>
      <c r="X19" s="1960"/>
      <c r="Y19" s="4229"/>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229"/>
      <c r="Q20" s="1233" t="str">
        <f>B20</f>
        <v>自然及人文环境</v>
      </c>
      <c r="R20" s="1234" t="s">
        <v>5</v>
      </c>
      <c r="S20" s="1235">
        <f>F20</f>
        <v>100</v>
      </c>
      <c r="T20" s="1234" t="s">
        <v>5</v>
      </c>
      <c r="U20" s="1235">
        <f>H20</f>
        <v>100</v>
      </c>
      <c r="V20" s="1234" t="s">
        <v>5</v>
      </c>
      <c r="W20" s="1235">
        <f>J20</f>
        <v>100</v>
      </c>
      <c r="X20" s="1228"/>
      <c r="Y20" s="4229"/>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229"/>
      <c r="Q21" s="1233"/>
      <c r="R21" s="1234"/>
      <c r="S21" s="1235"/>
      <c r="T21" s="1234"/>
      <c r="U21" s="1235"/>
      <c r="V21" s="1234"/>
      <c r="W21" s="1235"/>
      <c r="X21" s="1228"/>
      <c r="Y21" s="4229"/>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229"/>
      <c r="Q22" s="1233" t="str">
        <f>B22</f>
        <v>楼层</v>
      </c>
      <c r="R22" s="1234" t="s">
        <v>5</v>
      </c>
      <c r="S22" s="1235">
        <f>F22</f>
        <v>100</v>
      </c>
      <c r="T22" s="1234" t="s">
        <v>5</v>
      </c>
      <c r="U22" s="1235">
        <f>H22</f>
        <v>100</v>
      </c>
      <c r="V22" s="1234" t="s">
        <v>5</v>
      </c>
      <c r="W22" s="1235">
        <f>J22</f>
        <v>100</v>
      </c>
      <c r="X22" s="1228"/>
      <c r="Y22" s="4229"/>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229"/>
      <c r="Q23" s="1233">
        <f>B23</f>
        <v>111</v>
      </c>
      <c r="R23" s="1234" t="s">
        <v>5</v>
      </c>
      <c r="S23" s="1235">
        <f>F23</f>
        <v>100</v>
      </c>
      <c r="T23" s="1234" t="s">
        <v>5</v>
      </c>
      <c r="U23" s="1235">
        <f>H23</f>
        <v>100</v>
      </c>
      <c r="V23" s="1234" t="s">
        <v>5</v>
      </c>
      <c r="W23" s="1235">
        <f>J23</f>
        <v>100</v>
      </c>
      <c r="X23" s="1228"/>
      <c r="Y23" s="4229"/>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229"/>
      <c r="Q24" s="1233">
        <f t="shared" ref="Q24:Q36" si="8">B24</f>
        <v>111</v>
      </c>
      <c r="R24" s="1234" t="s">
        <v>5</v>
      </c>
      <c r="S24" s="1235">
        <f>F24</f>
        <v>100</v>
      </c>
      <c r="T24" s="1234" t="s">
        <v>5</v>
      </c>
      <c r="U24" s="1235">
        <f>H24</f>
        <v>100</v>
      </c>
      <c r="V24" s="1234" t="s">
        <v>5</v>
      </c>
      <c r="W24" s="1235">
        <f>J24</f>
        <v>100</v>
      </c>
      <c r="X24" s="1228"/>
      <c r="Y24" s="4229"/>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229"/>
      <c r="Q25" s="929">
        <f t="shared" si="8"/>
        <v>111</v>
      </c>
      <c r="R25" s="1229" t="s">
        <v>5</v>
      </c>
      <c r="S25" s="1230">
        <f>F25</f>
        <v>100</v>
      </c>
      <c r="T25" s="1229" t="s">
        <v>5</v>
      </c>
      <c r="U25" s="1230">
        <f>H25</f>
        <v>100</v>
      </c>
      <c r="V25" s="1229" t="s">
        <v>5</v>
      </c>
      <c r="W25" s="1230">
        <f>J25</f>
        <v>100</v>
      </c>
      <c r="X25" s="1231"/>
      <c r="Y25" s="4229"/>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230"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231"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231"/>
      <c r="Q27" s="1260" t="str">
        <f t="shared" si="8"/>
        <v>项目停车位配比</v>
      </c>
      <c r="R27" s="1238" t="s">
        <v>5</v>
      </c>
      <c r="S27" s="1239">
        <f t="shared" si="9"/>
        <v>100</v>
      </c>
      <c r="T27" s="1238" t="s">
        <v>5</v>
      </c>
      <c r="U27" s="1239">
        <f t="shared" si="10"/>
        <v>100</v>
      </c>
      <c r="V27" s="1238" t="s">
        <v>5</v>
      </c>
      <c r="W27" s="1239">
        <f t="shared" si="11"/>
        <v>100</v>
      </c>
      <c r="X27" s="1240"/>
      <c r="Y27" s="4231"/>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231"/>
      <c r="Q28" s="1233" t="str">
        <f t="shared" si="8"/>
        <v>公共部分装修</v>
      </c>
      <c r="R28" s="1234" t="s">
        <v>5</v>
      </c>
      <c r="S28" s="1235">
        <f t="shared" si="9"/>
        <v>100</v>
      </c>
      <c r="T28" s="1234" t="s">
        <v>5</v>
      </c>
      <c r="U28" s="1235">
        <f t="shared" si="10"/>
        <v>100</v>
      </c>
      <c r="V28" s="1234" t="s">
        <v>5</v>
      </c>
      <c r="W28" s="1235">
        <f t="shared" si="11"/>
        <v>100</v>
      </c>
      <c r="X28" s="1228"/>
      <c r="Y28" s="4231"/>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231"/>
      <c r="Q29" s="1233" t="str">
        <f t="shared" si="8"/>
        <v>成新率</v>
      </c>
      <c r="R29" s="1234" t="s">
        <v>5</v>
      </c>
      <c r="S29" s="1235" t="e">
        <f t="shared" si="9"/>
        <v>#N/A</v>
      </c>
      <c r="T29" s="1234" t="s">
        <v>5</v>
      </c>
      <c r="U29" s="1235" t="e">
        <f t="shared" si="10"/>
        <v>#N/A</v>
      </c>
      <c r="V29" s="1234" t="s">
        <v>5</v>
      </c>
      <c r="W29" s="1235" t="e">
        <f t="shared" si="11"/>
        <v>#N/A</v>
      </c>
      <c r="X29" s="1228"/>
      <c r="Y29" s="4231"/>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231"/>
      <c r="Q30" s="1233" t="str">
        <f t="shared" si="8"/>
        <v>物业等级</v>
      </c>
      <c r="R30" s="1234" t="s">
        <v>5</v>
      </c>
      <c r="S30" s="1235">
        <f t="shared" si="9"/>
        <v>100</v>
      </c>
      <c r="T30" s="1234" t="s">
        <v>5</v>
      </c>
      <c r="U30" s="1235">
        <f t="shared" si="10"/>
        <v>100</v>
      </c>
      <c r="V30" s="1234" t="s">
        <v>5</v>
      </c>
      <c r="W30" s="1235">
        <f t="shared" si="11"/>
        <v>100</v>
      </c>
      <c r="X30" s="1228"/>
      <c r="Y30" s="4231"/>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231"/>
      <c r="Q31" s="929" t="str">
        <f t="shared" si="8"/>
        <v>停车位面积</v>
      </c>
      <c r="R31" s="1229" t="s">
        <v>5</v>
      </c>
      <c r="S31" s="1230" t="e">
        <f t="shared" si="9"/>
        <v>#N/A</v>
      </c>
      <c r="T31" s="1229" t="s">
        <v>5</v>
      </c>
      <c r="U31" s="1230" t="e">
        <f t="shared" si="10"/>
        <v>#N/A</v>
      </c>
      <c r="V31" s="1229" t="s">
        <v>5</v>
      </c>
      <c r="W31" s="1230" t="e">
        <f t="shared" si="11"/>
        <v>#N/A</v>
      </c>
      <c r="X31" s="1231"/>
      <c r="Y31" s="4231"/>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231" t="s">
        <v>499</v>
      </c>
      <c r="Q32" s="1233" t="str">
        <f t="shared" si="8"/>
        <v>车位类型</v>
      </c>
      <c r="R32" s="1234" t="s">
        <v>5</v>
      </c>
      <c r="S32" s="1235">
        <f t="shared" si="9"/>
        <v>100</v>
      </c>
      <c r="T32" s="1234" t="s">
        <v>5</v>
      </c>
      <c r="U32" s="1235">
        <f t="shared" si="10"/>
        <v>100</v>
      </c>
      <c r="V32" s="1234" t="s">
        <v>5</v>
      </c>
      <c r="W32" s="1235">
        <f t="shared" si="11"/>
        <v>100</v>
      </c>
      <c r="X32" s="1228"/>
      <c r="Y32" s="4231"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231"/>
      <c r="Q33" s="1233" t="str">
        <f t="shared" si="8"/>
        <v>是否直接入户</v>
      </c>
      <c r="R33" s="1234" t="s">
        <v>5</v>
      </c>
      <c r="S33" s="1235">
        <f t="shared" si="9"/>
        <v>100</v>
      </c>
      <c r="T33" s="1234" t="s">
        <v>5</v>
      </c>
      <c r="U33" s="1235">
        <f t="shared" si="10"/>
        <v>100</v>
      </c>
      <c r="V33" s="1234" t="s">
        <v>5</v>
      </c>
      <c r="W33" s="1235">
        <f t="shared" si="11"/>
        <v>100</v>
      </c>
      <c r="X33" s="1228"/>
      <c r="Y33" s="4231"/>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231"/>
      <c r="Q34" s="1233">
        <f t="shared" si="8"/>
        <v>111</v>
      </c>
      <c r="R34" s="1234" t="s">
        <v>5</v>
      </c>
      <c r="S34" s="1235">
        <f t="shared" si="9"/>
        <v>100</v>
      </c>
      <c r="T34" s="1234" t="s">
        <v>5</v>
      </c>
      <c r="U34" s="1235">
        <f t="shared" si="10"/>
        <v>100</v>
      </c>
      <c r="V34" s="1234" t="s">
        <v>5</v>
      </c>
      <c r="W34" s="1235">
        <f t="shared" si="11"/>
        <v>100</v>
      </c>
      <c r="X34" s="1228"/>
      <c r="Y34" s="4231"/>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231"/>
      <c r="Q35" s="1260">
        <f t="shared" si="8"/>
        <v>111</v>
      </c>
      <c r="R35" s="1238" t="s">
        <v>5</v>
      </c>
      <c r="S35" s="1239">
        <f t="shared" si="9"/>
        <v>100</v>
      </c>
      <c r="T35" s="1238" t="s">
        <v>5</v>
      </c>
      <c r="U35" s="1239">
        <f t="shared" si="10"/>
        <v>100</v>
      </c>
      <c r="V35" s="1238" t="s">
        <v>5</v>
      </c>
      <c r="W35" s="1239">
        <f t="shared" si="11"/>
        <v>100</v>
      </c>
      <c r="X35" s="1240"/>
      <c r="Y35" s="4231"/>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231"/>
      <c r="Q36" s="1233">
        <f t="shared" si="8"/>
        <v>111</v>
      </c>
      <c r="R36" s="1234" t="s">
        <v>5</v>
      </c>
      <c r="S36" s="1235">
        <f t="shared" si="9"/>
        <v>100</v>
      </c>
      <c r="T36" s="1234" t="s">
        <v>5</v>
      </c>
      <c r="U36" s="1235">
        <f t="shared" si="10"/>
        <v>100</v>
      </c>
      <c r="V36" s="1234" t="s">
        <v>5</v>
      </c>
      <c r="W36" s="1235">
        <f t="shared" si="11"/>
        <v>100</v>
      </c>
      <c r="X36" s="1228"/>
      <c r="Y36" s="4231"/>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195" t="str">
        <f>A37</f>
        <v>成交单价</v>
      </c>
      <c r="Q37" s="4195"/>
      <c r="R37" s="4287">
        <f>E37</f>
        <v>0</v>
      </c>
      <c r="S37" s="4287"/>
      <c r="T37" s="4287">
        <f>G37</f>
        <v>0</v>
      </c>
      <c r="U37" s="4287"/>
      <c r="V37" s="4287">
        <f>I37</f>
        <v>0</v>
      </c>
      <c r="W37" s="4287"/>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195" t="str">
        <f>A38</f>
        <v>比较价格（元/平方米）</v>
      </c>
      <c r="Q38" s="4195"/>
      <c r="R38" s="4287" t="e">
        <f>IF(F1="售价",ROUND(PRODUCT(R37,AA7:AA36),0),ROUND(PRODUCT(R37,AA7:AA36),1))</f>
        <v>#DIV/0!</v>
      </c>
      <c r="S38" s="4287"/>
      <c r="T38" s="4287" t="e">
        <f>IF(F1="售价",ROUND(PRODUCT(T37,AB7:AB36),0),ROUND(PRODUCT(T37,AB7:AB36),1))</f>
        <v>#DIV/0!</v>
      </c>
      <c r="U38" s="4287"/>
      <c r="V38" s="4287" t="e">
        <f>IF(F1="售价",ROUND(PRODUCT(V37,AC7:AC36),0),ROUND(PRODUCT(V37,AC7:AC36),1))</f>
        <v>#DIV/0!</v>
      </c>
      <c r="W38" s="4287"/>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232" t="str">
        <f>A39</f>
        <v>估价对象XX用房的比较价格（楼面单价，元/平方米）</v>
      </c>
      <c r="Q39" s="4233"/>
      <c r="R39" s="4288" t="e">
        <f>IF(F1="售价",ROUND(IF(D38="简单平均",AVERAGE(R38:W38),R38*F38+T38*H38+V38*J38),0),ROUND(IF(D38="简单平均",AVERAGE(R38:V38),R38*F38+T38*H38+V38*J38),1))</f>
        <v>#DIV/0!</v>
      </c>
      <c r="S39" s="4288"/>
      <c r="T39" s="4288"/>
      <c r="U39" s="4288"/>
      <c r="V39" s="4288"/>
      <c r="W39" s="4288"/>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100-000000000000}">
      <formula1>项目类型</formula1>
    </dataValidation>
    <dataValidation type="list" allowBlank="1" showInputMessage="1" showErrorMessage="1" sqref="G17 C17 I17 E17" xr:uid="{00000000-0002-0000-3100-000001000000}">
      <formula1>公共配套设施</formula1>
    </dataValidation>
    <dataValidation type="list" allowBlank="1" showInputMessage="1" showErrorMessage="1" sqref="G15 E15 C15 I15" xr:uid="{00000000-0002-0000-3100-000002000000}">
      <formula1>交通便捷度</formula1>
    </dataValidation>
    <dataValidation type="list" allowBlank="1" showInputMessage="1" showErrorMessage="1" sqref="C8 E8 G8 I8" xr:uid="{00000000-0002-0000-3100-000003000000}">
      <formula1>车位交易情况</formula1>
    </dataValidation>
    <dataValidation type="list" allowBlank="1" showInputMessage="1" showErrorMessage="1" sqref="E9 G9 I9" xr:uid="{00000000-0002-0000-3100-000004000000}">
      <formula1>车位用途</formula1>
    </dataValidation>
    <dataValidation type="list" allowBlank="1" showInputMessage="1" showErrorMessage="1" sqref="C22 E22 G22 I22" xr:uid="{00000000-0002-0000-3100-000005000000}">
      <formula1>车位楼层</formula1>
    </dataValidation>
    <dataValidation type="list" allowBlank="1" showInputMessage="1" showErrorMessage="1" sqref="C30 E30 G30 I30" xr:uid="{00000000-0002-0000-3100-000006000000}">
      <formula1>车位物业等级</formula1>
    </dataValidation>
    <dataValidation type="list" allowBlank="1" showInputMessage="1" showErrorMessage="1" sqref="C32 E32 G32 I32" xr:uid="{00000000-0002-0000-3100-000007000000}">
      <formula1>车位类型</formula1>
    </dataValidation>
    <dataValidation type="list" allowBlank="1" showInputMessage="1" showErrorMessage="1" sqref="C33 E33 G33 I33" xr:uid="{00000000-0002-0000-3100-000008000000}">
      <formula1>是否直接入户</formula1>
    </dataValidation>
    <dataValidation type="list" allowBlank="1" showInputMessage="1" showErrorMessage="1" sqref="B1" xr:uid="{00000000-0002-0000-3100-000009000000}">
      <formula1>地类判定</formula1>
    </dataValidation>
    <dataValidation type="list" allowBlank="1" showInputMessage="1" showErrorMessage="1" sqref="I26 E26 G26" xr:uid="{00000000-0002-0000-3100-00000A000000}">
      <formula1>车位配套类型</formula1>
    </dataValidation>
    <dataValidation type="list" allowBlank="1" showInputMessage="1" showErrorMessage="1" sqref="C28 E28 G28 I28" xr:uid="{00000000-0002-0000-3100-00000B000000}">
      <formula1>车位公共部分装修</formula1>
    </dataValidation>
    <dataValidation type="list" allowBlank="1" showInputMessage="1" showErrorMessage="1" sqref="B37" xr:uid="{00000000-0002-0000-3100-00000C000000}">
      <formula1>"元/平方米,元/车位"</formula1>
    </dataValidation>
    <dataValidation type="list" allowBlank="1" showInputMessage="1" showErrorMessage="1" sqref="C21 E21 G21 I21" xr:uid="{00000000-0002-0000-3100-00000D000000}">
      <formula1>环境</formula1>
    </dataValidation>
    <dataValidation type="list" allowBlank="1" showInputMessage="1" showErrorMessage="1" sqref="C19 E19 G19 I19" xr:uid="{00000000-0002-0000-3100-00000E000000}">
      <formula1>基础设施水平</formula1>
    </dataValidation>
    <dataValidation type="list" allowBlank="1" showInputMessage="1" showErrorMessage="1" sqref="F1" xr:uid="{00000000-0002-0000-3100-00000F000000}">
      <formula1>"售价,租金"</formula1>
    </dataValidation>
    <dataValidation type="list" allowBlank="1" showInputMessage="1" showErrorMessage="1" sqref="D38" xr:uid="{00000000-0002-0000-31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1" t="s">
        <v>738</v>
      </c>
      <c r="D4" s="4202"/>
      <c r="E4" s="4240" t="s">
        <v>739</v>
      </c>
      <c r="F4" s="4241"/>
      <c r="G4" s="4201" t="s">
        <v>740</v>
      </c>
      <c r="H4" s="4202"/>
      <c r="I4" s="4201" t="s">
        <v>741</v>
      </c>
      <c r="J4" s="4202"/>
      <c r="K4" s="372" t="s">
        <v>742</v>
      </c>
      <c r="L4" s="1653"/>
      <c r="M4" s="1654"/>
      <c r="N4" s="1654"/>
      <c r="O4" s="1654"/>
      <c r="P4" s="4203" t="s">
        <v>743</v>
      </c>
      <c r="Q4" s="4204"/>
      <c r="R4" s="4209" t="s">
        <v>739</v>
      </c>
      <c r="S4" s="4210"/>
      <c r="T4" s="4209" t="s">
        <v>740</v>
      </c>
      <c r="U4" s="4210"/>
      <c r="V4" s="4196" t="s">
        <v>741</v>
      </c>
      <c r="W4" s="4196"/>
      <c r="X4" s="1228"/>
      <c r="Y4" s="4209" t="s">
        <v>743</v>
      </c>
      <c r="Z4" s="4210"/>
      <c r="AA4" s="4198" t="s">
        <v>739</v>
      </c>
      <c r="AB4" s="4199" t="s">
        <v>740</v>
      </c>
      <c r="AC4" s="4198" t="s">
        <v>741</v>
      </c>
    </row>
    <row r="5" spans="1:29" ht="15">
      <c r="A5" s="373"/>
      <c r="B5" s="374"/>
      <c r="C5" s="4217" t="s">
        <v>2100</v>
      </c>
      <c r="D5" s="4218"/>
      <c r="E5" s="4242" t="s">
        <v>2101</v>
      </c>
      <c r="F5" s="4243"/>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SUMIF(46:46,YEAR(E7)&amp;"-"&amp;MONTH(E7),47:47)</f>
        <v>0</v>
      </c>
      <c r="G7" s="381"/>
      <c r="H7" s="378">
        <f>SUMIF(46:46,YEAR(G7)&amp;"-"&amp;MONTH(G7),47:47)</f>
        <v>0</v>
      </c>
      <c r="I7" s="381"/>
      <c r="J7" s="378">
        <f>SUMIF(46:46,YEAR(I7)&amp;"-"&amp;MONTH(I7),47:47)</f>
        <v>0</v>
      </c>
      <c r="K7" s="382"/>
      <c r="L7" s="1655"/>
      <c r="M7" s="1656"/>
      <c r="N7" s="1656"/>
      <c r="O7" s="1656"/>
      <c r="P7" s="4225" t="s">
        <v>479</v>
      </c>
      <c r="Q7" s="4227"/>
      <c r="R7" s="1229" t="s">
        <v>5</v>
      </c>
      <c r="S7" s="1230">
        <f t="shared" ref="S7:S14" si="0">F7</f>
        <v>0</v>
      </c>
      <c r="T7" s="1229" t="s">
        <v>5</v>
      </c>
      <c r="U7" s="1230">
        <f t="shared" ref="U7:U14" si="1">H7</f>
        <v>0</v>
      </c>
      <c r="V7" s="1229" t="s">
        <v>5</v>
      </c>
      <c r="W7" s="1230">
        <f t="shared" ref="W7:W14"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195" t="s">
        <v>484</v>
      </c>
      <c r="Q9" s="929" t="str">
        <f t="shared" ref="Q9:Q14" si="6">B9</f>
        <v>用途</v>
      </c>
      <c r="R9" s="1229" t="s">
        <v>5</v>
      </c>
      <c r="S9" s="1230">
        <f t="shared" si="0"/>
        <v>100</v>
      </c>
      <c r="T9" s="1229" t="s">
        <v>5</v>
      </c>
      <c r="U9" s="1230">
        <f t="shared" si="1"/>
        <v>100</v>
      </c>
      <c r="V9" s="1229" t="s">
        <v>5</v>
      </c>
      <c r="W9" s="1230">
        <f t="shared" si="2"/>
        <v>100</v>
      </c>
      <c r="X9" s="1231"/>
      <c r="Y9" s="4076"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195"/>
      <c r="Q11" s="929">
        <f t="shared" si="6"/>
        <v>111</v>
      </c>
      <c r="R11" s="1229" t="s">
        <v>5</v>
      </c>
      <c r="S11" s="1230">
        <f t="shared" si="0"/>
        <v>100</v>
      </c>
      <c r="T11" s="1229" t="s">
        <v>5</v>
      </c>
      <c r="U11" s="1230">
        <f t="shared" si="1"/>
        <v>100</v>
      </c>
      <c r="V11" s="1229" t="s">
        <v>5</v>
      </c>
      <c r="W11" s="1230">
        <f t="shared" si="2"/>
        <v>100</v>
      </c>
      <c r="X11" s="1231"/>
      <c r="Y11" s="4076"/>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228" t="s">
        <v>489</v>
      </c>
      <c r="Q14" s="1233" t="str">
        <f t="shared" si="6"/>
        <v>交通便捷度</v>
      </c>
      <c r="R14" s="1234" t="s">
        <v>5</v>
      </c>
      <c r="S14" s="1235">
        <f t="shared" si="0"/>
        <v>100</v>
      </c>
      <c r="T14" s="1234" t="s">
        <v>5</v>
      </c>
      <c r="U14" s="1235">
        <f t="shared" si="1"/>
        <v>100</v>
      </c>
      <c r="V14" s="1234" t="s">
        <v>5</v>
      </c>
      <c r="W14" s="1235">
        <f t="shared" si="2"/>
        <v>100</v>
      </c>
      <c r="X14" s="1228"/>
      <c r="Y14" s="4228"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229"/>
      <c r="Q15" s="1233"/>
      <c r="R15" s="1234"/>
      <c r="S15" s="1235"/>
      <c r="T15" s="1234"/>
      <c r="U15" s="1235"/>
      <c r="V15" s="1234"/>
      <c r="W15" s="1235"/>
      <c r="X15" s="1228"/>
      <c r="Y15" s="4229"/>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229"/>
      <c r="Q16" s="1233" t="str">
        <f>B16</f>
        <v>公共配套设施</v>
      </c>
      <c r="R16" s="1234" t="s">
        <v>5</v>
      </c>
      <c r="S16" s="1235">
        <f>F16</f>
        <v>100</v>
      </c>
      <c r="T16" s="1234" t="s">
        <v>5</v>
      </c>
      <c r="U16" s="1235">
        <f>H16</f>
        <v>100</v>
      </c>
      <c r="V16" s="1234" t="s">
        <v>5</v>
      </c>
      <c r="W16" s="1235">
        <f>J16</f>
        <v>100</v>
      </c>
      <c r="X16" s="1228"/>
      <c r="Y16" s="4229"/>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229"/>
      <c r="Q17" s="1233"/>
      <c r="R17" s="1234"/>
      <c r="S17" s="1235"/>
      <c r="T17" s="1234"/>
      <c r="U17" s="1235"/>
      <c r="V17" s="1234"/>
      <c r="W17" s="1235"/>
      <c r="X17" s="1228"/>
      <c r="Y17" s="4229"/>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229"/>
      <c r="Q18" s="1958" t="str">
        <f>B18</f>
        <v>基础设施水平</v>
      </c>
      <c r="R18" s="1234" t="s">
        <v>5</v>
      </c>
      <c r="S18" s="1235">
        <f>F18</f>
        <v>100</v>
      </c>
      <c r="T18" s="1234" t="s">
        <v>5</v>
      </c>
      <c r="U18" s="1235">
        <f>H18</f>
        <v>100</v>
      </c>
      <c r="V18" s="1234" t="s">
        <v>5</v>
      </c>
      <c r="W18" s="1235">
        <f>J18</f>
        <v>100</v>
      </c>
      <c r="X18" s="1960"/>
      <c r="Y18" s="4229"/>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229"/>
      <c r="Q19" s="1958"/>
      <c r="R19" s="1234"/>
      <c r="S19" s="1235"/>
      <c r="T19" s="1234"/>
      <c r="U19" s="1235"/>
      <c r="V19" s="1234"/>
      <c r="W19" s="1235"/>
      <c r="X19" s="1960"/>
      <c r="Y19" s="4229"/>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229"/>
      <c r="Q20" s="1233" t="str">
        <f>B20</f>
        <v>自然及人文环境</v>
      </c>
      <c r="R20" s="1234" t="s">
        <v>5</v>
      </c>
      <c r="S20" s="1235">
        <f>F20</f>
        <v>100</v>
      </c>
      <c r="T20" s="1234" t="s">
        <v>5</v>
      </c>
      <c r="U20" s="1235">
        <f>H20</f>
        <v>100</v>
      </c>
      <c r="V20" s="1234" t="s">
        <v>5</v>
      </c>
      <c r="W20" s="1235">
        <f>J20</f>
        <v>100</v>
      </c>
      <c r="X20" s="1228"/>
      <c r="Y20" s="4229"/>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229"/>
      <c r="Q21" s="1233"/>
      <c r="R21" s="1234"/>
      <c r="S21" s="1235"/>
      <c r="T21" s="1234"/>
      <c r="U21" s="1235"/>
      <c r="V21" s="1234"/>
      <c r="W21" s="1235"/>
      <c r="X21" s="1228"/>
      <c r="Y21" s="4229"/>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229"/>
      <c r="Q22" s="1233" t="str">
        <f>B22</f>
        <v>楼层</v>
      </c>
      <c r="R22" s="1234" t="s">
        <v>5</v>
      </c>
      <c r="S22" s="1235">
        <f>F22</f>
        <v>100</v>
      </c>
      <c r="T22" s="1234" t="s">
        <v>5</v>
      </c>
      <c r="U22" s="1235">
        <f>H22</f>
        <v>100</v>
      </c>
      <c r="V22" s="1234" t="s">
        <v>5</v>
      </c>
      <c r="W22" s="1235">
        <f>J22</f>
        <v>100</v>
      </c>
      <c r="X22" s="1228"/>
      <c r="Y22" s="4229"/>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229"/>
      <c r="Q23" s="1233">
        <f>B23</f>
        <v>111</v>
      </c>
      <c r="R23" s="1234" t="s">
        <v>5</v>
      </c>
      <c r="S23" s="1235">
        <f>F23</f>
        <v>100</v>
      </c>
      <c r="T23" s="1234" t="s">
        <v>5</v>
      </c>
      <c r="U23" s="1235">
        <f>H23</f>
        <v>100</v>
      </c>
      <c r="V23" s="1234" t="s">
        <v>5</v>
      </c>
      <c r="W23" s="1235">
        <f>J23</f>
        <v>100</v>
      </c>
      <c r="X23" s="1228"/>
      <c r="Y23" s="4229"/>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229"/>
      <c r="Q24" s="1233">
        <f t="shared" ref="Q24:Q34" si="8">B24</f>
        <v>111</v>
      </c>
      <c r="R24" s="1234" t="s">
        <v>5</v>
      </c>
      <c r="S24" s="1235">
        <f>F24</f>
        <v>100</v>
      </c>
      <c r="T24" s="1234" t="s">
        <v>5</v>
      </c>
      <c r="U24" s="1235">
        <f>H24</f>
        <v>100</v>
      </c>
      <c r="V24" s="1234" t="s">
        <v>5</v>
      </c>
      <c r="W24" s="1235">
        <f>J24</f>
        <v>100</v>
      </c>
      <c r="X24" s="1228"/>
      <c r="Y24" s="4229"/>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229"/>
      <c r="Q25" s="929">
        <f t="shared" si="8"/>
        <v>111</v>
      </c>
      <c r="R25" s="1229" t="s">
        <v>5</v>
      </c>
      <c r="S25" s="1230">
        <f>F25</f>
        <v>100</v>
      </c>
      <c r="T25" s="1229" t="s">
        <v>5</v>
      </c>
      <c r="U25" s="1230">
        <f>H25</f>
        <v>100</v>
      </c>
      <c r="V25" s="1229" t="s">
        <v>5</v>
      </c>
      <c r="W25" s="1230">
        <f>J25</f>
        <v>100</v>
      </c>
      <c r="X25" s="1231"/>
      <c r="Y25" s="4229"/>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230"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231"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231"/>
      <c r="Q27" s="1260" t="str">
        <f t="shared" si="8"/>
        <v>成新率</v>
      </c>
      <c r="R27" s="1238" t="s">
        <v>5</v>
      </c>
      <c r="S27" s="1239" t="e">
        <f t="shared" si="9"/>
        <v>#N/A</v>
      </c>
      <c r="T27" s="1238" t="s">
        <v>5</v>
      </c>
      <c r="U27" s="1239" t="e">
        <f t="shared" si="10"/>
        <v>#N/A</v>
      </c>
      <c r="V27" s="1238" t="s">
        <v>5</v>
      </c>
      <c r="W27" s="1239" t="e">
        <f t="shared" si="11"/>
        <v>#N/A</v>
      </c>
      <c r="X27" s="1240"/>
      <c r="Y27" s="4231"/>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231"/>
      <c r="Q28" s="1233" t="str">
        <f t="shared" si="8"/>
        <v>物业等级</v>
      </c>
      <c r="R28" s="1234" t="s">
        <v>5</v>
      </c>
      <c r="S28" s="1235">
        <f t="shared" si="9"/>
        <v>100</v>
      </c>
      <c r="T28" s="1234" t="s">
        <v>5</v>
      </c>
      <c r="U28" s="1235">
        <f t="shared" si="10"/>
        <v>100</v>
      </c>
      <c r="V28" s="1234" t="s">
        <v>5</v>
      </c>
      <c r="W28" s="1235">
        <f t="shared" si="11"/>
        <v>100</v>
      </c>
      <c r="X28" s="1228"/>
      <c r="Y28" s="4231"/>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231"/>
      <c r="Q29" s="1233" t="str">
        <f t="shared" si="8"/>
        <v>有无电梯</v>
      </c>
      <c r="R29" s="1234" t="s">
        <v>5</v>
      </c>
      <c r="S29" s="1235">
        <f t="shared" si="9"/>
        <v>100</v>
      </c>
      <c r="T29" s="1234" t="s">
        <v>5</v>
      </c>
      <c r="U29" s="1235">
        <f t="shared" si="10"/>
        <v>100</v>
      </c>
      <c r="V29" s="1234" t="s">
        <v>5</v>
      </c>
      <c r="W29" s="1235">
        <f t="shared" si="11"/>
        <v>100</v>
      </c>
      <c r="X29" s="1228"/>
      <c r="Y29" s="4231"/>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231"/>
      <c r="Q30" s="1233" t="str">
        <f t="shared" si="8"/>
        <v>建筑面积</v>
      </c>
      <c r="R30" s="1234" t="s">
        <v>5</v>
      </c>
      <c r="S30" s="1235" t="e">
        <f t="shared" si="9"/>
        <v>#N/A</v>
      </c>
      <c r="T30" s="1234" t="s">
        <v>5</v>
      </c>
      <c r="U30" s="1235" t="e">
        <f t="shared" si="10"/>
        <v>#N/A</v>
      </c>
      <c r="V30" s="1234" t="s">
        <v>5</v>
      </c>
      <c r="W30" s="1235" t="e">
        <f t="shared" si="11"/>
        <v>#N/A</v>
      </c>
      <c r="X30" s="1228"/>
      <c r="Y30" s="4231"/>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231"/>
      <c r="Q31" s="929" t="str">
        <f t="shared" si="8"/>
        <v>是否封闭</v>
      </c>
      <c r="R31" s="1229" t="s">
        <v>5</v>
      </c>
      <c r="S31" s="1230">
        <f t="shared" si="9"/>
        <v>100</v>
      </c>
      <c r="T31" s="1229" t="s">
        <v>5</v>
      </c>
      <c r="U31" s="1230">
        <f t="shared" si="10"/>
        <v>100</v>
      </c>
      <c r="V31" s="1229" t="s">
        <v>5</v>
      </c>
      <c r="W31" s="1230">
        <f t="shared" si="11"/>
        <v>100</v>
      </c>
      <c r="X31" s="1231"/>
      <c r="Y31" s="4231"/>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231" t="s">
        <v>499</v>
      </c>
      <c r="Q32" s="1233">
        <f t="shared" si="8"/>
        <v>111</v>
      </c>
      <c r="R32" s="1234" t="s">
        <v>5</v>
      </c>
      <c r="S32" s="1235">
        <f t="shared" si="9"/>
        <v>100</v>
      </c>
      <c r="T32" s="1234" t="s">
        <v>5</v>
      </c>
      <c r="U32" s="1235">
        <f t="shared" si="10"/>
        <v>100</v>
      </c>
      <c r="V32" s="1234" t="s">
        <v>5</v>
      </c>
      <c r="W32" s="1235">
        <f t="shared" si="11"/>
        <v>100</v>
      </c>
      <c r="X32" s="1228"/>
      <c r="Y32" s="4231"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231"/>
      <c r="Q33" s="1233">
        <f t="shared" si="8"/>
        <v>111</v>
      </c>
      <c r="R33" s="1234" t="s">
        <v>5</v>
      </c>
      <c r="S33" s="1235">
        <f t="shared" si="9"/>
        <v>100</v>
      </c>
      <c r="T33" s="1234" t="s">
        <v>5</v>
      </c>
      <c r="U33" s="1235">
        <f t="shared" si="10"/>
        <v>100</v>
      </c>
      <c r="V33" s="1234" t="s">
        <v>5</v>
      </c>
      <c r="W33" s="1235">
        <f t="shared" si="11"/>
        <v>100</v>
      </c>
      <c r="X33" s="1228"/>
      <c r="Y33" s="4231"/>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231"/>
      <c r="Q34" s="1233">
        <f t="shared" si="8"/>
        <v>111</v>
      </c>
      <c r="R34" s="1234" t="s">
        <v>5</v>
      </c>
      <c r="S34" s="1235">
        <f t="shared" si="9"/>
        <v>100</v>
      </c>
      <c r="T34" s="1234" t="s">
        <v>5</v>
      </c>
      <c r="U34" s="1235">
        <f t="shared" si="10"/>
        <v>100</v>
      </c>
      <c r="V34" s="1234" t="s">
        <v>5</v>
      </c>
      <c r="W34" s="1235">
        <f t="shared" si="11"/>
        <v>100</v>
      </c>
      <c r="X34" s="1228"/>
      <c r="Y34" s="4231"/>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195" t="str">
        <f>A35</f>
        <v>成交单价（元/平方米）</v>
      </c>
      <c r="Q35" s="4195"/>
      <c r="R35" s="4287">
        <f>E35</f>
        <v>0</v>
      </c>
      <c r="S35" s="4287"/>
      <c r="T35" s="4287">
        <f>G35</f>
        <v>0</v>
      </c>
      <c r="U35" s="4287"/>
      <c r="V35" s="4287">
        <f>I35</f>
        <v>0</v>
      </c>
      <c r="W35" s="4287"/>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195" t="str">
        <f>A36</f>
        <v>比较价格（元/平方米）</v>
      </c>
      <c r="Q36" s="4195"/>
      <c r="R36" s="4287" t="e">
        <f>IF(F1="售价",ROUND(PRODUCT(R35,AA7:AA34),0),ROUND(PRODUCT(R35,AA7:AA34),1))</f>
        <v>#DIV/0!</v>
      </c>
      <c r="S36" s="4287"/>
      <c r="T36" s="4287" t="e">
        <f>IF(F1="售价",ROUND(PRODUCT(T35,AB7:AB34),0),ROUND(PRODUCT(T35,AB7:AB34),1))</f>
        <v>#DIV/0!</v>
      </c>
      <c r="U36" s="4287"/>
      <c r="V36" s="4287" t="e">
        <f>IF(F1="售价",ROUND(PRODUCT(V35,AC7:AC34),0),ROUND(PRODUCT(V35,AC7:AC34),1))</f>
        <v>#DIV/0!</v>
      </c>
      <c r="W36" s="4287"/>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232" t="str">
        <f>A37</f>
        <v>估价对象XX用房的比较价格（楼面单价，元/平方米）</v>
      </c>
      <c r="Q37" s="4233"/>
      <c r="R37" s="4288" t="e">
        <f>IF(F1="售价",ROUND(IF(D36="简单平均",AVERAGE(R36:W36),R36*F36+T36*H36+V36*J36),0),ROUND(IF(D36="简单平均",AVERAGE(R36:V36),R36*F36+T36*H36+V36*J36),1))</f>
        <v>#DIV/0!</v>
      </c>
      <c r="S37" s="4288"/>
      <c r="T37" s="4288"/>
      <c r="U37" s="4288"/>
      <c r="V37" s="4288"/>
      <c r="W37" s="4288"/>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200-000000000000}">
      <formula1>交通便捷度</formula1>
    </dataValidation>
    <dataValidation type="list" allowBlank="1" showInputMessage="1" showErrorMessage="1" sqref="G17 C17 I17 E17" xr:uid="{00000000-0002-0000-3200-000001000000}">
      <formula1>公共配套设施</formula1>
    </dataValidation>
    <dataValidation type="list" allowBlank="1" showInputMessage="1" showErrorMessage="1" sqref="D1" xr:uid="{00000000-0002-0000-3200-000002000000}">
      <formula1>项目类型</formula1>
    </dataValidation>
    <dataValidation type="list" allowBlank="1" showInputMessage="1" showErrorMessage="1" sqref="C8 E8 G8 I8" xr:uid="{00000000-0002-0000-3200-000003000000}">
      <formula1>仓储交易情况</formula1>
    </dataValidation>
    <dataValidation type="list" allowBlank="1" showInputMessage="1" showErrorMessage="1" sqref="E9 G9 I9" xr:uid="{00000000-0002-0000-3200-000004000000}">
      <formula1>仓储用途</formula1>
    </dataValidation>
    <dataValidation type="list" allowBlank="1" showInputMessage="1" showErrorMessage="1" sqref="C21 E21 G21 I21" xr:uid="{00000000-0002-0000-3200-000005000000}">
      <formula1>环境</formula1>
    </dataValidation>
    <dataValidation type="list" allowBlank="1" showInputMessage="1" showErrorMessage="1" sqref="C22 E22 G22 I22" xr:uid="{00000000-0002-0000-3200-000006000000}">
      <formula1>仓储楼层</formula1>
    </dataValidation>
    <dataValidation type="list" allowBlank="1" showInputMessage="1" showErrorMessage="1" sqref="C26 E26 G26 I26" xr:uid="{00000000-0002-0000-3200-000007000000}">
      <formula1>仓储公共部分装修</formula1>
    </dataValidation>
    <dataValidation type="list" allowBlank="1" showInputMessage="1" showErrorMessage="1" sqref="C29 E29 G29 I29" xr:uid="{00000000-0002-0000-3200-000008000000}">
      <formula1>有无电梯</formula1>
    </dataValidation>
    <dataValidation type="list" allowBlank="1" showInputMessage="1" showErrorMessage="1" sqref="C31 E31 G31 I31" xr:uid="{00000000-0002-0000-3200-000009000000}">
      <formula1>是否封闭</formula1>
    </dataValidation>
    <dataValidation type="list" allowBlank="1" showInputMessage="1" showErrorMessage="1" sqref="B1" xr:uid="{00000000-0002-0000-3200-00000A000000}">
      <formula1>地类判定</formula1>
    </dataValidation>
    <dataValidation type="list" allowBlank="1" showInputMessage="1" showErrorMessage="1" sqref="C28 E28 G28 I28" xr:uid="{00000000-0002-0000-3200-00000B000000}">
      <formula1>仓储物业等级</formula1>
    </dataValidation>
    <dataValidation type="list" allowBlank="1" showInputMessage="1" showErrorMessage="1" sqref="C19 E19 G19 I19" xr:uid="{00000000-0002-0000-3200-00000C000000}">
      <formula1>基础设施水平</formula1>
    </dataValidation>
    <dataValidation type="list" allowBlank="1" showInputMessage="1" showErrorMessage="1" sqref="F1" xr:uid="{00000000-0002-0000-3200-00000D000000}">
      <formula1>"售价,租金"</formula1>
    </dataValidation>
    <dataValidation type="list" allowBlank="1" showInputMessage="1" showErrorMessage="1" sqref="D36" xr:uid="{00000000-0002-0000-32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25" t="s">
        <v>1578</v>
      </c>
      <c r="D1" s="4326"/>
      <c r="E1" s="4326"/>
      <c r="F1" s="4326"/>
      <c r="G1" s="4326"/>
      <c r="H1" s="4326"/>
      <c r="I1" s="4326"/>
      <c r="J1" s="4326"/>
      <c r="K1" s="4326"/>
      <c r="L1" s="4326"/>
      <c r="M1" s="4326"/>
      <c r="N1" s="4326"/>
      <c r="O1" s="4326"/>
      <c r="P1" s="4326"/>
      <c r="Q1" s="4326"/>
      <c r="R1" s="4326"/>
      <c r="S1" s="4327"/>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22" t="s">
        <v>14</v>
      </c>
      <c r="D22" s="4323"/>
      <c r="E22" s="4323"/>
      <c r="F22" s="4323"/>
      <c r="G22" s="4323"/>
      <c r="H22" s="4323"/>
      <c r="I22" s="4323"/>
      <c r="J22" s="4323"/>
      <c r="K22" s="4323"/>
      <c r="L22" s="4323"/>
      <c r="M22" s="4323"/>
      <c r="N22" s="4323"/>
      <c r="O22" s="4323"/>
      <c r="P22" s="4323"/>
      <c r="Q22" s="4324"/>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300-000000000000}">
      <formula1>一修多修正项2</formula1>
    </dataValidation>
    <dataValidation type="list" allowBlank="1" showInputMessage="1" showErrorMessage="1" sqref="F24:F524" xr:uid="{00000000-0002-0000-3300-000001000000}">
      <formula1>一修多修正项3</formula1>
    </dataValidation>
    <dataValidation type="list" allowBlank="1" showInputMessage="1" showErrorMessage="1" sqref="H24:H524" xr:uid="{00000000-0002-0000-3300-000002000000}">
      <formula1>一修多修正项4</formula1>
    </dataValidation>
    <dataValidation type="list" allowBlank="1" showInputMessage="1" showErrorMessage="1" sqref="J24:J524" xr:uid="{00000000-0002-0000-3300-000003000000}">
      <formula1>一修多修正项5</formula1>
    </dataValidation>
    <dataValidation type="list" allowBlank="1" showInputMessage="1" showErrorMessage="1" sqref="L24:L524" xr:uid="{00000000-0002-0000-3300-000004000000}">
      <formula1>一修多修正项6</formula1>
    </dataValidation>
    <dataValidation type="list" allowBlank="1" showInputMessage="1" showErrorMessage="1" sqref="N24:N524" xr:uid="{00000000-0002-0000-3300-000005000000}">
      <formula1>一修多修正项7</formula1>
    </dataValidation>
    <dataValidation type="list" allowBlank="1" showInputMessage="1" showErrorMessage="1" sqref="P24:P524" xr:uid="{00000000-0002-0000-3300-000006000000}">
      <formula1>一修多修正项8</formula1>
    </dataValidation>
    <dataValidation type="list" allowBlank="1" showInputMessage="1" showErrorMessage="1" sqref="B23 B2" xr:uid="{00000000-0002-0000-3300-000007000000}">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45076</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66" t="s">
        <v>1502</v>
      </c>
      <c r="B1" s="3966"/>
      <c r="C1" s="3966"/>
      <c r="D1" s="3966"/>
    </row>
    <row r="2" spans="1:4" ht="47.25" customHeight="1">
      <c r="A2" s="3967" t="str">
        <f>"1.权利限制："&amp;项目基本情况!L24&amp;"未设定租赁等其他他项权利。"</f>
        <v>1.权利限制：根据估价对象《不动产权证书》原件、《国有土地使用权》复印件，截至估价期日，估价对象抵押权未见登记。未设定租赁等其他他项权利。</v>
      </c>
      <c r="B2" s="3967"/>
      <c r="C2" s="3967"/>
      <c r="D2" s="3967"/>
    </row>
    <row r="3" spans="1:4" ht="48" customHeight="1">
      <c r="A3" s="39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66"/>
      <c r="C3" s="3966"/>
      <c r="D3" s="3966"/>
    </row>
    <row r="4" spans="1:4" ht="36.75" customHeight="1">
      <c r="A4" s="3966" t="str">
        <f>"3.估价规划限制条件：详见"&amp;项目基本情况!E21&amp;"。"</f>
        <v>3.估价规划限制条件：详见《建设工程规划许可证》[]、《出让合同》[]。</v>
      </c>
      <c r="B4" s="3966"/>
      <c r="C4" s="3966"/>
      <c r="D4" s="3966"/>
    </row>
    <row r="5" spans="1:4">
      <c r="A5" s="3965" t="s">
        <v>1503</v>
      </c>
      <c r="B5" s="3965"/>
      <c r="C5" s="3965"/>
      <c r="D5" s="3965"/>
    </row>
    <row r="6" spans="1:4">
      <c r="A6" s="3966" t="s">
        <v>1481</v>
      </c>
      <c r="B6" s="3966"/>
      <c r="C6" s="3966"/>
      <c r="D6" s="3966"/>
    </row>
    <row r="7" spans="1:4" ht="33" customHeight="1">
      <c r="A7" s="3966" t="s">
        <v>1766</v>
      </c>
      <c r="B7" s="3966"/>
      <c r="C7" s="3966"/>
      <c r="D7" s="3966"/>
    </row>
    <row r="8" spans="1:4" ht="32.25" customHeight="1">
      <c r="A8" s="39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66"/>
      <c r="C8" s="3966"/>
      <c r="D8" s="3966"/>
    </row>
    <row r="9" spans="1:4" ht="33.75" customHeight="1">
      <c r="A9" s="3966" t="str">
        <f>IF(项目基本情况!B8="抵押","3.抵押双方在办理抵押登记手续时，应使用本公司出具的正式《土地估价报告》，特提请报告使用者注意。","——")</f>
        <v>——</v>
      </c>
      <c r="B9" s="3966"/>
      <c r="C9" s="3966"/>
      <c r="D9" s="3966"/>
    </row>
    <row r="10" spans="1:4">
      <c r="A10" s="3966" t="str">
        <f>IF(项目基本情况!B8="抵押","4.估价师所知悉的法定优先受偿款情况为：","——")</f>
        <v>——</v>
      </c>
      <c r="B10" s="3966"/>
      <c r="C10" s="3966"/>
      <c r="D10" s="3966"/>
    </row>
    <row r="11" spans="1:4" ht="37.5" customHeight="1">
      <c r="A11" s="3968" t="str">
        <f>IF(项目基本情况!B8="抵押","（1）"&amp;CONCATENATE(项目基本情况!L24,项目基本情况!L25,项目基本情况!L26),"——")</f>
        <v>——</v>
      </c>
      <c r="B11" s="3968"/>
      <c r="C11" s="3968"/>
      <c r="D11" s="3968"/>
    </row>
    <row r="12" spans="1:4" ht="168" customHeight="1">
      <c r="A12" s="3965" t="s">
        <v>1505</v>
      </c>
      <c r="B12" s="3965"/>
      <c r="C12" s="3965"/>
      <c r="D12" s="3965"/>
    </row>
    <row r="13" spans="1:4">
      <c r="A13" s="3969" t="s">
        <v>1937</v>
      </c>
      <c r="B13" s="3969"/>
      <c r="C13" s="3969"/>
      <c r="D13" s="3969"/>
    </row>
    <row r="14" spans="1:4">
      <c r="A14" s="3968" t="str">
        <f>IF(项目基本情况!B8="抵押","综上，"&amp;结果表!K47,"——")</f>
        <v>——</v>
      </c>
      <c r="B14" s="3968"/>
      <c r="C14" s="3968"/>
      <c r="D14" s="3968"/>
    </row>
    <row r="15" spans="1:4" ht="58.5" customHeight="1">
      <c r="A15" s="39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66"/>
      <c r="C15" s="3966"/>
      <c r="D15" s="3966"/>
    </row>
    <row r="16" spans="1:4" ht="70.5" customHeight="1">
      <c r="A16" s="39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66"/>
      <c r="C16" s="3966"/>
      <c r="D16" s="3966"/>
    </row>
    <row r="17" spans="1:4">
      <c r="A17" s="3966" t="s">
        <v>1893</v>
      </c>
      <c r="B17" s="3966"/>
      <c r="C17" s="3966"/>
      <c r="D17" s="3966"/>
    </row>
    <row r="18" spans="1:4">
      <c r="A18" s="3966" t="s">
        <v>1885</v>
      </c>
      <c r="B18" s="3966"/>
      <c r="C18" s="3966"/>
      <c r="D18" s="3966"/>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66" t="s">
        <v>1890</v>
      </c>
      <c r="B23" s="3966"/>
      <c r="C23" s="3966"/>
      <c r="D23" s="3966"/>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77" t="s">
        <v>27</v>
      </c>
      <c r="B15" s="3978" t="s">
        <v>784</v>
      </c>
      <c r="C15" s="3974"/>
    </row>
    <row r="16" spans="1:7" ht="14.25">
      <c r="A16" s="3977"/>
      <c r="B16" s="3975" t="s">
        <v>28</v>
      </c>
      <c r="C16" s="949" t="s">
        <v>27</v>
      </c>
    </row>
    <row r="17" spans="1:3" ht="14.25">
      <c r="A17" s="3977"/>
      <c r="B17" s="3975"/>
      <c r="C17" s="949" t="s">
        <v>29</v>
      </c>
    </row>
    <row r="18" spans="1:3" ht="14.25">
      <c r="A18" s="3977"/>
      <c r="B18" s="3975"/>
      <c r="C18" s="949" t="s">
        <v>30</v>
      </c>
    </row>
    <row r="19" spans="1:3" ht="14.25">
      <c r="A19" s="3977"/>
      <c r="B19" s="3973" t="s">
        <v>31</v>
      </c>
      <c r="C19" s="3974"/>
    </row>
    <row r="20" spans="1:3" ht="14.25">
      <c r="A20" s="950" t="s">
        <v>32</v>
      </c>
      <c r="B20" s="951"/>
      <c r="C20" s="952"/>
    </row>
    <row r="21" spans="1:3" ht="14.25">
      <c r="A21" s="3976" t="s">
        <v>33</v>
      </c>
      <c r="B21" s="3973" t="s">
        <v>34</v>
      </c>
      <c r="C21" s="3974"/>
    </row>
    <row r="22" spans="1:3" ht="14.25">
      <c r="A22" s="3976"/>
      <c r="B22" s="3973" t="s">
        <v>35</v>
      </c>
      <c r="C22" s="3974"/>
    </row>
    <row r="23" spans="1:3" ht="14.25">
      <c r="A23" s="3976"/>
      <c r="B23" s="3973" t="s">
        <v>36</v>
      </c>
      <c r="C23" s="3974"/>
    </row>
    <row r="24" spans="1:3" ht="14.25">
      <c r="A24" s="3976"/>
      <c r="B24" s="3979" t="s">
        <v>37</v>
      </c>
      <c r="C24" s="953" t="s">
        <v>775</v>
      </c>
    </row>
    <row r="25" spans="1:3" ht="14.25">
      <c r="A25" s="3976"/>
      <c r="B25" s="3980"/>
      <c r="C25" s="953" t="s">
        <v>776</v>
      </c>
    </row>
    <row r="26" spans="1:3" ht="14.25">
      <c r="A26" s="3976"/>
      <c r="B26" s="3980"/>
      <c r="C26" s="953" t="s">
        <v>777</v>
      </c>
    </row>
    <row r="27" spans="1:3" ht="14.25">
      <c r="A27" s="3976"/>
      <c r="B27" s="3980"/>
      <c r="C27" s="953" t="s">
        <v>778</v>
      </c>
    </row>
    <row r="28" spans="1:3" ht="14.25">
      <c r="A28" s="3976"/>
      <c r="B28" s="3980"/>
      <c r="C28" s="953" t="s">
        <v>779</v>
      </c>
    </row>
    <row r="29" spans="1:3" ht="14.25">
      <c r="A29" s="3976"/>
      <c r="B29" s="3980"/>
      <c r="C29" s="953" t="s">
        <v>780</v>
      </c>
    </row>
    <row r="30" spans="1:3" ht="14.25">
      <c r="A30" s="3976"/>
      <c r="B30" s="3980"/>
      <c r="C30" s="953" t="s">
        <v>781</v>
      </c>
    </row>
    <row r="31" spans="1:3" ht="14.25">
      <c r="A31" s="3976"/>
      <c r="B31" s="3980"/>
      <c r="C31" s="953" t="s">
        <v>782</v>
      </c>
    </row>
    <row r="32" spans="1:3" ht="14.25">
      <c r="A32" s="3976"/>
      <c r="B32" s="3980"/>
      <c r="C32" s="953" t="s">
        <v>1181</v>
      </c>
    </row>
    <row r="33" spans="1:3" ht="14.25">
      <c r="A33" s="3976"/>
      <c r="B33" s="3970" t="s">
        <v>1187</v>
      </c>
      <c r="C33" s="953" t="s">
        <v>1182</v>
      </c>
    </row>
    <row r="34" spans="1:3" ht="14.25">
      <c r="A34" s="3976"/>
      <c r="B34" s="3971"/>
      <c r="C34" s="958" t="s">
        <v>1183</v>
      </c>
    </row>
    <row r="35" spans="1:3" ht="14.25">
      <c r="A35" s="3976"/>
      <c r="B35" s="3971"/>
      <c r="C35" s="959" t="s">
        <v>1184</v>
      </c>
    </row>
    <row r="36" spans="1:3" ht="14.25">
      <c r="A36" s="3976"/>
      <c r="B36" s="3971"/>
      <c r="C36" s="959" t="s">
        <v>1185</v>
      </c>
    </row>
    <row r="37" spans="1:3" ht="14.25">
      <c r="A37" s="3976"/>
      <c r="B37" s="3972"/>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45079</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84" t="s">
        <v>1367</v>
      </c>
      <c r="B18" s="3985"/>
      <c r="C18" s="3985"/>
      <c r="D18" s="3985"/>
      <c r="E18" s="3985"/>
      <c r="F18" s="3985"/>
      <c r="G18" s="2469"/>
    </row>
    <row r="19" spans="1:7" ht="20.25" customHeight="1">
      <c r="A19" s="3981" t="s">
        <v>1368</v>
      </c>
      <c r="B19" s="3981"/>
      <c r="C19" s="3982"/>
      <c r="D19" s="3983" t="s">
        <v>1369</v>
      </c>
      <c r="E19" s="3981"/>
      <c r="F19" s="3981"/>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86"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c r="D53" s="1397"/>
      <c r="E53" s="1397"/>
    </row>
    <row r="54" spans="1:5">
      <c r="A54" s="3986"/>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86"/>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86"/>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86"/>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2023-06-02T05:00:47Z</dcterms:modified>
</cp:coreProperties>
</file>