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KG\Desktop\利用中心\科研\"/>
    </mc:Choice>
  </mc:AlternateContent>
  <xr:revisionPtr revIDLastSave="0" documentId="13_ncr:1_{EE34517C-0456-4654-8C1C-26145A5BC86D}" xr6:coauthVersionLast="45" xr6:coauthVersionMax="45" xr10:uidLastSave="{00000000-0000-0000-0000-000000000000}"/>
  <bookViews>
    <workbookView xWindow="-60" yWindow="0" windowWidth="11535" windowHeight="10860" tabRatio="875" firstSheet="19" activeTab="1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结果表" sheetId="9" state="hidden" r:id="rId16"/>
    <sheet name="土储要求测算表" sheetId="78" state="hidden" r:id="rId17"/>
    <sheet name="基准地价-商业" sheetId="46" state="hidden" r:id="rId18"/>
    <sheet name="基准地价-办公" sheetId="73" state="hidden" r:id="rId19"/>
    <sheet name="结果汇总表" sheetId="85" r:id="rId20"/>
    <sheet name="面积表" sheetId="82" r:id="rId21"/>
    <sheet name="基准地价-科研" sheetId="83" r:id="rId22"/>
    <sheet name="剩余法（待）-商业" sheetId="12" state="hidden" r:id="rId23"/>
    <sheet name="比较法-住宅、综合" sheetId="39" state="hidden" r:id="rId24"/>
    <sheet name="剩余法-现房" sheetId="43" state="hidden" r:id="rId25"/>
    <sheet name="比较法-工业" sheetId="40" state="hidden"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state="hidden" r:id="rId33"/>
    <sheet name="基准地价（汇总）" sheetId="67" state="hidden" r:id="rId34"/>
    <sheet name="不动产收益法-商业" sheetId="75" state="hidden" r:id="rId35"/>
    <sheet name="不动产比较法-商业" sheetId="33" state="hidden" r:id="rId36"/>
    <sheet name="商业租金案例" sheetId="77" state="hidden" r:id="rId37"/>
    <sheet name="土地案例" sheetId="84" state="hidden" r:id="rId38"/>
    <sheet name="剩余法（待）-科研" sheetId="74" r:id="rId39"/>
    <sheet name="不动产收益法-科研" sheetId="76" r:id="rId40"/>
    <sheet name="不动产比较法-科研" sheetId="34" r:id="rId41"/>
    <sheet name="租金案例" sheetId="80" r:id="rId42"/>
    <sheet name="系统读取表" sheetId="66" r:id="rId43"/>
    <sheet name="不动产收益法-酒店模型" sheetId="68" state="hidden" r:id="rId44"/>
    <sheet name="Sheet8" sheetId="79" state="hidden" r:id="rId45"/>
    <sheet name="收益还原法" sheetId="44" state="hidden" r:id="rId46"/>
    <sheet name="成本逼近法" sheetId="11" state="hidden" r:id="rId47"/>
    <sheet name="不动产比较法-住宅" sheetId="21"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state="hidden" r:id="rId53"/>
  </sheets>
  <externalReferences>
    <externalReference r:id="rId54"/>
    <externalReference r:id="rId55"/>
    <externalReference r:id="rId56"/>
    <externalReference r:id="rId57"/>
    <externalReference r:id="rId58"/>
    <externalReference r:id="rId59"/>
    <externalReference r:id="rId60"/>
  </externalReferences>
  <definedNames>
    <definedName name="_xlnm._FilterDatabase" localSheetId="25" hidden="1">'比较法-工业'!$A$1:$L$45</definedName>
    <definedName name="_xlnm._FilterDatabase" localSheetId="23" hidden="1">'比较法-住宅、综合'!$A$1:$L$50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0" hidden="1">'不动产比较法-科研'!$A$1:$L$50</definedName>
    <definedName name="_xlnm._FilterDatabase" localSheetId="35" hidden="1">'不动产比较法-商业'!$A$1:$L$49</definedName>
    <definedName name="_xlnm._FilterDatabase" localSheetId="4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5">'比较法-工业'!$A$1:$K$62,'比较法-工业'!$A$65:$N$122</definedName>
    <definedName name="_xlnm.Print_Area" localSheetId="23">'比较法-住宅、综合'!$A$1:$K$66,'比较法-住宅、综合'!$A$70:$N$133</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0">'不动产比较法-科研'!$A$1:$K$55,'不动产比较法-科研'!$A$58:$M$132</definedName>
    <definedName name="_xlnm.Print_Area" localSheetId="35">'不动产比较法-商业'!$A$1:$K$54,'不动产比较法-商业'!$A$57:$M$131</definedName>
    <definedName name="_xlnm.Print_Area" localSheetId="47">'不动产比较法-住宅'!$A$1:$K$54,'不动产比较法-住宅'!$A$57:$M$131</definedName>
    <definedName name="_xlnm.Print_Area" localSheetId="39">'不动产收益法-科研'!$A$1:$F$43,'不动产收益法-科研'!$I$46:$M$60</definedName>
    <definedName name="_xlnm.Print_Area" localSheetId="34">'不动产收益法-商业'!$A$1:$F$43,'不动产收益法-商业'!$I$46:$M$60</definedName>
    <definedName name="_xlnm.Print_Area" localSheetId="46">成本逼近法!$A$1:$G$23</definedName>
    <definedName name="_xlnm.Print_Area" localSheetId="14">估价对象房地状况!$A$1:$G$24</definedName>
    <definedName name="_xlnm.Print_Area" localSheetId="7">估价师及机构信息!$A$1:$F$23</definedName>
    <definedName name="_xlnm.Print_Area" localSheetId="33">'基准地价（汇总）'!$A$1:$F$14</definedName>
    <definedName name="_xlnm.Print_Area" localSheetId="18">'基准地价-办公'!$A$1:$J$44,'基准地价-办公'!$A$47:$N$103,'基准地价-办公'!$R$1:$V$16</definedName>
    <definedName name="_xlnm.Print_Area" localSheetId="21">'基准地价-科研'!$A$1:$J$44,'基准地价-科研'!$A$47:$N$103,'基准地价-科研'!$R$1:$V$16</definedName>
    <definedName name="_xlnm.Print_Area" localSheetId="17">'基准地价-商业'!$A$1:$J$44,'基准地价-商业'!$A$47:$N$103,'基准地价-商业'!$R$1:$V$16</definedName>
    <definedName name="_xlnm.Print_Area" localSheetId="15">结果表!$A$1:$I$46,结果表!$K$25:$O$44,结果表!$A$62:$I$115,结果表!$K$64:$P$81</definedName>
    <definedName name="_xlnm.Print_Area" localSheetId="38">'剩余法（待）-科研'!$A$1:$K$36</definedName>
    <definedName name="_xlnm.Print_Area" localSheetId="22">'剩余法（待）-商业'!$A$1:$K$36</definedName>
    <definedName name="_xlnm.Print_Area" localSheetId="24">'剩余法-现房'!$A$1:$K$27</definedName>
    <definedName name="_xlnm.Print_Area" localSheetId="45">收益还原法!$A$1:$F$46,收益还原法!$I$47:$M$61</definedName>
    <definedName name="_xlnm.Print_Area" localSheetId="12">'数据-汇总表'!$A$1:$P$32</definedName>
    <definedName name="_xlnm.Print_Area" localSheetId="42">系统读取表!$A$1:$J$26</definedName>
    <definedName name="_xlnm.Print_Area" localSheetId="10">项目基本情况!$A$1:$J$44</definedName>
    <definedName name="八级">区片价!$Q$1:$Q$44</definedName>
    <definedName name="办公层高" localSheetId="20">'[1]不动产比较法-办公租金'!$B$119:$M$119</definedName>
    <definedName name="办公层高" localSheetId="16">'[2]不动产比较法-办公租金'!$B$119:$M$119</definedName>
    <definedName name="办公层高">'不动产比较法-科研'!$B$119:$M$119</definedName>
    <definedName name="办公朝向" localSheetId="20">'[1]不动产比较法-办公租金'!$B$91:$M$91</definedName>
    <definedName name="办公朝向" localSheetId="16">'[2]不动产比较法-办公租金'!$B$91:$M$91</definedName>
    <definedName name="办公朝向">'不动产比较法-科研'!$B$91:$M$91</definedName>
    <definedName name="办公道路级别" localSheetId="20">'[1]不动产比较法-办公租金'!$B$87:$M$87</definedName>
    <definedName name="办公道路级别" localSheetId="16">'[2]不动产比较法-办公租金'!$B$87:$M$87</definedName>
    <definedName name="办公道路级别">'不动产比较法-科研'!$B$87:$M$87</definedName>
    <definedName name="办公公共部分装修" localSheetId="20">'[1]不动产比较法-办公租金'!$B$108:$M$108</definedName>
    <definedName name="办公公共部分装修" localSheetId="16">'[2]不动产比较法-办公租金'!$B$108:$M$108</definedName>
    <definedName name="办公公共部分装修">'不动产比较法-科研'!$B$108:$M$108</definedName>
    <definedName name="办公基础设施水平" localSheetId="20">'[1]不动产比较法-办公租金'!$B$117:$M$117</definedName>
    <definedName name="办公基础设施水平" localSheetId="16">'[2]不动产比较法-办公租金'!$B$117:$M$117</definedName>
    <definedName name="办公基础设施水平">'不动产比较法-科研'!$B$117:$M$117</definedName>
    <definedName name="办公集聚程度" localSheetId="20">[1]定义!$M$1:$M$6</definedName>
    <definedName name="办公集聚程度" localSheetId="16">[2]定义!$M$1:$M$6</definedName>
    <definedName name="办公集聚程度">定义!$M$1:$M$6</definedName>
    <definedName name="办公建筑结构" localSheetId="20">'[1]不动产比较法-办公租金'!$B$106:$M$106</definedName>
    <definedName name="办公建筑结构" localSheetId="16">'[2]不动产比较法-办公租金'!$B$106:$M$106</definedName>
    <definedName name="办公建筑结构">'不动产比较法-科研'!$B$106:$M$106</definedName>
    <definedName name="办公建筑类型" localSheetId="20">'[1]不动产比较法-办公租金'!$B$101:$M$101</definedName>
    <definedName name="办公建筑类型" localSheetId="16">'[2]不动产比较法-办公租金'!$B$101:$M$101</definedName>
    <definedName name="办公建筑类型">'不动产比较法-科研'!$B$101:$M$101</definedName>
    <definedName name="办公交易情况" localSheetId="20">'[1]不动产比较法-办公租金'!$A$62:$M$62</definedName>
    <definedName name="办公交易情况" localSheetId="16">'[2]不动产比较法-办公租金'!$A$62:$M$62</definedName>
    <definedName name="办公交易情况">'不动产比较法-科研'!$A$62:$M$62</definedName>
    <definedName name="办公楼层" localSheetId="20">'[1]不动产比较法-办公租金'!$B$89:$M$89</definedName>
    <definedName name="办公楼层" localSheetId="16">'[2]不动产比较法-办公租金'!$B$89:$M$89</definedName>
    <definedName name="办公楼层">'不动产比较法-科研'!$B$89:$M$89</definedName>
    <definedName name="办公内部装修" localSheetId="20">'[1]不动产比较法-办公租金'!$B$123:$M$123</definedName>
    <definedName name="办公内部装修" localSheetId="16">'[2]不动产比较法-办公租金'!$B$123:$M$123</definedName>
    <definedName name="办公内部装修">'不动产比较法-科研'!$B$123:$M$123</definedName>
    <definedName name="办公物业管理" localSheetId="20">'[1]不动产比较法-办公租金'!$B$115:$M$115</definedName>
    <definedName name="办公物业管理" localSheetId="16">'[2]不动产比较法-办公租金'!$B$115:$M$115</definedName>
    <definedName name="办公物业管理">'不动产比较法-科研'!$B$115:$M$115</definedName>
    <definedName name="办公用途" localSheetId="20">'[1]不动产比较法-办公租金'!$B$64:$M$64</definedName>
    <definedName name="办公用途" localSheetId="16">'[2]不动产比较法-办公租金'!$B$64:$M$64</definedName>
    <definedName name="办公用途">'不动产比较法-科研'!$B$64:$M$64</definedName>
    <definedName name="仓储公共部分装修" localSheetId="20">'[1]不动产比较法-仓储'!$B$77:$M$77</definedName>
    <definedName name="仓储公共部分装修" localSheetId="16">'[2]不动产比较法-仓储'!$B$77:$M$77</definedName>
    <definedName name="仓储公共部分装修">'不动产比较法-仓储'!$B$77:$M$77</definedName>
    <definedName name="仓储交易情况" localSheetId="20">'[1]不动产比较法-仓储'!$A$49:$M$49</definedName>
    <definedName name="仓储交易情况" localSheetId="16">'[2]不动产比较法-仓储'!$A$49:$M$49</definedName>
    <definedName name="仓储交易情况">'不动产比较法-仓储'!$A$49:$M$49</definedName>
    <definedName name="仓储楼层" localSheetId="20">'[1]不动产比较法-仓储'!$B$69:$M$69</definedName>
    <definedName name="仓储楼层" localSheetId="16">'[2]不动产比较法-仓储'!$B$69:$M$69</definedName>
    <definedName name="仓储楼层">'不动产比较法-仓储'!$B$69:$M$69</definedName>
    <definedName name="仓储物业等级" localSheetId="20">'[1]不动产比较法-仓储'!$B$82:$M$82</definedName>
    <definedName name="仓储物业等级" localSheetId="16">'[2]不动产比较法-仓储'!$B$82:$M$82</definedName>
    <definedName name="仓储物业等级">'不动产比较法-仓储'!$B$82:$M$82</definedName>
    <definedName name="仓储用途" localSheetId="20">'[1]不动产比较法-仓储'!$B$51:$M$51</definedName>
    <definedName name="仓储用途" localSheetId="16">'[2]不动产比较法-仓储'!$B$51:$M$51</definedName>
    <definedName name="仓储用途">'不动产比较法-仓储'!$B$51:$M$51</definedName>
    <definedName name="产业集聚程度" localSheetId="20">[1]定义!$N$1:$N$6</definedName>
    <definedName name="产业集聚程度" localSheetId="16">[2]定义!$N$1:$N$6</definedName>
    <definedName name="产业集聚程度">定义!$N$1:$N$6</definedName>
    <definedName name="车位公共部分装修" localSheetId="20">'[1]不动产比较法-车位'!$B$83:$M$83</definedName>
    <definedName name="车位公共部分装修" localSheetId="16">'[2]不动产比较法-车位'!$B$83:$M$83</definedName>
    <definedName name="车位公共部分装修">'不动产比较法-车位'!$B$83:$M$83</definedName>
    <definedName name="车位交易情况" localSheetId="20">'[1]不动产比较法-车位'!$A$51:$M$51</definedName>
    <definedName name="车位交易情况" localSheetId="16">'[2]不动产比较法-车位'!$A$51:$M$51</definedName>
    <definedName name="车位交易情况">'不动产比较法-车位'!$A$51:$M$51</definedName>
    <definedName name="车位类型" localSheetId="20">'[1]不动产比较法-车位'!$B$93:$M$93</definedName>
    <definedName name="车位类型" localSheetId="16">'[2]不动产比较法-车位'!$B$93:$M$93</definedName>
    <definedName name="车位类型">'不动产比较法-车位'!$B$93:$M$93</definedName>
    <definedName name="车位楼层" localSheetId="20">'[1]不动产比较法-车位'!$B$71:$M$71</definedName>
    <definedName name="车位楼层" localSheetId="16">'[2]不动产比较法-车位'!$B$71:$M$71</definedName>
    <definedName name="车位楼层">'不动产比较法-车位'!$B$71:$M$71</definedName>
    <definedName name="车位配套类型" localSheetId="20">'[1]不动产比较法-车位'!$B$79:$M$79</definedName>
    <definedName name="车位配套类型" localSheetId="16">'[2]不动产比较法-车位'!$B$79:$M$79</definedName>
    <definedName name="车位配套类型">'不动产比较法-车位'!$B$79:$M$79</definedName>
    <definedName name="车位物业等级" localSheetId="20">'[1]不动产比较法-车位'!$B$88:$M$88</definedName>
    <definedName name="车位物业等级" localSheetId="16">'[2]不动产比较法-车位'!$B$88:$M$88</definedName>
    <definedName name="车位物业等级">'不动产比较法-车位'!$B$88:$M$88</definedName>
    <definedName name="车位用途" localSheetId="20">'[1]不动产比较法-车位'!$B$53:$M$53</definedName>
    <definedName name="车位用途" localSheetId="16">'[2]不动产比较法-车位'!$B$53:$M$53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6">'[2]数据-取费表'!$A$53:$A$63</definedName>
    <definedName name="城镇土地纳税等级分级范围">'数据-取费表'!$A$53:$A$63</definedName>
    <definedName name="单价内涵" localSheetId="20">[1]定义!$V$1:$V$3</definedName>
    <definedName name="单价内涵" localSheetId="16">[2]定义!$V$1:$V$3</definedName>
    <definedName name="单价内涵">定义!$V$1:$V$3</definedName>
    <definedName name="地类判定" localSheetId="20">[1]定义!$H$1:$H$9</definedName>
    <definedName name="地类判定" localSheetId="16">[2]定义!$H$1:$H$9</definedName>
    <definedName name="地类判定">定义!$H$1:$H$9</definedName>
    <definedName name="二级">区片价!$K$1:$K$21</definedName>
    <definedName name="二级分类" localSheetId="20">[1]修正!$C$19:$C$51</definedName>
    <definedName name="二级分类" localSheetId="16">[2]修正!$C$19:$C$51</definedName>
    <definedName name="二级分类">修正!$C$19:$C$51</definedName>
    <definedName name="法定最高年限" localSheetId="20">[1]定义!$G$2:$G$5</definedName>
    <definedName name="法定最高年限" localSheetId="16">[2]定义!$G$2:$G$5</definedName>
    <definedName name="法定最高年限">定义!$G$2:$G$5</definedName>
    <definedName name="工业公共部分装修" localSheetId="20">'[1]不动产比较法-工业'!$B$95:$M$95</definedName>
    <definedName name="工业公共部分装修" localSheetId="16">'[2]不动产比较法-工业'!$B$95:$M$95</definedName>
    <definedName name="工业公共部分装修">'不动产比较法-工业'!$B$95:$M$95</definedName>
    <definedName name="工业基础设施水平" localSheetId="20">'[1]不动产比较法-工业'!$B$102:$M$102</definedName>
    <definedName name="工业基础设施水平" localSheetId="16">'[2]不动产比较法-工业'!$B$102:$M$102</definedName>
    <definedName name="工业基础设施水平">'不动产比较法-工业'!$B$102:$M$102</definedName>
    <definedName name="工业建筑结构" localSheetId="20">'[1]不动产比较法-工业'!$B$93:$M$93</definedName>
    <definedName name="工业建筑结构" localSheetId="16">'[2]不动产比较法-工业'!$B$93:$M$93</definedName>
    <definedName name="工业建筑结构">'不动产比较法-工业'!$B$93:$M$93</definedName>
    <definedName name="工业建筑类型" localSheetId="20">'[1]不动产比较法-工业'!$B$88:$M$88</definedName>
    <definedName name="工业建筑类型" localSheetId="16">'[2]不动产比较法-工业'!$B$88:$M$88</definedName>
    <definedName name="工业建筑类型">'不动产比较法-工业'!$B$88:$M$88</definedName>
    <definedName name="工业交易情况" localSheetId="20">'[1]不动产比较法-工业'!$A$55:$M$55</definedName>
    <definedName name="工业交易情况" localSheetId="16">'[2]不动产比较法-工业'!$A$55:$M$55</definedName>
    <definedName name="工业交易情况">'不动产比较法-工业'!$A$55:$M$55</definedName>
    <definedName name="工业内部装修" localSheetId="20">'[1]不动产比较法-工业'!$B$104:$M$104</definedName>
    <definedName name="工业内部装修" localSheetId="16">'[2]不动产比较法-工业'!$B$104:$M$104</definedName>
    <definedName name="工业内部装修">'不动产比较法-工业'!$B$104:$M$104</definedName>
    <definedName name="工业物业管理" localSheetId="20">'[1]不动产比较法-工业'!$B$100:$M$100</definedName>
    <definedName name="工业物业管理" localSheetId="16">'[2]不动产比较法-工业'!$B$100:$M$100</definedName>
    <definedName name="工业物业管理">'不动产比较法-工业'!$B$100:$M$100</definedName>
    <definedName name="工业用途" localSheetId="20">'[1]不动产比较法-工业'!$B$57:$M$57</definedName>
    <definedName name="工业用途" localSheetId="16">'[2]不动产比较法-工业'!$B$57:$M$57</definedName>
    <definedName name="工业用途">'不动产比较法-工业'!$B$57:$M$57</definedName>
    <definedName name="公共配套设施" localSheetId="20">[1]定义!$Q$1:$Q$6</definedName>
    <definedName name="公共配套设施" localSheetId="16">[2]定义!$Q$1:$Q$6</definedName>
    <definedName name="公共配套设施">定义!$Q$1:$Q$6</definedName>
    <definedName name="估价范围判定" localSheetId="20">[1]定义!$D$1:$D$4</definedName>
    <definedName name="估价范围判定" localSheetId="16">[2]定义!$D$1:$D$4</definedName>
    <definedName name="估价范围判定">定义!$D$1:$D$4</definedName>
    <definedName name="估价方法" localSheetId="20">[1]定义!$B$1:$B$50</definedName>
    <definedName name="估价方法" localSheetId="16">[2]定义!$B$1:$B$50</definedName>
    <definedName name="估价方法">定义!$B$1:$B$50</definedName>
    <definedName name="环境" localSheetId="20">[1]定义!$S$1:$S$6</definedName>
    <definedName name="环境" localSheetId="16">[2]定义!$S$1:$S$6</definedName>
    <definedName name="环境">定义!$S$1:$S$6</definedName>
    <definedName name="基础设施水平" localSheetId="20">[1]定义!$R$1:$R$6</definedName>
    <definedName name="基础设施水平" localSheetId="16">[2]定义!$R$1:$R$6</definedName>
    <definedName name="基础设施水平">定义!$R$1:$R$6</definedName>
    <definedName name="季度" localSheetId="18">'基准地价-办公'!$N$19:$AB$19</definedName>
    <definedName name="季度" localSheetId="21">'基准地价-科研'!$N$19:$AB$19</definedName>
    <definedName name="季度">'基准地价-商业'!$N$19:$AB$19</definedName>
    <definedName name="季度2014">地价!$A$2:$A$41</definedName>
    <definedName name="价值类型2" localSheetId="20">[1]定义!$B$54:$B$56</definedName>
    <definedName name="价值类型2" localSheetId="16">[2]定义!$B$54:$B$56</definedName>
    <definedName name="价值类型2">定义!$B$54:$B$56</definedName>
    <definedName name="交通便捷度" localSheetId="20">[1]定义!$O$1:$O$6</definedName>
    <definedName name="交通便捷度" localSheetId="16">[2]定义!$O$1:$O$6</definedName>
    <definedName name="交通便捷度">定义!$O$1:$O$6</definedName>
    <definedName name="九级">区片价!$R$1:$R$51</definedName>
    <definedName name="居住社区成熟度" localSheetId="20">[1]定义!$K$1:$K$6</definedName>
    <definedName name="居住社区成熟度" localSheetId="16">[2]定义!$K$1:$K$6</definedName>
    <definedName name="居住社区成熟度">定义!$K$1:$K$6</definedName>
    <definedName name="类别" localSheetId="20">[1]定义!$J$1:$J$3</definedName>
    <definedName name="类别" localSheetId="16">[2]定义!$J$1:$J$3</definedName>
    <definedName name="类别">定义!$J$1:$J$3</definedName>
    <definedName name="临街状况" localSheetId="20">[1]定义!$T$1:$T$5</definedName>
    <definedName name="临街状况" localSheetId="16">[2]定义!$T$1:$T$5</definedName>
    <definedName name="临街状况">定义!$T$1:$T$5</definedName>
    <definedName name="六级">区片价!$O$1:$O$64</definedName>
    <definedName name="内部装修维护情况" localSheetId="20">[1]定义!$U$1:$U$6</definedName>
    <definedName name="内部装修维护情况" localSheetId="16">[2]定义!$U$1:$U$6</definedName>
    <definedName name="内部装修维护情况">定义!$U$1:$U$6</definedName>
    <definedName name="判定">[3]定义!$D$1:$D$4</definedName>
    <definedName name="七级">区片价!$P$1:$P$45</definedName>
    <definedName name="七通一平" localSheetId="20">[1]修正!$A$8:$A$16</definedName>
    <definedName name="七通一平" localSheetId="16">[2]修正!$A$8:$A$16</definedName>
    <definedName name="七通一平">修正!$A$8:$A$16</definedName>
    <definedName name="区域土地利用方向" localSheetId="20">[1]定义!$P$1:$P$6</definedName>
    <definedName name="区域土地利用方向" localSheetId="16">[2]定义!$P$1:$P$6</definedName>
    <definedName name="区域土地利用方向">定义!$P$1:$P$6</definedName>
    <definedName name="三级">区片价!$L$1:$L$26</definedName>
    <definedName name="商业层高" localSheetId="20">'[1]不动产比较法-商业租金'!$B$116:$M$116</definedName>
    <definedName name="商业层高" localSheetId="16">'[2]不动产比较法-商业租金'!$B$116:$M$116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6">[2]定义!$L$1:$L$6</definedName>
    <definedName name="商业繁华度">定义!$L$1:$L$6</definedName>
    <definedName name="商业公共部分装修" localSheetId="20">'[1]不动产比较法-商业租金'!$B$107:$M$107</definedName>
    <definedName name="商业公共部分装修" localSheetId="16">'[2]不动产比较法-商业租金'!$B$107:$M$107</definedName>
    <definedName name="商业公共部分装修">'不动产比较法-商业'!$B$107:$M$107</definedName>
    <definedName name="商业基础设施水平" localSheetId="20">'[1]不动产比较法-商业租金'!$B$112:$M$112</definedName>
    <definedName name="商业基础设施水平" localSheetId="16">'[2]不动产比较法-商业租金'!$B$112:$M$112</definedName>
    <definedName name="商业基础设施水平">'不动产比较法-商业'!$B$112:$M$112</definedName>
    <definedName name="商业建筑结构" localSheetId="20">'[1]不动产比较法-商业租金'!$B$105:$M$105</definedName>
    <definedName name="商业建筑结构" localSheetId="16">'[2]不动产比较法-商业租金'!$B$105:$M$105</definedName>
    <definedName name="商业建筑结构">'不动产比较法-商业'!$B$105:$M$105</definedName>
    <definedName name="商业交易情况" localSheetId="20">'[1]不动产比较法-商业租金'!$A$61:$M$61</definedName>
    <definedName name="商业交易情况" localSheetId="16">'[2]不动产比较法-商业租金'!$A$61:$M$61</definedName>
    <definedName name="商业交易情况">'不动产比较法-商业'!$A$61:$M$61</definedName>
    <definedName name="商业街名称" localSheetId="20">[1]修正!$C$71:$C$139</definedName>
    <definedName name="商业街名称" localSheetId="16">[2]修正!$C$71:$C$139</definedName>
    <definedName name="商业街名称">修正!$C$71:$C$139</definedName>
    <definedName name="商业进深比" localSheetId="20">'[1]不动产比较法-商业租金'!$B$120:$M$120</definedName>
    <definedName name="商业进深比" localSheetId="16">'[2]不动产比较法-商业租金'!$B$120:$M$120</definedName>
    <definedName name="商业进深比">'不动产比较法-商业'!$B$120:$M$120</definedName>
    <definedName name="商业类型" localSheetId="20">'[1]不动产比较法-商业租金'!$B$100:$M$100</definedName>
    <definedName name="商业类型" localSheetId="16">'[2]不动产比较法-商业租金'!$B$100:$M$100</definedName>
    <definedName name="商业类型">'不动产比较法-商业'!$B$100:$M$100</definedName>
    <definedName name="商业临街状况" localSheetId="20">'[1]不动产比较法-商业租金'!$B$86:$M$86</definedName>
    <definedName name="商业临街状况" localSheetId="16">'[2]不动产比较法-商业租金'!$B$86:$M$86</definedName>
    <definedName name="商业临街状况">'不动产比较法-商业'!$B$86:$M$86</definedName>
    <definedName name="商业楼层" localSheetId="20">'[1]不动产比较法-商业租金'!$B$92:$M$92</definedName>
    <definedName name="商业楼层" localSheetId="16">'[2]不动产比较法-商业租金'!$B$92:$M$92</definedName>
    <definedName name="商业楼层">'不动产比较法-商业'!$B$92:$M$92</definedName>
    <definedName name="商业内部装修" localSheetId="20">'[1]不动产比较法-商业租金'!$B$122:$M$122</definedName>
    <definedName name="商业内部装修" localSheetId="16">'[2]不动产比较法-商业租金'!$B$122:$M$122</definedName>
    <definedName name="商业内部装修">'不动产比较法-商业'!$B$122:$M$122</definedName>
    <definedName name="商业人流量" localSheetId="20">'[1]不动产比较法-商业租金'!$B$90:$M$90</definedName>
    <definedName name="商业人流量" localSheetId="16">'[2]不动产比较法-商业租金'!$B$90:$M$90</definedName>
    <definedName name="商业人流量">'不动产比较法-商业'!$B$90:$M$90</definedName>
    <definedName name="商业业态" localSheetId="20">'[1]不动产比较法-商业租金'!$B$114:$M$114</definedName>
    <definedName name="商业业态" localSheetId="16">'[2]不动产比较法-商业租金'!$B$114:$M$114</definedName>
    <definedName name="商业业态">'不动产比较法-商业'!$B$114:$M$114</definedName>
    <definedName name="商业用途" localSheetId="20">'[1]不动产比较法-商业租金'!$B$63:$M$63</definedName>
    <definedName name="商业用途" localSheetId="16">'[2]不动产比较法-商业租金'!$B$63:$M$63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20">'[1]不动产比较法-仓储'!$B$89:$M$89</definedName>
    <definedName name="是否封闭" localSheetId="16">'[2]不动产比较法-仓储'!$B$89:$M$89</definedName>
    <definedName name="是否封闭">'不动产比较法-仓储'!$B$89:$M$89</definedName>
    <definedName name="是否直接入户" localSheetId="20">'[1]不动产比较法-车位'!$B$95:$M$95</definedName>
    <definedName name="是否直接入户" localSheetId="16">'[2]不动产比较法-车位'!$B$95:$M$95</definedName>
    <definedName name="是否直接入户">'不动产比较法-车位'!$B$95:$M$95</definedName>
    <definedName name="四级">区片价!$M$1:$M$33</definedName>
    <definedName name="套工工程地质条件" localSheetId="20">'[1]比较法-工业'!$B$115:$M$115</definedName>
    <definedName name="套工工程地质条件" localSheetId="16">'[2]比较法-工业'!$B$115:$M$115</definedName>
    <definedName name="套工工程地质条件">'比较法-工业'!$B$115:$M$115</definedName>
    <definedName name="套工交易情况" localSheetId="20">'[1]比较法-住宅、综合'!$A$74:$M$74</definedName>
    <definedName name="套工交易情况" localSheetId="16">'[2]比较法-住宅、综合'!$A$74:$M$74</definedName>
    <definedName name="套工交易情况">'比较法-住宅、综合'!$A$74:$M$74</definedName>
    <definedName name="套工开发程度" localSheetId="20">'[1]比较法-工业'!$B$113:$M$113</definedName>
    <definedName name="套工开发程度" localSheetId="16">'[2]比较法-工业'!$B$113:$M$113</definedName>
    <definedName name="套工开发程度">'比较法-工业'!$B$113:$M$113</definedName>
    <definedName name="套工临街等级" localSheetId="20">'[1]比较法-工业'!$B$98:$M$98</definedName>
    <definedName name="套工临街等级" localSheetId="16">'[2]比较法-工业'!$B$98:$M$98</definedName>
    <definedName name="套工临街等级">'比较法-工业'!$B$98:$M$98</definedName>
    <definedName name="套工土地级别" localSheetId="20">'[1]比较法-工业'!$B$100:$M$100</definedName>
    <definedName name="套工土地级别" localSheetId="16">'[2]比较法-工业'!$B$100:$M$100</definedName>
    <definedName name="套工土地级别">'比较法-工业'!$B$100:$M$100</definedName>
    <definedName name="套工用途" localSheetId="20">'[1]比较法-工业'!$B$71:$M$71</definedName>
    <definedName name="套工用途" localSheetId="16">'[2]比较法-工业'!$B$71:$M$71</definedName>
    <definedName name="套工用途">'比较法-工业'!$B$71:$M$71</definedName>
    <definedName name="套工宗地形状" localSheetId="20">'[1]比较法-工业'!$B$111:$M$111</definedName>
    <definedName name="套工宗地形状" localSheetId="16">'[2]比较法-工业'!$B$111:$M$111</definedName>
    <definedName name="套工宗地形状">'比较法-工业'!$B$111:$M$111</definedName>
    <definedName name="套综道路等级" localSheetId="20">'[1]比较法-住宅、综合'!$B$107:$M$107</definedName>
    <definedName name="套综道路等级" localSheetId="16">'[2]比较法-住宅、综合'!$B$107:$M$107</definedName>
    <definedName name="套综道路等级">'比较法-住宅、综合'!$B$107:$M$107</definedName>
    <definedName name="套综工程地质条件" localSheetId="20">'[1]比较法-住宅、综合'!$B$126:$M$126</definedName>
    <definedName name="套综工程地质条件" localSheetId="16">'[2]比较法-住宅、综合'!$B$126:$M$126</definedName>
    <definedName name="套综工程地质条件">'比较法-住宅、综合'!$B$126:$M$126</definedName>
    <definedName name="套综交易情况" localSheetId="20">'[1]比较法-住宅、综合'!$A$74:$M$74</definedName>
    <definedName name="套综交易情况" localSheetId="16">'[2]比较法-住宅、综合'!$A$74:$M$74</definedName>
    <definedName name="套综交易情况">'比较法-住宅、综合'!$A$74:$M$74</definedName>
    <definedName name="套综临街宽度及深度" localSheetId="20">'[1]比较法-住宅、综合'!$B$122:$M$122</definedName>
    <definedName name="套综临街宽度及深度" localSheetId="16">'[2]比较法-住宅、综合'!$B$122:$M$122</definedName>
    <definedName name="套综临街宽度及深度">'比较法-住宅、综合'!$B$122:$M$122</definedName>
    <definedName name="套综土地级别" localSheetId="20">'[1]比较法-住宅、综合'!$B$109:$M$109</definedName>
    <definedName name="套综土地级别" localSheetId="16">'[2]比较法-住宅、综合'!$B$109:$M$109</definedName>
    <definedName name="套综土地级别">'比较法-住宅、综合'!$B$109:$M$109</definedName>
    <definedName name="套综用途" localSheetId="20">'[1]比较法-住宅、综合'!$B$76:$M$76</definedName>
    <definedName name="套综用途" localSheetId="16">'[2]比较法-住宅、综合'!$B$76:$M$76</definedName>
    <definedName name="套综用途">'比较法-住宅、综合'!$B$76:$M$76</definedName>
    <definedName name="套综宗地内开发程度" localSheetId="20">'[1]比较法-住宅、综合'!$B$124:$M$124</definedName>
    <definedName name="套综宗地内开发程度" localSheetId="16">'[2]比较法-住宅、综合'!$B$124:$M$124</definedName>
    <definedName name="套综宗地内开发程度">'比较法-住宅、综合'!$B$124:$M$124</definedName>
    <definedName name="套综宗地形状" localSheetId="20">'[1]比较法-住宅、综合'!$B$120:$M$120</definedName>
    <definedName name="套综宗地形状" localSheetId="16">'[2]比较法-住宅、综合'!$B$120:$M$120</definedName>
    <definedName name="套综宗地形状">'比较法-住宅、综合'!$B$120:$M$120</definedName>
    <definedName name="土地估价师" localSheetId="20">[1]估价师及机构信息!$D$3:$D$17</definedName>
    <definedName name="土地估价师" localSheetId="16">[2]估价师及机构信息!$D$3:$D$17</definedName>
    <definedName name="土地估价师">估价师及机构信息!$D$3:$D$17</definedName>
    <definedName name="土地级别" localSheetId="20">[1]定义!$C$1:$C$14</definedName>
    <definedName name="土地级别" localSheetId="16">[2]定义!$C$1:$C$14</definedName>
    <definedName name="土地级别">定义!$C$1:$C$14</definedName>
    <definedName name="土地利用方向">定义!$P$1:$P$6</definedName>
    <definedName name="土地年限区间">定义!$I$1:$I$16</definedName>
    <definedName name="位置" localSheetId="20">[1]定义!$E$2:$E$4</definedName>
    <definedName name="位置" localSheetId="16">[2]定义!$E$2:$E$4</definedName>
    <definedName name="位置">定义!$E$2:$E$4</definedName>
    <definedName name="五等判定" localSheetId="20">[1]定义!$W$1:$W$6</definedName>
    <definedName name="五等判定" localSheetId="16">[2]定义!$W$1:$W$6</definedName>
    <definedName name="五等判定">定义!$W$1:$W$6</definedName>
    <definedName name="五级">区片价!$N$1:$N$41</definedName>
    <definedName name="项目类型" localSheetId="43">'[4]数据-汇总表'!$C$17:$C$26</definedName>
    <definedName name="项目类型" localSheetId="20">'[1]数据-汇总表'!$C$17:$C$26</definedName>
    <definedName name="项目类型" localSheetId="16">'[2]数据-汇总表'!$C$17:$C$26</definedName>
    <definedName name="项目类型">'数据-汇总表'!$C$17:$C$26</definedName>
    <definedName name="写字楼等级" localSheetId="20">'[1]不动产比较法-办公租金'!$B$113:$M$113</definedName>
    <definedName name="写字楼等级" localSheetId="16">'[2]不动产比较法-办公租金'!$B$113:$M$113</definedName>
    <definedName name="写字楼等级">'不动产比较法-科研'!$B$113:$M$113</definedName>
    <definedName name="一级">区片价!$J$1:$J$6</definedName>
    <definedName name="一修多修正项2" localSheetId="20">[1]典型户型修正!$5:$5</definedName>
    <definedName name="一修多修正项2" localSheetId="16">[2]典型户型修正!$5:$5</definedName>
    <definedName name="一修多修正项2">典型户型修正!$5:$5</definedName>
    <definedName name="一修多修正项3" localSheetId="20">[1]典型户型修正!$7:$7</definedName>
    <definedName name="一修多修正项3" localSheetId="16">[2]典型户型修正!$7:$7</definedName>
    <definedName name="一修多修正项3">典型户型修正!$7:$7</definedName>
    <definedName name="一修多修正项4" localSheetId="20">[1]典型户型修正!$9:$9</definedName>
    <definedName name="一修多修正项4" localSheetId="16">[2]典型户型修正!$9:$9</definedName>
    <definedName name="一修多修正项4">典型户型修正!$9:$9</definedName>
    <definedName name="一修多修正项5" localSheetId="20">[1]典型户型修正!$11:$11</definedName>
    <definedName name="一修多修正项5" localSheetId="16">[2]典型户型修正!$11:$11</definedName>
    <definedName name="一修多修正项5">典型户型修正!$11:$11</definedName>
    <definedName name="一修多修正项6" localSheetId="20">[1]典型户型修正!$13:$13</definedName>
    <definedName name="一修多修正项6" localSheetId="16">[2]典型户型修正!$13:$13</definedName>
    <definedName name="一修多修正项6">典型户型修正!$13:$13</definedName>
    <definedName name="一修多修正项7" localSheetId="20">[1]典型户型修正!$15:$15</definedName>
    <definedName name="一修多修正项7" localSheetId="16">[2]典型户型修正!$15:$15</definedName>
    <definedName name="一修多修正项7">典型户型修正!$15:$15</definedName>
    <definedName name="一修多修正项8" localSheetId="20">[1]典型户型修正!$17:$17</definedName>
    <definedName name="一修多修正项8" localSheetId="16">[2]典型户型修正!$17:$17</definedName>
    <definedName name="一修多修正项8">典型户型修正!$17:$17</definedName>
    <definedName name="用途类型" localSheetId="20">[1]定义!$A$1:$A$50</definedName>
    <definedName name="用途类型" localSheetId="16">[2]定义!$A$1:$A$50</definedName>
    <definedName name="用途类型">定义!$A$1:$A$50</definedName>
    <definedName name="有无电梯" localSheetId="20">'[1]不动产比较法-仓储'!$B$84:$M$84</definedName>
    <definedName name="有无电梯" localSheetId="16">'[2]不动产比较法-仓储'!$B$84:$M$84</definedName>
    <definedName name="有无电梯">'不动产比较法-仓储'!$B$84:$M$84</definedName>
    <definedName name="主用途" localSheetId="20">[1]定义!$F$1:$F$12</definedName>
    <definedName name="主用途" localSheetId="16">[2]定义!$F$1:$F$12</definedName>
    <definedName name="主用途">定义!$F$1:$F$12</definedName>
    <definedName name="住宅朝向" localSheetId="20">'[1]不动产比较法-住宅'!$B$88:$M$88</definedName>
    <definedName name="住宅朝向" localSheetId="16">'[2]不动产比较法-住宅'!$B$88:$M$88</definedName>
    <definedName name="住宅朝向">'不动产比较法-住宅'!$B$88:$M$88</definedName>
    <definedName name="住宅房型" localSheetId="20">'[1]不动产比较法-住宅'!$B$118:$M$118</definedName>
    <definedName name="住宅房型" localSheetId="16">'[2]不动产比较法-住宅'!$B$118:$M$118</definedName>
    <definedName name="住宅房型">'不动产比较法-住宅'!$B$118:$M$118</definedName>
    <definedName name="住宅公共部分装修" localSheetId="20">'[1]不动产比较法-住宅'!$B$109:$M$109</definedName>
    <definedName name="住宅公共部分装修" localSheetId="16">'[2]不动产比较法-住宅'!$B$109:$M$109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6">'[2]不动产比较法-住宅'!$B$116:$M$116</definedName>
    <definedName name="住宅基础设施水平">'不动产比较法-住宅'!$B$116:$M$116</definedName>
    <definedName name="住宅建筑结构" localSheetId="20">'[1]不动产比较法-住宅'!$B$105:$M$105</definedName>
    <definedName name="住宅建筑结构" localSheetId="16">'[2]不动产比较法-住宅'!$B$105:$M$105</definedName>
    <definedName name="住宅建筑结构">'不动产比较法-住宅'!$B$105:$M$105</definedName>
    <definedName name="住宅建筑类型" localSheetId="20">'[1]不动产比较法-住宅'!$B$100:$M$100</definedName>
    <definedName name="住宅建筑类型" localSheetId="16">'[2]不动产比较法-住宅'!$B$100:$M$100</definedName>
    <definedName name="住宅建筑类型">'不动产比较法-住宅'!$B$100:$M$100</definedName>
    <definedName name="住宅建筑品质" localSheetId="20">'[1]不动产比较法-住宅'!$B$107:$M$107</definedName>
    <definedName name="住宅建筑品质" localSheetId="16">'[2]不动产比较法-住宅'!$B$107:$M$107</definedName>
    <definedName name="住宅建筑品质">'不动产比较法-住宅'!$B$107:$M$107</definedName>
    <definedName name="住宅交易情况" localSheetId="20">'[1]不动产比较法-住宅'!$A$61:$M$61</definedName>
    <definedName name="住宅交易情况" localSheetId="16">'[2]不动产比较法-住宅'!$A$61:$M$61</definedName>
    <definedName name="住宅交易情况">'不动产比较法-住宅'!$A$61:$M$61</definedName>
    <definedName name="住宅楼层" localSheetId="20">'[1]不动产比较法-住宅'!$B$86:$M$86</definedName>
    <definedName name="住宅楼层" localSheetId="16">'[2]不动产比较法-住宅'!$B$86:$M$86</definedName>
    <definedName name="住宅楼层">'不动产比较法-住宅'!$B$86:$M$86</definedName>
    <definedName name="住宅内部装修" localSheetId="20">'[1]不动产比较法-住宅'!$B$122:$M$122</definedName>
    <definedName name="住宅内部装修" localSheetId="16">'[2]不动产比较法-住宅'!$B$122:$M$122</definedName>
    <definedName name="住宅内部装修">'不动产比较法-住宅'!$B$122:$M$122</definedName>
    <definedName name="住宅物业管理" localSheetId="20">'[1]不动产比较法-住宅'!$B$114:$M$114</definedName>
    <definedName name="住宅物业管理" localSheetId="16">'[2]不动产比较法-住宅'!$B$114:$M$114</definedName>
    <definedName name="住宅物业管理">'不动产比较法-住宅'!$B$114:$M$114</definedName>
    <definedName name="住宅用途" localSheetId="20">'[1]不动产比较法-住宅'!$B$63:$M$63</definedName>
    <definedName name="住宅用途" localSheetId="16">'[2]不动产比较法-住宅'!$B$63:$M$63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85" l="1"/>
  <c r="L13" i="85"/>
  <c r="K13" i="85"/>
  <c r="C41" i="83" l="1"/>
  <c r="J10" i="85" l="1"/>
  <c r="G44" i="83"/>
  <c r="F21" i="34" l="1"/>
  <c r="AA21" i="34" s="1"/>
  <c r="D86" i="34"/>
  <c r="F23" i="34" s="1"/>
  <c r="AA23" i="34" s="1"/>
  <c r="F38" i="34"/>
  <c r="AA38" i="34" s="1"/>
  <c r="F39" i="34"/>
  <c r="AA39" i="34" s="1"/>
  <c r="F36" i="34"/>
  <c r="AA36" i="34" s="1"/>
  <c r="F43" i="34"/>
  <c r="AA43" i="34" s="1"/>
  <c r="F33" i="34"/>
  <c r="AA33" i="34" s="1"/>
  <c r="F35" i="34"/>
  <c r="AA35" i="34" s="1"/>
  <c r="F40" i="34"/>
  <c r="AA40" i="34" s="1"/>
  <c r="D80" i="34"/>
  <c r="E80" i="34" s="1"/>
  <c r="F17" i="34" s="1"/>
  <c r="AA17" i="34" s="1"/>
  <c r="D78" i="34"/>
  <c r="E78" i="34"/>
  <c r="J15" i="34" s="1"/>
  <c r="AC15" i="34" s="1"/>
  <c r="F25" i="34"/>
  <c r="AA25" i="34"/>
  <c r="C64" i="34"/>
  <c r="H21" i="34"/>
  <c r="AB21" i="34" s="1"/>
  <c r="H38" i="34"/>
  <c r="AB38" i="34"/>
  <c r="H39" i="34"/>
  <c r="AB39" i="34"/>
  <c r="H36" i="34"/>
  <c r="AB36" i="34"/>
  <c r="H43" i="34"/>
  <c r="AB43" i="34"/>
  <c r="H33" i="34"/>
  <c r="AB33" i="34"/>
  <c r="H35" i="34"/>
  <c r="AB35" i="34"/>
  <c r="H40" i="34"/>
  <c r="AB40" i="34"/>
  <c r="H25" i="34"/>
  <c r="AB25" i="34"/>
  <c r="J21" i="34"/>
  <c r="AC21" i="34" s="1"/>
  <c r="J38" i="34"/>
  <c r="AC38" i="34" s="1"/>
  <c r="J39" i="34"/>
  <c r="AC39" i="34" s="1"/>
  <c r="J36" i="34"/>
  <c r="AC36" i="34" s="1"/>
  <c r="J43" i="34"/>
  <c r="AC43" i="34" s="1"/>
  <c r="J33" i="34"/>
  <c r="AC33" i="34" s="1"/>
  <c r="J35" i="34"/>
  <c r="AC35" i="34" s="1"/>
  <c r="J40" i="34"/>
  <c r="AC40" i="34" s="1"/>
  <c r="J17" i="34"/>
  <c r="AC17" i="34" s="1"/>
  <c r="J25" i="34"/>
  <c r="AC25" i="34" s="1"/>
  <c r="J9" i="34"/>
  <c r="AC9" i="34" s="1"/>
  <c r="L19" i="6"/>
  <c r="B22" i="1"/>
  <c r="C2" i="65" s="1"/>
  <c r="I1" i="65" s="1"/>
  <c r="F23" i="76"/>
  <c r="B24" i="1"/>
  <c r="G2" i="83"/>
  <c r="I21" i="83" s="1"/>
  <c r="O21" i="83"/>
  <c r="C17" i="83"/>
  <c r="I2" i="83"/>
  <c r="D93" i="83"/>
  <c r="D99" i="83"/>
  <c r="D13" i="85"/>
  <c r="D11" i="85"/>
  <c r="D14" i="85" s="1"/>
  <c r="B15" i="85"/>
  <c r="C3" i="85"/>
  <c r="C4" i="85"/>
  <c r="D4" i="85"/>
  <c r="C6" i="85"/>
  <c r="C8" i="85"/>
  <c r="C9" i="85"/>
  <c r="C18" i="85" s="1"/>
  <c r="C16" i="85"/>
  <c r="C17" i="85"/>
  <c r="D18" i="85"/>
  <c r="C19" i="85"/>
  <c r="D20" i="85"/>
  <c r="C22" i="85"/>
  <c r="D22" i="85"/>
  <c r="C23" i="85"/>
  <c r="D23" i="85"/>
  <c r="D24" i="85"/>
  <c r="C25" i="85"/>
  <c r="J52" i="76"/>
  <c r="L52" i="76"/>
  <c r="F20" i="76"/>
  <c r="F117" i="83"/>
  <c r="N112" i="83"/>
  <c r="N113" i="83" s="1"/>
  <c r="M112" i="83"/>
  <c r="M113" i="83" s="1"/>
  <c r="L112" i="83"/>
  <c r="L113" i="83" s="1"/>
  <c r="K112" i="83"/>
  <c r="K113" i="83" s="1"/>
  <c r="J112" i="83"/>
  <c r="J113" i="83" s="1"/>
  <c r="I112" i="83"/>
  <c r="I113" i="83" s="1"/>
  <c r="H112" i="83"/>
  <c r="H113" i="83" s="1"/>
  <c r="G112" i="83"/>
  <c r="G113" i="83" s="1"/>
  <c r="F112" i="83"/>
  <c r="F113" i="83" s="1"/>
  <c r="E112" i="83"/>
  <c r="E113" i="83" s="1"/>
  <c r="D112" i="83"/>
  <c r="D113" i="83" s="1"/>
  <c r="C112" i="83"/>
  <c r="C113" i="83" s="1"/>
  <c r="B97" i="83"/>
  <c r="B95" i="83"/>
  <c r="M90" i="83"/>
  <c r="N90" i="83" s="1"/>
  <c r="K90" i="83"/>
  <c r="J90" i="83" s="1"/>
  <c r="F83" i="83"/>
  <c r="H84" i="83" s="1"/>
  <c r="D90" i="83"/>
  <c r="M89" i="83"/>
  <c r="N89" i="83" s="1"/>
  <c r="K89" i="83"/>
  <c r="J89" i="83" s="1"/>
  <c r="H89" i="83"/>
  <c r="D89" i="83"/>
  <c r="M88" i="83"/>
  <c r="N88" i="83" s="1"/>
  <c r="K88" i="83"/>
  <c r="J88" i="83" s="1"/>
  <c r="H88" i="83"/>
  <c r="D88" i="83"/>
  <c r="M87" i="83"/>
  <c r="N87" i="83" s="1"/>
  <c r="K87" i="83"/>
  <c r="J87" i="83" s="1"/>
  <c r="D87" i="83"/>
  <c r="M86" i="83"/>
  <c r="N86" i="83" s="1"/>
  <c r="K86" i="83"/>
  <c r="J86" i="83" s="1"/>
  <c r="D86" i="83"/>
  <c r="B86" i="83"/>
  <c r="M85" i="83"/>
  <c r="N85" i="83" s="1"/>
  <c r="K85" i="83"/>
  <c r="J85" i="83" s="1"/>
  <c r="D85" i="83"/>
  <c r="B85" i="83"/>
  <c r="M84" i="83"/>
  <c r="N84" i="83" s="1"/>
  <c r="K84" i="83"/>
  <c r="J84" i="83" s="1"/>
  <c r="D84" i="83"/>
  <c r="M83" i="83"/>
  <c r="N83" i="83"/>
  <c r="K83" i="83"/>
  <c r="J83" i="83"/>
  <c r="D83" i="83"/>
  <c r="M80" i="83"/>
  <c r="N80" i="83" s="1"/>
  <c r="K80" i="83"/>
  <c r="J80" i="83" s="1"/>
  <c r="F72" i="83"/>
  <c r="H78" i="83" s="1"/>
  <c r="D80" i="83"/>
  <c r="M79" i="83"/>
  <c r="N79" i="83" s="1"/>
  <c r="K79" i="83"/>
  <c r="J79" i="83" s="1"/>
  <c r="D79" i="83"/>
  <c r="M78" i="83"/>
  <c r="N78" i="83" s="1"/>
  <c r="K78" i="83"/>
  <c r="J78" i="83" s="1"/>
  <c r="D78" i="83"/>
  <c r="M77" i="83"/>
  <c r="N77" i="83" s="1"/>
  <c r="K77" i="83"/>
  <c r="J77" i="83" s="1"/>
  <c r="D77" i="83"/>
  <c r="M76" i="83"/>
  <c r="N76" i="83"/>
  <c r="K76" i="83"/>
  <c r="J76" i="83"/>
  <c r="D76" i="83"/>
  <c r="M75" i="83"/>
  <c r="N75" i="83" s="1"/>
  <c r="K75" i="83"/>
  <c r="J75" i="83" s="1"/>
  <c r="D75" i="83"/>
  <c r="M74" i="83"/>
  <c r="N74" i="83"/>
  <c r="K74" i="83"/>
  <c r="J74" i="83"/>
  <c r="D74" i="83"/>
  <c r="B74" i="83"/>
  <c r="M73" i="83"/>
  <c r="N73" i="83" s="1"/>
  <c r="K73" i="83"/>
  <c r="J73" i="83" s="1"/>
  <c r="D73" i="83"/>
  <c r="M72" i="83"/>
  <c r="N72" i="83"/>
  <c r="K72" i="83"/>
  <c r="J72" i="83"/>
  <c r="D72" i="83"/>
  <c r="M69" i="83"/>
  <c r="N69" i="83" s="1"/>
  <c r="K69" i="83"/>
  <c r="J69" i="83" s="1"/>
  <c r="F61" i="83"/>
  <c r="H66" i="83" s="1"/>
  <c r="D69" i="83"/>
  <c r="M68" i="83"/>
  <c r="N68" i="83" s="1"/>
  <c r="K68" i="83"/>
  <c r="J68" i="83" s="1"/>
  <c r="H68" i="83"/>
  <c r="D68" i="83"/>
  <c r="M67" i="83"/>
  <c r="N67" i="83" s="1"/>
  <c r="K67" i="83"/>
  <c r="J67" i="83" s="1"/>
  <c r="D67" i="83"/>
  <c r="M66" i="83"/>
  <c r="N66" i="83" s="1"/>
  <c r="K66" i="83"/>
  <c r="J66" i="83" s="1"/>
  <c r="D66" i="83"/>
  <c r="M65" i="83"/>
  <c r="N65" i="83" s="1"/>
  <c r="K65" i="83"/>
  <c r="J65" i="83" s="1"/>
  <c r="D65" i="83"/>
  <c r="M64" i="83"/>
  <c r="N64" i="83"/>
  <c r="K64" i="83"/>
  <c r="J64" i="83"/>
  <c r="D64" i="83"/>
  <c r="M63" i="83"/>
  <c r="N63" i="83" s="1"/>
  <c r="K63" i="83"/>
  <c r="J63" i="83" s="1"/>
  <c r="D63" i="83"/>
  <c r="B63" i="83"/>
  <c r="M62" i="83"/>
  <c r="N62" i="83" s="1"/>
  <c r="K62" i="83"/>
  <c r="J62" i="83" s="1"/>
  <c r="H62" i="83"/>
  <c r="D62" i="83"/>
  <c r="M61" i="83"/>
  <c r="N61" i="83" s="1"/>
  <c r="K61" i="83"/>
  <c r="J61" i="83" s="1"/>
  <c r="D61" i="83"/>
  <c r="E61" i="83" s="1"/>
  <c r="B59" i="83" s="1"/>
  <c r="F50" i="83"/>
  <c r="H58" i="83" s="1"/>
  <c r="G58" i="83" s="1"/>
  <c r="D58" i="83"/>
  <c r="D57" i="83"/>
  <c r="D56" i="83"/>
  <c r="H54" i="83"/>
  <c r="G54" i="83" s="1"/>
  <c r="D54" i="83"/>
  <c r="H53" i="83"/>
  <c r="G53" i="83" s="1"/>
  <c r="B52" i="83"/>
  <c r="D50" i="83"/>
  <c r="G24" i="83"/>
  <c r="E44" i="83" s="1"/>
  <c r="C44" i="83" s="1"/>
  <c r="C22" i="83"/>
  <c r="F42" i="83"/>
  <c r="H42" i="83"/>
  <c r="F41" i="83"/>
  <c r="H41" i="83"/>
  <c r="J24" i="83"/>
  <c r="H40" i="83"/>
  <c r="F39" i="83"/>
  <c r="H39" i="83"/>
  <c r="F38" i="83"/>
  <c r="H38" i="83"/>
  <c r="F37" i="83"/>
  <c r="H37" i="83"/>
  <c r="C10" i="83"/>
  <c r="C11" i="83" s="1"/>
  <c r="C9" i="83"/>
  <c r="E24" i="83"/>
  <c r="P32" i="83"/>
  <c r="N32" i="83"/>
  <c r="C27" i="83"/>
  <c r="M23" i="83"/>
  <c r="I23" i="83"/>
  <c r="D21" i="83"/>
  <c r="G18" i="83"/>
  <c r="C13" i="83"/>
  <c r="N12" i="83"/>
  <c r="M12" i="83"/>
  <c r="N11" i="83"/>
  <c r="M11" i="83"/>
  <c r="AJ9" i="83"/>
  <c r="AJ10" i="83" s="1"/>
  <c r="AI9" i="83"/>
  <c r="AI10" i="83" s="1"/>
  <c r="AH9" i="83"/>
  <c r="AH10" i="83" s="1"/>
  <c r="AG9" i="83"/>
  <c r="AG10" i="83" s="1"/>
  <c r="AF9" i="83"/>
  <c r="AF10" i="83" s="1"/>
  <c r="AE9" i="83"/>
  <c r="AE10" i="83" s="1"/>
  <c r="AD9" i="83"/>
  <c r="AD10" i="83" s="1"/>
  <c r="AC9" i="83"/>
  <c r="AC10" i="83" s="1"/>
  <c r="AB9" i="83"/>
  <c r="AB10" i="83" s="1"/>
  <c r="AA9" i="83"/>
  <c r="AA10" i="83" s="1"/>
  <c r="Z9" i="83"/>
  <c r="Z10" i="83" s="1"/>
  <c r="Y10" i="83"/>
  <c r="N10" i="83"/>
  <c r="M10" i="83"/>
  <c r="N9" i="83"/>
  <c r="M9" i="83"/>
  <c r="N8" i="83"/>
  <c r="M8" i="83"/>
  <c r="X7" i="83"/>
  <c r="S6" i="83"/>
  <c r="N6" i="83"/>
  <c r="M6" i="83"/>
  <c r="S5" i="83"/>
  <c r="N5" i="83"/>
  <c r="M5" i="83"/>
  <c r="S4" i="83"/>
  <c r="N4" i="83"/>
  <c r="M4" i="83"/>
  <c r="S3" i="83"/>
  <c r="N3" i="83"/>
  <c r="M3" i="83"/>
  <c r="S2" i="83"/>
  <c r="N2" i="83"/>
  <c r="M2" i="83"/>
  <c r="N1" i="83"/>
  <c r="M1" i="83"/>
  <c r="A3" i="3"/>
  <c r="I17" i="4"/>
  <c r="H17" i="4"/>
  <c r="D3" i="4"/>
  <c r="B2" i="1" s="1"/>
  <c r="C44" i="82"/>
  <c r="E44" i="82"/>
  <c r="F44" i="82" s="1"/>
  <c r="D33" i="82"/>
  <c r="D41" i="82"/>
  <c r="D42" i="82" s="1"/>
  <c r="C33" i="82"/>
  <c r="E25" i="82" s="1"/>
  <c r="E26" i="82" s="1"/>
  <c r="C41" i="82"/>
  <c r="B41" i="82"/>
  <c r="E34" i="82"/>
  <c r="F21" i="82"/>
  <c r="F16" i="82" s="1"/>
  <c r="F25" i="82"/>
  <c r="G25" i="82" s="1"/>
  <c r="H25" i="82" s="1"/>
  <c r="E18" i="82"/>
  <c r="E21" i="82"/>
  <c r="E16" i="82" s="1"/>
  <c r="E22" i="82"/>
  <c r="E24" i="82"/>
  <c r="C25" i="82"/>
  <c r="G23" i="82"/>
  <c r="C23" i="82"/>
  <c r="G22" i="82"/>
  <c r="H22" i="82" s="1"/>
  <c r="C22" i="82"/>
  <c r="G20" i="82"/>
  <c r="G19" i="82"/>
  <c r="H19" i="82"/>
  <c r="G18" i="82"/>
  <c r="H18" i="82"/>
  <c r="E7" i="82"/>
  <c r="E10" i="82"/>
  <c r="E12" i="82"/>
  <c r="C11" i="82"/>
  <c r="F9" i="82"/>
  <c r="G9" i="82"/>
  <c r="C9" i="82"/>
  <c r="F8" i="82"/>
  <c r="C8" i="82"/>
  <c r="F6" i="82"/>
  <c r="G6" i="82" s="1"/>
  <c r="F5" i="82"/>
  <c r="G5" i="82" s="1"/>
  <c r="F4" i="82"/>
  <c r="G4" i="82" s="1"/>
  <c r="R48" i="34"/>
  <c r="F8" i="34"/>
  <c r="AA8" i="34"/>
  <c r="D70" i="34"/>
  <c r="E70" i="34"/>
  <c r="F10" i="34"/>
  <c r="AA10" i="34" s="1"/>
  <c r="B71" i="34"/>
  <c r="F12" i="34" s="1"/>
  <c r="AA12" i="34" s="1"/>
  <c r="B73" i="34"/>
  <c r="F13" i="34"/>
  <c r="AA13" i="34" s="1"/>
  <c r="B75" i="34"/>
  <c r="F14" i="34" s="1"/>
  <c r="AA14" i="34" s="1"/>
  <c r="B91" i="34"/>
  <c r="F28" i="34" s="1"/>
  <c r="AA28" i="34" s="1"/>
  <c r="B93" i="34"/>
  <c r="F29" i="34" s="1"/>
  <c r="AA29" i="34" s="1"/>
  <c r="B95" i="34"/>
  <c r="F30" i="34"/>
  <c r="AA30" i="34" s="1"/>
  <c r="B97" i="34"/>
  <c r="F31" i="34" s="1"/>
  <c r="AA31" i="34" s="1"/>
  <c r="B99" i="34"/>
  <c r="F32" i="34" s="1"/>
  <c r="AA32" i="34" s="1"/>
  <c r="E20" i="6"/>
  <c r="C33" i="33" s="1"/>
  <c r="C24" i="33"/>
  <c r="C20" i="33"/>
  <c r="C18" i="33"/>
  <c r="C16" i="33"/>
  <c r="BC13" i="3"/>
  <c r="B5" i="68"/>
  <c r="L4" i="68" s="1"/>
  <c r="Q4" i="68" s="1"/>
  <c r="Q7" i="77"/>
  <c r="R7" i="77" s="1"/>
  <c r="Q6" i="77"/>
  <c r="R6" i="77" s="1"/>
  <c r="Q5" i="77"/>
  <c r="R5" i="77" s="1"/>
  <c r="L4" i="77"/>
  <c r="C14" i="66"/>
  <c r="E21" i="6"/>
  <c r="E19" i="73" s="1"/>
  <c r="F8" i="1"/>
  <c r="I24" i="73"/>
  <c r="G24" i="73"/>
  <c r="F7" i="1"/>
  <c r="I24" i="46"/>
  <c r="G24" i="46"/>
  <c r="G2" i="73"/>
  <c r="I2" i="73"/>
  <c r="M7" i="73" s="1"/>
  <c r="C6" i="73" s="1"/>
  <c r="G2" i="46"/>
  <c r="C6" i="46" s="1"/>
  <c r="B4" i="78" s="1"/>
  <c r="I2" i="46"/>
  <c r="M7" i="46" s="1"/>
  <c r="A17" i="78"/>
  <c r="A10" i="78"/>
  <c r="A18" i="78" s="1"/>
  <c r="A9" i="78"/>
  <c r="H18" i="78"/>
  <c r="E18" i="78"/>
  <c r="E17" i="78"/>
  <c r="E16" i="78"/>
  <c r="J14" i="78"/>
  <c r="K14" i="78" s="1"/>
  <c r="H14" i="78"/>
  <c r="C14" i="78" s="1"/>
  <c r="B14" i="78"/>
  <c r="I14" i="78" s="1"/>
  <c r="J13" i="78"/>
  <c r="K13" i="78" s="1"/>
  <c r="B13" i="78"/>
  <c r="I13" i="78" s="1"/>
  <c r="J12" i="78"/>
  <c r="K12" i="78" s="1"/>
  <c r="B12" i="78"/>
  <c r="I12" i="78" s="1"/>
  <c r="H8" i="78"/>
  <c r="H16" i="78" s="1"/>
  <c r="B8" i="78"/>
  <c r="I8" i="78" s="1"/>
  <c r="I3" i="78"/>
  <c r="H3" i="78"/>
  <c r="G3" i="78"/>
  <c r="F3" i="78"/>
  <c r="E3" i="78"/>
  <c r="D3" i="78"/>
  <c r="C3" i="78"/>
  <c r="B3" i="78"/>
  <c r="J52" i="75"/>
  <c r="F33" i="76"/>
  <c r="F60" i="76" s="1"/>
  <c r="D60" i="76"/>
  <c r="Q59" i="76"/>
  <c r="K59" i="76"/>
  <c r="P75" i="76" s="1"/>
  <c r="F58" i="76"/>
  <c r="Q52" i="76"/>
  <c r="J50" i="76"/>
  <c r="M47" i="76"/>
  <c r="B59" i="1"/>
  <c r="B52" i="1"/>
  <c r="F34" i="76" s="1"/>
  <c r="F61" i="76" s="1"/>
  <c r="B43" i="1"/>
  <c r="B41" i="1"/>
  <c r="F32" i="76" s="1"/>
  <c r="F59" i="76" s="1"/>
  <c r="F31" i="76"/>
  <c r="F28" i="76"/>
  <c r="F21" i="76"/>
  <c r="M20" i="76"/>
  <c r="M19" i="76"/>
  <c r="M18" i="76"/>
  <c r="F18" i="76"/>
  <c r="M17" i="76"/>
  <c r="F17" i="76"/>
  <c r="F15" i="76"/>
  <c r="A6" i="1"/>
  <c r="A8" i="1"/>
  <c r="S8" i="1" s="1"/>
  <c r="A7" i="1"/>
  <c r="S7" i="1" s="1"/>
  <c r="A9" i="1"/>
  <c r="S9" i="1" s="1"/>
  <c r="A10" i="1"/>
  <c r="S10" i="1" s="1"/>
  <c r="A11" i="1"/>
  <c r="S11" i="1" s="1"/>
  <c r="A12" i="1"/>
  <c r="S12" i="1" s="1"/>
  <c r="A13" i="1"/>
  <c r="S13" i="1" s="1"/>
  <c r="G1" i="76"/>
  <c r="D60" i="75"/>
  <c r="Q59" i="75"/>
  <c r="K59" i="75"/>
  <c r="F58" i="75"/>
  <c r="Q52" i="75"/>
  <c r="J50" i="75"/>
  <c r="M47" i="75"/>
  <c r="F33" i="75"/>
  <c r="F60" i="75" s="1"/>
  <c r="F32" i="75"/>
  <c r="F59" i="75" s="1"/>
  <c r="F31" i="75"/>
  <c r="F23" i="75"/>
  <c r="D24" i="75" s="1"/>
  <c r="F21" i="75"/>
  <c r="M20" i="75"/>
  <c r="F20" i="75"/>
  <c r="M19" i="75"/>
  <c r="F18" i="75"/>
  <c r="M17" i="75"/>
  <c r="F17" i="75"/>
  <c r="F15" i="75"/>
  <c r="G1" i="75"/>
  <c r="C29" i="74"/>
  <c r="C25" i="74"/>
  <c r="F24" i="74"/>
  <c r="F23" i="74"/>
  <c r="E22" i="74"/>
  <c r="E21" i="74"/>
  <c r="E19" i="74"/>
  <c r="F17" i="74"/>
  <c r="E16" i="74"/>
  <c r="F15" i="74"/>
  <c r="F14" i="74"/>
  <c r="K9" i="74"/>
  <c r="J9" i="74"/>
  <c r="I9" i="74"/>
  <c r="H9" i="74"/>
  <c r="G9" i="74"/>
  <c r="F9" i="74"/>
  <c r="E9" i="74"/>
  <c r="D9" i="74"/>
  <c r="K1" i="74"/>
  <c r="C69" i="73"/>
  <c r="D69" i="73" s="1"/>
  <c r="C68" i="73"/>
  <c r="C67" i="73"/>
  <c r="D67" i="73" s="1"/>
  <c r="C66" i="73"/>
  <c r="N7" i="73"/>
  <c r="F61" i="73" s="1"/>
  <c r="C65" i="73"/>
  <c r="C64" i="73"/>
  <c r="C63" i="73"/>
  <c r="C62" i="73"/>
  <c r="D33" i="46"/>
  <c r="F117" i="73"/>
  <c r="N112" i="73"/>
  <c r="N113" i="73" s="1"/>
  <c r="M112" i="73"/>
  <c r="M113" i="73" s="1"/>
  <c r="L112" i="73"/>
  <c r="L113" i="73" s="1"/>
  <c r="K112" i="73"/>
  <c r="K113" i="73" s="1"/>
  <c r="J112" i="73"/>
  <c r="J113" i="73" s="1"/>
  <c r="I112" i="73"/>
  <c r="I113" i="73" s="1"/>
  <c r="H112" i="73"/>
  <c r="H113" i="73" s="1"/>
  <c r="G112" i="73"/>
  <c r="G113" i="73" s="1"/>
  <c r="F112" i="73"/>
  <c r="F113" i="73" s="1"/>
  <c r="E112" i="73"/>
  <c r="E113" i="73" s="1"/>
  <c r="D112" i="73"/>
  <c r="D113" i="73" s="1"/>
  <c r="C112" i="73"/>
  <c r="C113" i="73" s="1"/>
  <c r="N101" i="73"/>
  <c r="M101" i="73"/>
  <c r="K101" i="73"/>
  <c r="J101" i="73" s="1"/>
  <c r="D101" i="73"/>
  <c r="M100" i="73"/>
  <c r="N100" i="73" s="1"/>
  <c r="K100" i="73"/>
  <c r="J100" i="73" s="1"/>
  <c r="D100" i="73"/>
  <c r="M99" i="73"/>
  <c r="N99" i="73" s="1"/>
  <c r="K99" i="73"/>
  <c r="J99" i="73" s="1"/>
  <c r="D99" i="73"/>
  <c r="M98" i="73"/>
  <c r="N98" i="73" s="1"/>
  <c r="K98" i="73"/>
  <c r="J98" i="73" s="1"/>
  <c r="D98" i="73"/>
  <c r="M97" i="73"/>
  <c r="N97" i="73" s="1"/>
  <c r="K97" i="73"/>
  <c r="J97" i="73" s="1"/>
  <c r="D97" i="73"/>
  <c r="B97" i="73"/>
  <c r="M96" i="73"/>
  <c r="N96" i="73" s="1"/>
  <c r="K96" i="73"/>
  <c r="J96" i="73"/>
  <c r="D96" i="73"/>
  <c r="N95" i="73"/>
  <c r="M95" i="73"/>
  <c r="K95" i="73"/>
  <c r="J95" i="73" s="1"/>
  <c r="D95" i="73"/>
  <c r="B95" i="73"/>
  <c r="M94" i="73"/>
  <c r="N94" i="73" s="1"/>
  <c r="K94" i="73"/>
  <c r="J94" i="73" s="1"/>
  <c r="D94" i="73"/>
  <c r="N93" i="73"/>
  <c r="M93" i="73"/>
  <c r="K93" i="73"/>
  <c r="J93" i="73" s="1"/>
  <c r="F93" i="73"/>
  <c r="H101" i="73" s="1"/>
  <c r="E93" i="73"/>
  <c r="D93" i="73"/>
  <c r="B91" i="73"/>
  <c r="M90" i="73"/>
  <c r="N90" i="73"/>
  <c r="K90" i="73"/>
  <c r="J90" i="73"/>
  <c r="D90" i="73"/>
  <c r="M89" i="73"/>
  <c r="N89" i="73" s="1"/>
  <c r="K89" i="73"/>
  <c r="J89" i="73"/>
  <c r="D89" i="73"/>
  <c r="N88" i="73"/>
  <c r="M88" i="73"/>
  <c r="K88" i="73"/>
  <c r="J88" i="73" s="1"/>
  <c r="D88" i="73"/>
  <c r="M87" i="73"/>
  <c r="N87" i="73" s="1"/>
  <c r="K87" i="73"/>
  <c r="J87" i="73" s="1"/>
  <c r="D87" i="73"/>
  <c r="M86" i="73"/>
  <c r="N86" i="73" s="1"/>
  <c r="K86" i="73"/>
  <c r="J86" i="73" s="1"/>
  <c r="D86" i="73"/>
  <c r="B86" i="73"/>
  <c r="M85" i="73"/>
  <c r="N85" i="73" s="1"/>
  <c r="K85" i="73"/>
  <c r="J85" i="73" s="1"/>
  <c r="D85" i="73"/>
  <c r="B85" i="73"/>
  <c r="N84" i="73"/>
  <c r="M84" i="73"/>
  <c r="K84" i="73"/>
  <c r="J84" i="73" s="1"/>
  <c r="D84" i="73"/>
  <c r="M83" i="73"/>
  <c r="N83" i="73" s="1"/>
  <c r="K83" i="73"/>
  <c r="J83" i="73" s="1"/>
  <c r="F83" i="73"/>
  <c r="H89" i="73" s="1"/>
  <c r="D83" i="73"/>
  <c r="M80" i="73"/>
  <c r="N80" i="73" s="1"/>
  <c r="K80" i="73"/>
  <c r="J80" i="73" s="1"/>
  <c r="D80" i="73"/>
  <c r="M79" i="73"/>
  <c r="N79" i="73"/>
  <c r="K79" i="73"/>
  <c r="J79" i="73"/>
  <c r="D79" i="73"/>
  <c r="M78" i="73"/>
  <c r="N78" i="73" s="1"/>
  <c r="K78" i="73"/>
  <c r="J78" i="73"/>
  <c r="D78" i="73"/>
  <c r="N77" i="73"/>
  <c r="M77" i="73"/>
  <c r="K77" i="73"/>
  <c r="J77" i="73" s="1"/>
  <c r="D77" i="73"/>
  <c r="M76" i="73"/>
  <c r="N76" i="73" s="1"/>
  <c r="K76" i="73"/>
  <c r="J76" i="73" s="1"/>
  <c r="D76" i="73"/>
  <c r="M75" i="73"/>
  <c r="N75" i="73" s="1"/>
  <c r="K75" i="73"/>
  <c r="J75" i="73" s="1"/>
  <c r="D75" i="73"/>
  <c r="M74" i="73"/>
  <c r="N74" i="73" s="1"/>
  <c r="K74" i="73"/>
  <c r="J74" i="73" s="1"/>
  <c r="D74" i="73"/>
  <c r="B74" i="73"/>
  <c r="M73" i="73"/>
  <c r="N73" i="73" s="1"/>
  <c r="K73" i="73"/>
  <c r="J73" i="73" s="1"/>
  <c r="D73" i="73"/>
  <c r="M72" i="73"/>
  <c r="N72" i="73" s="1"/>
  <c r="K72" i="73"/>
  <c r="J72" i="73" s="1"/>
  <c r="F72" i="73"/>
  <c r="H78" i="73" s="1"/>
  <c r="D72" i="73"/>
  <c r="E72" i="73" s="1"/>
  <c r="B70" i="73" s="1"/>
  <c r="D68" i="73"/>
  <c r="D65" i="73"/>
  <c r="B63" i="73"/>
  <c r="D61" i="73"/>
  <c r="M58" i="73"/>
  <c r="N58" i="73" s="1"/>
  <c r="K58" i="73"/>
  <c r="J58" i="73" s="1"/>
  <c r="D58" i="73"/>
  <c r="N57" i="73"/>
  <c r="M57" i="73"/>
  <c r="K57" i="73"/>
  <c r="J57" i="73" s="1"/>
  <c r="D57" i="73"/>
  <c r="M56" i="73"/>
  <c r="N56" i="73" s="1"/>
  <c r="K56" i="73"/>
  <c r="J56" i="73" s="1"/>
  <c r="D56" i="73"/>
  <c r="M55" i="73"/>
  <c r="N55" i="73" s="1"/>
  <c r="K55" i="73"/>
  <c r="J55" i="73" s="1"/>
  <c r="D55" i="73"/>
  <c r="M54" i="73"/>
  <c r="N54" i="73" s="1"/>
  <c r="K54" i="73"/>
  <c r="J54" i="73" s="1"/>
  <c r="D54" i="73"/>
  <c r="M53" i="73"/>
  <c r="N53" i="73" s="1"/>
  <c r="K53" i="73"/>
  <c r="J53" i="73" s="1"/>
  <c r="D53" i="73"/>
  <c r="M52" i="73"/>
  <c r="N52" i="73" s="1"/>
  <c r="K52" i="73"/>
  <c r="J52" i="73" s="1"/>
  <c r="D52" i="73"/>
  <c r="B52" i="73"/>
  <c r="M51" i="73"/>
  <c r="N51" i="73" s="1"/>
  <c r="K51" i="73"/>
  <c r="J51" i="73" s="1"/>
  <c r="D51" i="73"/>
  <c r="M50" i="73"/>
  <c r="N50" i="73" s="1"/>
  <c r="K50" i="73"/>
  <c r="J50" i="73" s="1"/>
  <c r="F50" i="73"/>
  <c r="H57" i="73" s="1"/>
  <c r="D50" i="73"/>
  <c r="E50" i="73" s="1"/>
  <c r="H42" i="73"/>
  <c r="H41" i="73"/>
  <c r="H40" i="73"/>
  <c r="H39" i="73"/>
  <c r="H38" i="73"/>
  <c r="H37" i="73"/>
  <c r="J24" i="73"/>
  <c r="E44" i="73"/>
  <c r="C44" i="73" s="1"/>
  <c r="E24" i="73"/>
  <c r="P32" i="73" s="1"/>
  <c r="I23" i="73"/>
  <c r="C22" i="73"/>
  <c r="E5" i="78" s="1"/>
  <c r="I18" i="73"/>
  <c r="E17" i="73" s="1"/>
  <c r="G18" i="73"/>
  <c r="C13" i="73"/>
  <c r="Y10" i="73"/>
  <c r="C10" i="73"/>
  <c r="C11" i="73" s="1"/>
  <c r="E9" i="73" s="1"/>
  <c r="AJ9" i="73"/>
  <c r="AJ10" i="73" s="1"/>
  <c r="AI9" i="73"/>
  <c r="AI10" i="73" s="1"/>
  <c r="AH9" i="73"/>
  <c r="AH10" i="73" s="1"/>
  <c r="AG9" i="73"/>
  <c r="AG10" i="73" s="1"/>
  <c r="AF9" i="73"/>
  <c r="AF10" i="73" s="1"/>
  <c r="AE9" i="73"/>
  <c r="AE10" i="73" s="1"/>
  <c r="AD9" i="73"/>
  <c r="AD10" i="73" s="1"/>
  <c r="AC9" i="73"/>
  <c r="AC10" i="73" s="1"/>
  <c r="AB9" i="73"/>
  <c r="AB10" i="73" s="1"/>
  <c r="AA9" i="73"/>
  <c r="AA10" i="73" s="1"/>
  <c r="Z9" i="73"/>
  <c r="Z10" i="73" s="1"/>
  <c r="C9" i="73"/>
  <c r="M12" i="73"/>
  <c r="H117" i="73"/>
  <c r="N1" i="73"/>
  <c r="K8" i="1"/>
  <c r="M8" i="1" s="1"/>
  <c r="T4" i="1"/>
  <c r="D7" i="1"/>
  <c r="K7" i="1"/>
  <c r="D23" i="75"/>
  <c r="D23" i="76"/>
  <c r="D22" i="76"/>
  <c r="D24" i="76"/>
  <c r="P75" i="75"/>
  <c r="P62" i="75"/>
  <c r="J51" i="75"/>
  <c r="B48" i="73"/>
  <c r="H96" i="73"/>
  <c r="H93" i="73"/>
  <c r="M4" i="73"/>
  <c r="M6" i="73"/>
  <c r="N8" i="73"/>
  <c r="N9" i="73"/>
  <c r="M1" i="73"/>
  <c r="M2" i="73"/>
  <c r="N3" i="73"/>
  <c r="M5" i="73"/>
  <c r="H95" i="73"/>
  <c r="E11" i="73"/>
  <c r="S2" i="73"/>
  <c r="S4" i="73"/>
  <c r="S5" i="73"/>
  <c r="S6" i="73"/>
  <c r="X7" i="73"/>
  <c r="N2" i="73"/>
  <c r="M3" i="73"/>
  <c r="S3" i="73"/>
  <c r="N4" i="73"/>
  <c r="N5" i="73"/>
  <c r="N6" i="73"/>
  <c r="M8" i="73"/>
  <c r="M9" i="73"/>
  <c r="N10" i="73"/>
  <c r="N11" i="73"/>
  <c r="N12" i="73"/>
  <c r="C21" i="73"/>
  <c r="H21" i="73"/>
  <c r="J21" i="73"/>
  <c r="L21" i="73"/>
  <c r="N21" i="73"/>
  <c r="M32" i="73"/>
  <c r="O32" i="73"/>
  <c r="Q32" i="73"/>
  <c r="H50" i="73"/>
  <c r="H52" i="73"/>
  <c r="H53" i="73"/>
  <c r="H56" i="73"/>
  <c r="H58" i="73"/>
  <c r="M10" i="73"/>
  <c r="M11" i="73"/>
  <c r="D21" i="73"/>
  <c r="I21" i="73"/>
  <c r="K21" i="73"/>
  <c r="M21" i="73"/>
  <c r="O21"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D8" i="1"/>
  <c r="O8" i="1"/>
  <c r="M7" i="1"/>
  <c r="Q73" i="76"/>
  <c r="Q60" i="76"/>
  <c r="R43" i="68"/>
  <c r="R27" i="68"/>
  <c r="R23" i="68"/>
  <c r="R22" i="68"/>
  <c r="R21" i="68"/>
  <c r="R17" i="68"/>
  <c r="R18" i="68"/>
  <c r="R16" i="68"/>
  <c r="R8" i="68"/>
  <c r="R9" i="68"/>
  <c r="R11" i="68"/>
  <c r="R12" i="68"/>
  <c r="R13" i="68"/>
  <c r="R7" i="68"/>
  <c r="D14" i="68"/>
  <c r="C29" i="12"/>
  <c r="Z26" i="70"/>
  <c r="AA26" i="70"/>
  <c r="AB26" i="70"/>
  <c r="Z27" i="70"/>
  <c r="AA27" i="70"/>
  <c r="AB27" i="70"/>
  <c r="Z28" i="70"/>
  <c r="AA28" i="70"/>
  <c r="AB28" i="70"/>
  <c r="Y6" i="70"/>
  <c r="Z6" i="70"/>
  <c r="AA6" i="70"/>
  <c r="AD6" i="70"/>
  <c r="AB6" i="70"/>
  <c r="AC6" i="70"/>
  <c r="Y7" i="70"/>
  <c r="Z7" i="70"/>
  <c r="AA7" i="70"/>
  <c r="AD7" i="70"/>
  <c r="AB7" i="70"/>
  <c r="AC7" i="70"/>
  <c r="Y8" i="70"/>
  <c r="Z8" i="70"/>
  <c r="AA8" i="70"/>
  <c r="AD8" i="70"/>
  <c r="AB8" i="70"/>
  <c r="AC8" i="70"/>
  <c r="L26" i="70"/>
  <c r="M26" i="70"/>
  <c r="P26" i="70" s="1"/>
  <c r="N26" i="70"/>
  <c r="L27" i="70"/>
  <c r="M27" i="70"/>
  <c r="P27" i="70" s="1"/>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J8" i="78"/>
  <c r="K8" i="78" s="1"/>
  <c r="B3" i="69"/>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E24" i="46"/>
  <c r="Q32" i="46" s="1"/>
  <c r="I23" i="46"/>
  <c r="C22" i="46"/>
  <c r="E4" i="78" s="1"/>
  <c r="M1" i="46"/>
  <c r="M5" i="46"/>
  <c r="M2" i="46"/>
  <c r="S5" i="46"/>
  <c r="S3" i="46"/>
  <c r="S6" i="46"/>
  <c r="S4" i="46"/>
  <c r="S2" i="46"/>
  <c r="D21" i="46"/>
  <c r="C27" i="46"/>
  <c r="D101" i="46"/>
  <c r="D99" i="46"/>
  <c r="D97" i="46"/>
  <c r="D95" i="46"/>
  <c r="D100" i="46"/>
  <c r="D98" i="46"/>
  <c r="D96" i="46"/>
  <c r="D94" i="46"/>
  <c r="N1" i="46"/>
  <c r="M3" i="46"/>
  <c r="M4" i="46"/>
  <c r="M6" i="46"/>
  <c r="M8" i="46"/>
  <c r="M9" i="46"/>
  <c r="M10" i="46"/>
  <c r="M11" i="46"/>
  <c r="M12" i="46"/>
  <c r="N2" i="46"/>
  <c r="N3" i="46"/>
  <c r="N4" i="46"/>
  <c r="N5" i="46"/>
  <c r="F93" i="46"/>
  <c r="H95" i="46" s="1"/>
  <c r="N6" i="46"/>
  <c r="N7" i="46"/>
  <c r="N8" i="46"/>
  <c r="N9" i="46"/>
  <c r="N10" i="46"/>
  <c r="N11" i="46"/>
  <c r="N12" i="46"/>
  <c r="C21"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B3" i="70" s="1"/>
  <c r="AA9" i="70"/>
  <c r="AD9" i="70" s="1"/>
  <c r="Z9" i="70"/>
  <c r="Y9" i="70"/>
  <c r="AC5" i="70"/>
  <c r="AB5" i="70"/>
  <c r="AA5" i="70"/>
  <c r="AD5" i="70" s="1"/>
  <c r="Z5" i="70"/>
  <c r="Y5" i="70"/>
  <c r="W36" i="70"/>
  <c r="W16" i="70"/>
  <c r="N36" i="70"/>
  <c r="M36" i="70"/>
  <c r="P36" i="70" s="1"/>
  <c r="L36" i="70"/>
  <c r="S28" i="70" s="1"/>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s="1"/>
  <c r="L30" i="70"/>
  <c r="I30" i="70"/>
  <c r="AD30" i="70" s="1"/>
  <c r="N29" i="70"/>
  <c r="M29" i="70"/>
  <c r="P29" i="70" s="1"/>
  <c r="L29" i="70"/>
  <c r="I29" i="70"/>
  <c r="AD29" i="70" s="1"/>
  <c r="N25" i="70"/>
  <c r="M25" i="70"/>
  <c r="P25" i="70" s="1"/>
  <c r="L25" i="70"/>
  <c r="I25" i="70"/>
  <c r="AD25" i="70" s="1"/>
  <c r="N23" i="70"/>
  <c r="G23" i="70"/>
  <c r="F23" i="70"/>
  <c r="I23" i="70" s="1"/>
  <c r="E23" i="70"/>
  <c r="O16" i="70"/>
  <c r="N16" i="70"/>
  <c r="M16" i="70"/>
  <c r="P16" i="70" s="1"/>
  <c r="L16" i="70"/>
  <c r="K16" i="70"/>
  <c r="I16" i="70"/>
  <c r="O15" i="70"/>
  <c r="V15" i="70" s="1"/>
  <c r="N15" i="70"/>
  <c r="U15" i="70" s="1"/>
  <c r="M15" i="70"/>
  <c r="P15" i="70" s="1"/>
  <c r="L15" i="70"/>
  <c r="S15" i="70" s="1"/>
  <c r="K15" i="70"/>
  <c r="R15" i="70" s="1"/>
  <c r="I15" i="70"/>
  <c r="O14" i="70"/>
  <c r="V14" i="70" s="1"/>
  <c r="N14" i="70"/>
  <c r="U14" i="70" s="1"/>
  <c r="M14" i="70"/>
  <c r="P14" i="70" s="1"/>
  <c r="L14" i="70"/>
  <c r="S14" i="70" s="1"/>
  <c r="K14" i="70"/>
  <c r="I14" i="70"/>
  <c r="O13" i="70"/>
  <c r="V13" i="70"/>
  <c r="N13" i="70"/>
  <c r="U13" i="70"/>
  <c r="M13" i="70"/>
  <c r="T13" i="70"/>
  <c r="W13" i="70" s="1"/>
  <c r="L13" i="70"/>
  <c r="K13" i="70"/>
  <c r="I13" i="70"/>
  <c r="O12" i="70"/>
  <c r="V12" i="70" s="1"/>
  <c r="N12" i="70"/>
  <c r="U12" i="70" s="1"/>
  <c r="M12" i="70"/>
  <c r="P12" i="70" s="1"/>
  <c r="L12" i="70"/>
  <c r="S12" i="70" s="1"/>
  <c r="K12" i="70"/>
  <c r="I12" i="70"/>
  <c r="O11" i="70"/>
  <c r="N11" i="70"/>
  <c r="M11" i="70"/>
  <c r="P11" i="70" s="1"/>
  <c r="L11" i="70"/>
  <c r="S8" i="70" s="1"/>
  <c r="K11" i="70"/>
  <c r="I11" i="70"/>
  <c r="O10" i="70"/>
  <c r="N10" i="70"/>
  <c r="M10" i="70"/>
  <c r="P10" i="70"/>
  <c r="L10" i="70"/>
  <c r="K10" i="70"/>
  <c r="R10" i="70" s="1"/>
  <c r="I10" i="70"/>
  <c r="O9" i="70"/>
  <c r="V7" i="70" s="1"/>
  <c r="N9" i="70"/>
  <c r="M9" i="70"/>
  <c r="L9" i="70"/>
  <c r="K9" i="70"/>
  <c r="I9" i="70"/>
  <c r="O5" i="70"/>
  <c r="N5" i="70"/>
  <c r="M5" i="70"/>
  <c r="P5" i="70" s="1"/>
  <c r="L5" i="70"/>
  <c r="K5" i="70"/>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6" i="1"/>
  <c r="C19" i="4"/>
  <c r="S26" i="70"/>
  <c r="U26" i="70"/>
  <c r="R6" i="70"/>
  <c r="V8" i="70"/>
  <c r="S7" i="70"/>
  <c r="U6" i="70"/>
  <c r="T5" i="70"/>
  <c r="W5" i="70" s="1"/>
  <c r="T7" i="70"/>
  <c r="W7" i="70" s="1"/>
  <c r="AB23" i="70"/>
  <c r="Z23" i="70"/>
  <c r="AC3" i="70"/>
  <c r="U10" i="70"/>
  <c r="T31" i="70"/>
  <c r="W31" i="70" s="1"/>
  <c r="T32" i="70"/>
  <c r="W32" i="70" s="1"/>
  <c r="T34" i="70"/>
  <c r="W34" i="70" s="1"/>
  <c r="U25" i="70"/>
  <c r="T33" i="70"/>
  <c r="W33" i="70"/>
  <c r="T35" i="70"/>
  <c r="W35" i="70"/>
  <c r="V10" i="70"/>
  <c r="T11" i="70"/>
  <c r="W11" i="70" s="1"/>
  <c r="V11" i="70"/>
  <c r="P13" i="70"/>
  <c r="T12" i="70"/>
  <c r="W12" i="70" s="1"/>
  <c r="T14" i="70"/>
  <c r="W14" i="70" s="1"/>
  <c r="AA23" i="70"/>
  <c r="AD23" i="70" s="1"/>
  <c r="L3" i="70"/>
  <c r="Y3" i="70"/>
  <c r="U23" i="70"/>
  <c r="T30" i="70"/>
  <c r="W30" i="70" s="1"/>
  <c r="S25" i="70"/>
  <c r="U30" i="70"/>
  <c r="S23" i="70"/>
  <c r="S9" i="70"/>
  <c r="AA3" i="70"/>
  <c r="AD3" i="70"/>
  <c r="S3" i="70"/>
  <c r="T3" i="70"/>
  <c r="W3" i="70" s="1"/>
  <c r="U9" i="70"/>
  <c r="R9" i="70"/>
  <c r="R3" i="70"/>
  <c r="M3" i="70"/>
  <c r="P3" i="70" s="1"/>
  <c r="E25" i="69"/>
  <c r="E24" i="69"/>
  <c r="F23" i="69"/>
  <c r="F24" i="69" s="1"/>
  <c r="F25" i="69"/>
  <c r="E23" i="69"/>
  <c r="G23" i="69" s="1"/>
  <c r="E22" i="69"/>
  <c r="G22" i="69" s="1"/>
  <c r="F12" i="69"/>
  <c r="C15" i="69" s="1"/>
  <c r="F11" i="69"/>
  <c r="C18" i="69" s="1"/>
  <c r="G24" i="69"/>
  <c r="B18" i="69"/>
  <c r="G14" i="65"/>
  <c r="F14" i="65"/>
  <c r="E14" i="65"/>
  <c r="G15" i="65"/>
  <c r="F15" i="65"/>
  <c r="E15" i="65"/>
  <c r="AH5" i="59"/>
  <c r="AG5" i="59"/>
  <c r="AE5" i="59"/>
  <c r="AF5" i="59" s="1"/>
  <c r="AD5" i="59"/>
  <c r="Q5" i="59"/>
  <c r="P5" i="59"/>
  <c r="O5" i="59"/>
  <c r="N5" i="59"/>
  <c r="AH6" i="59"/>
  <c r="AG6" i="59"/>
  <c r="AE6" i="59"/>
  <c r="AF6" i="59"/>
  <c r="AD6" i="59"/>
  <c r="Q6" i="59"/>
  <c r="P6" i="59"/>
  <c r="O6" i="59"/>
  <c r="N6" i="59"/>
  <c r="AH7" i="59"/>
  <c r="AG7" i="59"/>
  <c r="AE7" i="59"/>
  <c r="AF7" i="59" s="1"/>
  <c r="AD7" i="59"/>
  <c r="Q7" i="59"/>
  <c r="P7" i="59"/>
  <c r="O7" i="59"/>
  <c r="N7" i="59"/>
  <c r="AH8" i="59"/>
  <c r="AG8" i="59"/>
  <c r="AE8" i="59"/>
  <c r="AF8" i="59" s="1"/>
  <c r="AD8" i="59"/>
  <c r="Q8" i="59"/>
  <c r="P8" i="59"/>
  <c r="O8" i="59"/>
  <c r="N8" i="59"/>
  <c r="G16" i="65"/>
  <c r="F16" i="65"/>
  <c r="E16" i="65"/>
  <c r="G13" i="65"/>
  <c r="F13" i="65"/>
  <c r="E13" i="65"/>
  <c r="AH9" i="59"/>
  <c r="AG9" i="59"/>
  <c r="AE9" i="59"/>
  <c r="AF9" i="59" s="1"/>
  <c r="AD9" i="59"/>
  <c r="Q9" i="59"/>
  <c r="P9" i="59"/>
  <c r="O9" i="59"/>
  <c r="N9" i="59"/>
  <c r="R40" i="68"/>
  <c r="R41" i="68"/>
  <c r="F36" i="68"/>
  <c r="R34" i="68"/>
  <c r="R33" i="68"/>
  <c r="C30" i="68"/>
  <c r="M24" i="68"/>
  <c r="N19" i="68"/>
  <c r="R4" i="68"/>
  <c r="R35" i="68"/>
  <c r="U34" i="68" s="1"/>
  <c r="F26" i="43"/>
  <c r="AH10" i="59"/>
  <c r="AG10" i="59"/>
  <c r="AE10" i="59"/>
  <c r="AF10" i="59" s="1"/>
  <c r="AD10" i="59"/>
  <c r="Q10" i="59"/>
  <c r="P10" i="59"/>
  <c r="O10" i="59"/>
  <c r="N10" i="59"/>
  <c r="AH11" i="59"/>
  <c r="AG11" i="59"/>
  <c r="AE11" i="59"/>
  <c r="AF11" i="59"/>
  <c r="AD11" i="59"/>
  <c r="Q11" i="59"/>
  <c r="P11" i="59"/>
  <c r="O11" i="59"/>
  <c r="N11" i="59"/>
  <c r="AH12" i="59"/>
  <c r="AG12" i="59"/>
  <c r="AE12" i="59"/>
  <c r="AF12" i="59" s="1"/>
  <c r="AD12" i="59"/>
  <c r="Q12" i="59"/>
  <c r="P12" i="59"/>
  <c r="O12" i="59"/>
  <c r="N12" i="59"/>
  <c r="AH13" i="59"/>
  <c r="AG13" i="59"/>
  <c r="AE13" i="59"/>
  <c r="AF13" i="59" s="1"/>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s="1"/>
  <c r="AD15" i="59"/>
  <c r="Q15" i="59"/>
  <c r="P15" i="59"/>
  <c r="O15" i="59"/>
  <c r="N15" i="59"/>
  <c r="A21" i="31"/>
  <c r="C109" i="9"/>
  <c r="AH16" i="59"/>
  <c r="AG16" i="59"/>
  <c r="AE16" i="59"/>
  <c r="AF16" i="59" s="1"/>
  <c r="AD16" i="59"/>
  <c r="Q16" i="59"/>
  <c r="P16" i="59"/>
  <c r="O16" i="59"/>
  <c r="N16" i="59"/>
  <c r="Q18" i="59"/>
  <c r="P18" i="59"/>
  <c r="O18" i="59"/>
  <c r="N18" i="59"/>
  <c r="AH17" i="59"/>
  <c r="AG17" i="59"/>
  <c r="AE17" i="59"/>
  <c r="AF17" i="59"/>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C25" i="12" s="1"/>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D26" i="59"/>
  <c r="AH24" i="59"/>
  <c r="AG24" i="59"/>
  <c r="AE24" i="59"/>
  <c r="AF24" i="59" s="1"/>
  <c r="AD24" i="59"/>
  <c r="AE25" i="59"/>
  <c r="AF25" i="59" s="1"/>
  <c r="AG25" i="59"/>
  <c r="AH25" i="59"/>
  <c r="AD25" i="59"/>
  <c r="Q25" i="59"/>
  <c r="P25" i="59"/>
  <c r="O25" i="59"/>
  <c r="N25" i="59"/>
  <c r="B25" i="59" s="1"/>
  <c r="B24" i="59" s="1"/>
  <c r="B23" i="59" s="1"/>
  <c r="N26" i="59"/>
  <c r="Q26" i="59"/>
  <c r="P26" i="59"/>
  <c r="O26" i="59"/>
  <c r="Q74" i="44"/>
  <c r="Q61" i="44"/>
  <c r="Q60" i="44"/>
  <c r="Q53" i="44"/>
  <c r="J51" i="44"/>
  <c r="J52" i="44" s="1"/>
  <c r="M48" i="44"/>
  <c r="A16" i="55"/>
  <c r="B67" i="63" s="1"/>
  <c r="A15" i="55"/>
  <c r="B66" i="63" s="1"/>
  <c r="A10" i="55"/>
  <c r="B61" i="63" s="1"/>
  <c r="A9" i="55"/>
  <c r="B60" i="63" s="1"/>
  <c r="A8" i="55"/>
  <c r="A6" i="54"/>
  <c r="B49" i="63" s="1"/>
  <c r="A8" i="54"/>
  <c r="B53" i="63" s="1"/>
  <c r="A7" i="54"/>
  <c r="B51" i="63"/>
  <c r="A27" i="51"/>
  <c r="B20" i="63"/>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3" i="65"/>
  <c r="C1" i="65"/>
  <c r="N1" i="65"/>
  <c r="D25" i="59"/>
  <c r="B76" i="63"/>
  <c r="M5" i="54"/>
  <c r="B41" i="63" s="1"/>
  <c r="A23" i="51"/>
  <c r="B17" i="63" s="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s="1"/>
  <c r="A27" i="64"/>
  <c r="A15" i="64"/>
  <c r="A14" i="64"/>
  <c r="A11" i="64"/>
  <c r="A3" i="64"/>
  <c r="A45" i="9"/>
  <c r="A44" i="9"/>
  <c r="C57" i="10"/>
  <c r="A28" i="51"/>
  <c r="C56" i="10"/>
  <c r="A26" i="64" s="1"/>
  <c r="A26" i="51"/>
  <c r="B19" i="63" s="1"/>
  <c r="C55" i="10"/>
  <c r="C54" i="10"/>
  <c r="B44" i="63"/>
  <c r="B40" i="63"/>
  <c r="B30" i="63"/>
  <c r="B27" i="63"/>
  <c r="B25" i="63"/>
  <c r="A11" i="51"/>
  <c r="B10" i="63"/>
  <c r="K39" i="9"/>
  <c r="K40" i="9"/>
  <c r="B58" i="63"/>
  <c r="A46" i="9"/>
  <c r="K41" i="9" s="1"/>
  <c r="B8" i="63"/>
  <c r="A21" i="55"/>
  <c r="B71" i="63"/>
  <c r="A20" i="55"/>
  <c r="B69" i="63"/>
  <c r="B26" i="63"/>
  <c r="B28" i="63"/>
  <c r="B29" i="63"/>
  <c r="B31" i="63"/>
  <c r="B33" i="63"/>
  <c r="B35" i="63"/>
  <c r="B36" i="63"/>
  <c r="B37" i="63"/>
  <c r="B63" i="63"/>
  <c r="B64" i="63"/>
  <c r="B68" i="63"/>
  <c r="D51" i="10"/>
  <c r="B59" i="63"/>
  <c r="B51" i="10"/>
  <c r="A15" i="51"/>
  <c r="B12" i="63" s="1"/>
  <c r="A14" i="51"/>
  <c r="B11" i="63" s="1"/>
  <c r="A4" i="55"/>
  <c r="B57" i="63" s="1"/>
  <c r="G5" i="54"/>
  <c r="B34" i="63" s="1"/>
  <c r="E5" i="54"/>
  <c r="B32" i="63"/>
  <c r="R2" i="54"/>
  <c r="B24" i="63"/>
  <c r="B49" i="50"/>
  <c r="B5" i="63"/>
  <c r="B40" i="50"/>
  <c r="B3" i="63"/>
  <c r="Q29" i="59"/>
  <c r="F29" i="59" s="1"/>
  <c r="P29" i="59"/>
  <c r="E29" i="59" s="1"/>
  <c r="O29" i="59"/>
  <c r="C29" i="59" s="1"/>
  <c r="N29" i="59"/>
  <c r="D90" i="59"/>
  <c r="F89" i="59"/>
  <c r="F88" i="59" s="1"/>
  <c r="F87" i="59" s="1"/>
  <c r="E89" i="59"/>
  <c r="E88" i="59"/>
  <c r="E87" i="59" s="1"/>
  <c r="C89" i="59"/>
  <c r="D89" i="59" s="1"/>
  <c r="B89" i="59"/>
  <c r="B88" i="59" s="1"/>
  <c r="B87" i="59" s="1"/>
  <c r="D86" i="59"/>
  <c r="F85" i="59"/>
  <c r="F84" i="59" s="1"/>
  <c r="F83" i="59" s="1"/>
  <c r="E85" i="59"/>
  <c r="E84" i="59"/>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O69" i="59" s="1"/>
  <c r="B69" i="59"/>
  <c r="N69" i="59" s="1"/>
  <c r="F68" i="59"/>
  <c r="F67" i="59" s="1"/>
  <c r="Q67" i="59" s="1"/>
  <c r="B68" i="59"/>
  <c r="N68"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c r="P40" i="59"/>
  <c r="O40" i="59"/>
  <c r="Y40" i="59" s="1"/>
  <c r="Z40" i="59" s="1"/>
  <c r="N40" i="59"/>
  <c r="X40" i="59"/>
  <c r="Q39" i="59"/>
  <c r="AB39" i="59"/>
  <c r="P39" i="59"/>
  <c r="O39" i="59"/>
  <c r="Y39" i="59" s="1"/>
  <c r="Z39" i="59" s="1"/>
  <c r="N39" i="59"/>
  <c r="Q38" i="59"/>
  <c r="AB38" i="59" s="1"/>
  <c r="P38" i="59"/>
  <c r="AA38" i="59" s="1"/>
  <c r="O38" i="59"/>
  <c r="C39" i="59" s="1"/>
  <c r="N38" i="59"/>
  <c r="B39" i="59" s="1"/>
  <c r="B40" i="59" s="1"/>
  <c r="B41" i="59" s="1"/>
  <c r="S41" i="59" s="1"/>
  <c r="D38" i="59"/>
  <c r="Q37" i="59"/>
  <c r="P37" i="59"/>
  <c r="AA37" i="59" s="1"/>
  <c r="O37" i="59"/>
  <c r="N37" i="59"/>
  <c r="X37" i="59" s="1"/>
  <c r="Q36" i="59"/>
  <c r="P36" i="59"/>
  <c r="O36" i="59"/>
  <c r="N36" i="59"/>
  <c r="X36" i="59"/>
  <c r="Q35" i="59"/>
  <c r="P35" i="59"/>
  <c r="AA35" i="59" s="1"/>
  <c r="O35" i="59"/>
  <c r="N35" i="59"/>
  <c r="X35" i="59" s="1"/>
  <c r="Q34" i="59"/>
  <c r="F35" i="59" s="1"/>
  <c r="F36" i="59" s="1"/>
  <c r="F37" i="59" s="1"/>
  <c r="V37" i="59" s="1"/>
  <c r="P34" i="59"/>
  <c r="E35" i="59" s="1"/>
  <c r="E36" i="59" s="1"/>
  <c r="E37" i="59" s="1"/>
  <c r="U37" i="59" s="1"/>
  <c r="O34" i="59"/>
  <c r="Y34" i="59" s="1"/>
  <c r="Z34" i="59" s="1"/>
  <c r="N34" i="59"/>
  <c r="X34" i="59"/>
  <c r="D34" i="59"/>
  <c r="Q33" i="59"/>
  <c r="AB33" i="59" s="1"/>
  <c r="P33" i="59"/>
  <c r="O33" i="59"/>
  <c r="Y33" i="59" s="1"/>
  <c r="Z33" i="59" s="1"/>
  <c r="N33" i="59"/>
  <c r="Q32" i="59"/>
  <c r="AB32" i="59"/>
  <c r="P32" i="59"/>
  <c r="O32" i="59"/>
  <c r="Y32" i="59" s="1"/>
  <c r="Z32" i="59" s="1"/>
  <c r="N32" i="59"/>
  <c r="Q31" i="59"/>
  <c r="AB31" i="59" s="1"/>
  <c r="P31" i="59"/>
  <c r="O31" i="59"/>
  <c r="Y31" i="59" s="1"/>
  <c r="Z31" i="59" s="1"/>
  <c r="N31" i="59"/>
  <c r="X28" i="59" s="1"/>
  <c r="Q30" i="59"/>
  <c r="P30" i="59"/>
  <c r="AA28" i="59" s="1"/>
  <c r="O30" i="59"/>
  <c r="C31" i="59"/>
  <c r="C32" i="59" s="1"/>
  <c r="N30" i="59"/>
  <c r="B31" i="59"/>
  <c r="B32" i="59" s="1"/>
  <c r="B33" i="59" s="1"/>
  <c r="S33" i="59" s="1"/>
  <c r="D30" i="59"/>
  <c r="X3" i="59"/>
  <c r="AA26" i="59"/>
  <c r="Y26" i="59"/>
  <c r="Z26" i="59" s="1"/>
  <c r="Y28" i="59"/>
  <c r="Z28" i="59" s="1"/>
  <c r="AB29" i="59"/>
  <c r="AB28" i="59"/>
  <c r="S69" i="59"/>
  <c r="AA40" i="59"/>
  <c r="D31" i="59"/>
  <c r="E67" i="59"/>
  <c r="P67"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P66" i="59"/>
  <c r="C87" i="59"/>
  <c r="D87" i="59" s="1"/>
  <c r="D76" i="59"/>
  <c r="C75" i="59"/>
  <c r="D75" i="59" s="1"/>
  <c r="N67"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c r="F21" i="37"/>
  <c r="AA21" i="37" s="1"/>
  <c r="C21" i="37"/>
  <c r="D77" i="37"/>
  <c r="E77" i="37" s="1"/>
  <c r="F77" i="37" s="1"/>
  <c r="G77" i="37" s="1"/>
  <c r="Q21" i="34"/>
  <c r="Z21" i="34" s="1"/>
  <c r="C21" i="34"/>
  <c r="D84" i="34"/>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2" i="20"/>
  <c r="B68" i="46" s="1"/>
  <c r="S18" i="35"/>
  <c r="S21" i="37"/>
  <c r="S21" i="34"/>
  <c r="S31" i="39"/>
  <c r="B77" i="46"/>
  <c r="E66" i="36"/>
  <c r="H18" i="35"/>
  <c r="J18" i="35"/>
  <c r="H21" i="37"/>
  <c r="J21" i="37"/>
  <c r="E84" i="34"/>
  <c r="F84" i="34" s="1"/>
  <c r="G84" i="34" s="1"/>
  <c r="F21" i="33"/>
  <c r="AA21" i="33"/>
  <c r="H21" i="33"/>
  <c r="J21" i="33"/>
  <c r="H21" i="21"/>
  <c r="J21" i="21"/>
  <c r="H27" i="40"/>
  <c r="H31" i="39"/>
  <c r="G17" i="11"/>
  <c r="K2" i="4"/>
  <c r="A2" i="9"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B86" i="46"/>
  <c r="B85" i="46"/>
  <c r="B74" i="46"/>
  <c r="B63" i="46"/>
  <c r="B52" i="46"/>
  <c r="M90" i="46"/>
  <c r="N90" i="46" s="1"/>
  <c r="K90" i="46"/>
  <c r="J90" i="46" s="1"/>
  <c r="D90" i="46"/>
  <c r="M89" i="46"/>
  <c r="N89" i="46" s="1"/>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c r="K74" i="46"/>
  <c r="J74" i="46"/>
  <c r="M73" i="46"/>
  <c r="N73" i="46"/>
  <c r="K73" i="46"/>
  <c r="J73" i="46"/>
  <c r="D73" i="46"/>
  <c r="M72" i="46"/>
  <c r="N72" i="46" s="1"/>
  <c r="K72" i="46"/>
  <c r="J72" i="46" s="1"/>
  <c r="M69" i="46"/>
  <c r="N69" i="46" s="1"/>
  <c r="K69" i="46"/>
  <c r="D69" i="46"/>
  <c r="M68" i="46"/>
  <c r="N68" i="46" s="1"/>
  <c r="K68" i="46"/>
  <c r="J68" i="46" s="1"/>
  <c r="D68" i="46"/>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D58" i="46"/>
  <c r="D84" i="46"/>
  <c r="D78" i="46"/>
  <c r="AE13"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13" i="1"/>
  <c r="E13" i="1" s="1"/>
  <c r="G79" i="36"/>
  <c r="G85" i="35"/>
  <c r="G97" i="37"/>
  <c r="G110" i="34"/>
  <c r="G109" i="33"/>
  <c r="L2" i="31"/>
  <c r="K2" i="31"/>
  <c r="J2" i="31"/>
  <c r="I2" i="31"/>
  <c r="H2" i="31"/>
  <c r="G2" i="31"/>
  <c r="F2" i="31"/>
  <c r="E2" i="31"/>
  <c r="D2" i="31"/>
  <c r="C2" i="31"/>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c r="C56" i="40" s="1"/>
  <c r="H55" i="40"/>
  <c r="I55" i="40" s="1"/>
  <c r="C55" i="40" s="1"/>
  <c r="H54" i="40"/>
  <c r="I54" i="40" s="1"/>
  <c r="C54" i="40" s="1"/>
  <c r="H62" i="39"/>
  <c r="I62" i="39" s="1"/>
  <c r="C62" i="39" s="1"/>
  <c r="H59" i="39"/>
  <c r="I59" i="39"/>
  <c r="C59" i="39" s="1"/>
  <c r="H66" i="39"/>
  <c r="I66" i="39" s="1"/>
  <c r="C66" i="39" s="1"/>
  <c r="H65" i="39"/>
  <c r="I65" i="39" s="1"/>
  <c r="C65" i="39" s="1"/>
  <c r="H64" i="39"/>
  <c r="I64" i="39" s="1"/>
  <c r="C64" i="39" s="1"/>
  <c r="H63" i="39"/>
  <c r="I63" i="39"/>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s="1"/>
  <c r="N3" i="54"/>
  <c r="B42" i="63" s="1"/>
  <c r="T16" i="4"/>
  <c r="D14" i="4"/>
  <c r="M4" i="9"/>
  <c r="L4" i="9"/>
  <c r="G36" i="4"/>
  <c r="K2" i="54"/>
  <c r="B23" i="63" s="1"/>
  <c r="A3" i="51"/>
  <c r="R41" i="4"/>
  <c r="Q41" i="4"/>
  <c r="P41" i="4"/>
  <c r="O41" i="4"/>
  <c r="N41" i="4"/>
  <c r="M41" i="4"/>
  <c r="L41" i="4"/>
  <c r="K40" i="4"/>
  <c r="T40" i="4" s="1"/>
  <c r="A18" i="64" s="1"/>
  <c r="B74" i="63" s="1"/>
  <c r="F23" i="4"/>
  <c r="I19" i="4"/>
  <c r="F6" i="1" s="1"/>
  <c r="F41" i="76" s="1"/>
  <c r="F10" i="1"/>
  <c r="H19" i="4"/>
  <c r="F9" i="1"/>
  <c r="AP9" i="1" s="1"/>
  <c r="G19" i="4"/>
  <c r="F12" i="1"/>
  <c r="AP12" i="1" s="1"/>
  <c r="F19" i="4"/>
  <c r="F11" i="1"/>
  <c r="AP11" i="1"/>
  <c r="AP8" i="1"/>
  <c r="G7" i="1"/>
  <c r="B2" i="52"/>
  <c r="B15" i="52" s="1"/>
  <c r="F41" i="4"/>
  <c r="J52" i="40" s="1"/>
  <c r="H42" i="46"/>
  <c r="H41" i="46"/>
  <c r="H40" i="46"/>
  <c r="H39" i="46"/>
  <c r="H38" i="46"/>
  <c r="H37" i="46"/>
  <c r="C10" i="46"/>
  <c r="C11" i="46" s="1"/>
  <c r="C9" i="46"/>
  <c r="E32" i="6"/>
  <c r="E22" i="6"/>
  <c r="E23" i="6"/>
  <c r="E24" i="6"/>
  <c r="E25" i="6"/>
  <c r="E26" i="6"/>
  <c r="C35" i="4"/>
  <c r="E16" i="12"/>
  <c r="F14" i="12"/>
  <c r="F15" i="12"/>
  <c r="F17" i="12"/>
  <c r="E19" i="12"/>
  <c r="E21" i="12"/>
  <c r="E22" i="12"/>
  <c r="F23" i="12"/>
  <c r="F24" i="12"/>
  <c r="C43" i="9"/>
  <c r="K47" i="9"/>
  <c r="A14" i="55"/>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6" i="43"/>
  <c r="BR13" i="3"/>
  <c r="O75" i="9"/>
  <c r="L75" i="9"/>
  <c r="P75" i="9"/>
  <c r="O74" i="9"/>
  <c r="O73" i="9"/>
  <c r="E66" i="9"/>
  <c r="O72" i="9"/>
  <c r="F74" i="9"/>
  <c r="P74" i="9"/>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2" i="31" s="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G16" i="3" s="1"/>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BC487" i="3"/>
  <c r="BD487" i="3"/>
  <c r="BE487" i="3"/>
  <c r="BF487" i="3"/>
  <c r="BG487" i="3"/>
  <c r="BH487" i="3"/>
  <c r="BI487" i="3"/>
  <c r="BJ487" i="3"/>
  <c r="BK487" i="3"/>
  <c r="BM487" i="3"/>
  <c r="BL487" i="3" s="1"/>
  <c r="BN487" i="3"/>
  <c r="BO487" i="3"/>
  <c r="BP487" i="3"/>
  <c r="BQ487" i="3"/>
  <c r="BR487" i="3"/>
  <c r="BS487" i="3"/>
  <c r="BT487" i="3"/>
  <c r="H488" i="3"/>
  <c r="AC488" i="3"/>
  <c r="BB488" i="3"/>
  <c r="BA488" i="3" s="1"/>
  <c r="BC488" i="3"/>
  <c r="BD488" i="3"/>
  <c r="BE488" i="3"/>
  <c r="BF488" i="3"/>
  <c r="BG488" i="3"/>
  <c r="BH488" i="3"/>
  <c r="BI488" i="3"/>
  <c r="BJ488" i="3"/>
  <c r="BK488" i="3"/>
  <c r="BM488" i="3"/>
  <c r="BL488" i="3" s="1"/>
  <c r="AZ488" i="3" s="1"/>
  <c r="BN488" i="3"/>
  <c r="BO488" i="3"/>
  <c r="BP488" i="3"/>
  <c r="BR488" i="3"/>
  <c r="BS488" i="3"/>
  <c r="BT488" i="3"/>
  <c r="H489" i="3"/>
  <c r="AC489" i="3"/>
  <c r="BB489" i="3"/>
  <c r="BC489" i="3"/>
  <c r="BD489" i="3"/>
  <c r="BE489" i="3"/>
  <c r="BE5" i="3" s="1"/>
  <c r="BF489" i="3"/>
  <c r="BG489" i="3"/>
  <c r="BG5" i="3" s="1"/>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L490" i="3" s="1"/>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L492" i="3" s="1"/>
  <c r="AZ492" i="3" s="1"/>
  <c r="BN492" i="3"/>
  <c r="BO492" i="3"/>
  <c r="BP492" i="3"/>
  <c r="BR492" i="3"/>
  <c r="BS492" i="3"/>
  <c r="BT492" i="3"/>
  <c r="H493" i="3"/>
  <c r="AC493" i="3"/>
  <c r="G493" i="3" s="1"/>
  <c r="BB493" i="3"/>
  <c r="BC493" i="3"/>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A495" i="3" s="1"/>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R502" i="3"/>
  <c r="BS502" i="3"/>
  <c r="BT502" i="3"/>
  <c r="H503" i="3"/>
  <c r="G503" i="3" s="1"/>
  <c r="AC503" i="3"/>
  <c r="BB503" i="3"/>
  <c r="BA503" i="3" s="1"/>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A552" i="3" s="1"/>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L556" i="3" s="1"/>
  <c r="AZ556" i="3" s="1"/>
  <c r="BO556" i="3"/>
  <c r="BP556" i="3"/>
  <c r="BR556" i="3"/>
  <c r="BS556" i="3"/>
  <c r="BT556" i="3"/>
  <c r="H557" i="3"/>
  <c r="G557" i="3" s="1"/>
  <c r="AC557" i="3"/>
  <c r="BB557" i="3"/>
  <c r="BA557" i="3" s="1"/>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BC558" i="3"/>
  <c r="BD558" i="3"/>
  <c r="BE558" i="3"/>
  <c r="BF558" i="3"/>
  <c r="BG558" i="3"/>
  <c r="BH558" i="3"/>
  <c r="BI558" i="3"/>
  <c r="BJ558" i="3"/>
  <c r="BK558" i="3"/>
  <c r="BM558" i="3"/>
  <c r="BL558" i="3" s="1"/>
  <c r="BN558" i="3"/>
  <c r="BO558" i="3"/>
  <c r="BP558" i="3"/>
  <c r="BR558" i="3"/>
  <c r="BS558" i="3"/>
  <c r="BT558" i="3"/>
  <c r="H559" i="3"/>
  <c r="AC559" i="3"/>
  <c r="BB559" i="3"/>
  <c r="BC559" i="3"/>
  <c r="BD559" i="3"/>
  <c r="BE559" i="3"/>
  <c r="BF559" i="3"/>
  <c r="BG559" i="3"/>
  <c r="BH559" i="3"/>
  <c r="BI559" i="3"/>
  <c r="BJ559" i="3"/>
  <c r="BK559" i="3"/>
  <c r="BM559" i="3"/>
  <c r="BN559" i="3"/>
  <c r="BL559" i="3" s="1"/>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L561" i="3" s="1"/>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L563" i="3" s="1"/>
  <c r="AZ563" i="3" s="1"/>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L566" i="3" s="1"/>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L568" i="3" s="1"/>
  <c r="BN568" i="3"/>
  <c r="BO568" i="3"/>
  <c r="BP568" i="3"/>
  <c r="BR568" i="3"/>
  <c r="BS568" i="3"/>
  <c r="BT568" i="3"/>
  <c r="H569" i="3"/>
  <c r="AC569" i="3"/>
  <c r="G569" i="3" s="1"/>
  <c r="BB569" i="3"/>
  <c r="BC569" i="3"/>
  <c r="BA569" i="3" s="1"/>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W30" i="36" s="1"/>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AC42" i="34" s="1"/>
  <c r="F42" i="34"/>
  <c r="D114" i="34"/>
  <c r="E114" i="34" s="1"/>
  <c r="D112" i="34"/>
  <c r="E112" i="34" s="1"/>
  <c r="F112" i="34"/>
  <c r="G112" i="34" s="1"/>
  <c r="F40" i="33"/>
  <c r="S40" i="33" s="1"/>
  <c r="J41" i="33"/>
  <c r="D113" i="33"/>
  <c r="D111" i="33"/>
  <c r="E111" i="33" s="1"/>
  <c r="F111" i="33" s="1"/>
  <c r="G111" i="33"/>
  <c r="H111" i="33" s="1"/>
  <c r="I111" i="33" s="1"/>
  <c r="J111" i="33" s="1"/>
  <c r="K111" i="33" s="1"/>
  <c r="L111" i="33" s="1"/>
  <c r="M111" i="33" s="1"/>
  <c r="S515" i="31"/>
  <c r="S517" i="31"/>
  <c r="S519" i="31"/>
  <c r="S521" i="31"/>
  <c r="S523" i="31"/>
  <c r="F41" i="21"/>
  <c r="S41" i="21" s="1"/>
  <c r="J41" i="21"/>
  <c r="AC41" i="21"/>
  <c r="H41" i="21"/>
  <c r="U41" i="21"/>
  <c r="D82" i="39"/>
  <c r="E82" i="39"/>
  <c r="F82" i="39" s="1"/>
  <c r="G82" i="39" s="1"/>
  <c r="H82" i="39" s="1"/>
  <c r="I82" i="39" s="1"/>
  <c r="J82" i="39" s="1"/>
  <c r="K82" i="39" s="1"/>
  <c r="L82" i="39" s="1"/>
  <c r="M82" i="39" s="1"/>
  <c r="D77" i="40"/>
  <c r="E77" i="40" s="1"/>
  <c r="F13" i="40"/>
  <c r="S13" i="40" s="1"/>
  <c r="B121" i="40"/>
  <c r="F42" i="40" s="1"/>
  <c r="AA42" i="40" s="1"/>
  <c r="B119" i="40"/>
  <c r="H41" i="40" s="1"/>
  <c r="B117" i="40"/>
  <c r="F40" i="40"/>
  <c r="AA40" i="40" s="1"/>
  <c r="D116" i="40"/>
  <c r="E116" i="40" s="1"/>
  <c r="F116" i="40"/>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H33" i="40" s="1"/>
  <c r="D101" i="40"/>
  <c r="E101" i="40"/>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D93" i="40"/>
  <c r="E93" i="40" s="1"/>
  <c r="D91" i="40"/>
  <c r="D89" i="40"/>
  <c r="H21" i="40"/>
  <c r="AB21" i="40" s="1"/>
  <c r="D87" i="40"/>
  <c r="E87" i="40" s="1"/>
  <c r="D85" i="40"/>
  <c r="E85" i="40" s="1"/>
  <c r="F85" i="40" s="1"/>
  <c r="G85" i="40" s="1"/>
  <c r="J17" i="40"/>
  <c r="AC17" i="40" s="1"/>
  <c r="B82" i="40"/>
  <c r="F16" i="40" s="1"/>
  <c r="AA16"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c r="H110" i="39" s="1"/>
  <c r="I110" i="39" s="1"/>
  <c r="J110" i="39" s="1"/>
  <c r="K110" i="39" s="1"/>
  <c r="L110" i="39" s="1"/>
  <c r="M110" i="39" s="1"/>
  <c r="D108" i="39"/>
  <c r="E108" i="39"/>
  <c r="F108" i="39" s="1"/>
  <c r="G108" i="39" s="1"/>
  <c r="H108" i="39" s="1"/>
  <c r="I108" i="39" s="1"/>
  <c r="J108" i="39" s="1"/>
  <c r="K108" i="39" s="1"/>
  <c r="L108" i="39" s="1"/>
  <c r="M108" i="39" s="1"/>
  <c r="D106" i="39"/>
  <c r="E106" i="39" s="1"/>
  <c r="F106" i="39" s="1"/>
  <c r="G106" i="39"/>
  <c r="H106" i="39" s="1"/>
  <c r="I106" i="39" s="1"/>
  <c r="J106" i="39" s="1"/>
  <c r="K106" i="39" s="1"/>
  <c r="L106" i="39" s="1"/>
  <c r="M106" i="39" s="1"/>
  <c r="D102" i="39"/>
  <c r="D100" i="39"/>
  <c r="E100" i="39" s="1"/>
  <c r="F100" i="39" s="1"/>
  <c r="G100" i="39" s="1"/>
  <c r="Q41" i="39"/>
  <c r="Z41" i="39" s="1"/>
  <c r="Q42" i="39"/>
  <c r="Z42" i="39" s="1"/>
  <c r="Q43" i="39"/>
  <c r="Z43" i="39" s="1"/>
  <c r="Q44" i="39"/>
  <c r="Z44" i="39"/>
  <c r="Q45" i="39"/>
  <c r="Z45" i="39"/>
  <c r="Q46" i="39"/>
  <c r="Z46" i="39"/>
  <c r="Q47" i="39"/>
  <c r="Z47" i="39"/>
  <c r="Q40" i="39"/>
  <c r="Z40" i="39"/>
  <c r="Q38" i="39"/>
  <c r="Z38" i="39"/>
  <c r="Q39" i="39"/>
  <c r="Z39" i="39"/>
  <c r="M117" i="39"/>
  <c r="L117" i="39"/>
  <c r="K117" i="39"/>
  <c r="J117" i="39"/>
  <c r="I117" i="39"/>
  <c r="H117" i="39"/>
  <c r="G117" i="39"/>
  <c r="F117" i="39"/>
  <c r="E117" i="39"/>
  <c r="D117" i="39"/>
  <c r="C117" i="39"/>
  <c r="B132" i="39"/>
  <c r="B130" i="39"/>
  <c r="B128" i="39"/>
  <c r="D127" i="39"/>
  <c r="E127" i="39" s="1"/>
  <c r="D123" i="39"/>
  <c r="E123" i="39" s="1"/>
  <c r="F123" i="39" s="1"/>
  <c r="G123" i="39" s="1"/>
  <c r="H123" i="39" s="1"/>
  <c r="I123" i="39" s="1"/>
  <c r="J123" i="39" s="1"/>
  <c r="K123" i="39" s="1"/>
  <c r="L123" i="39" s="1"/>
  <c r="M123" i="39" s="1"/>
  <c r="B105" i="39"/>
  <c r="F33" i="39" s="1"/>
  <c r="D98" i="39"/>
  <c r="E98" i="39" s="1"/>
  <c r="F98" i="39" s="1"/>
  <c r="G98" i="39" s="1"/>
  <c r="D96" i="39"/>
  <c r="E96" i="39" s="1"/>
  <c r="F96" i="39" s="1"/>
  <c r="G96" i="39" s="1"/>
  <c r="D94" i="39"/>
  <c r="E94" i="39"/>
  <c r="F94" i="39" s="1"/>
  <c r="G94" i="39" s="1"/>
  <c r="D92" i="39"/>
  <c r="E92" i="39"/>
  <c r="F92" i="39" s="1"/>
  <c r="G92" i="39" s="1"/>
  <c r="D90" i="39"/>
  <c r="E90" i="39" s="1"/>
  <c r="F90" i="39" s="1"/>
  <c r="G90" i="39" s="1"/>
  <c r="B87" i="39"/>
  <c r="F16" i="39" s="1"/>
  <c r="B85" i="39"/>
  <c r="B83" i="39"/>
  <c r="H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H36" i="37"/>
  <c r="D103" i="37"/>
  <c r="E103" i="37" s="1"/>
  <c r="F103" i="37" s="1"/>
  <c r="J35" i="37"/>
  <c r="AC35" i="37" s="1"/>
  <c r="F97" i="37"/>
  <c r="E97" i="37"/>
  <c r="D97" i="37"/>
  <c r="C97" i="37"/>
  <c r="D96" i="37"/>
  <c r="E96" i="37" s="1"/>
  <c r="D94" i="37"/>
  <c r="M90" i="37"/>
  <c r="L90" i="37"/>
  <c r="K90" i="37"/>
  <c r="J90" i="37"/>
  <c r="I90" i="37"/>
  <c r="H90" i="37"/>
  <c r="G90" i="37"/>
  <c r="F90" i="37"/>
  <c r="E90" i="37"/>
  <c r="D90" i="37"/>
  <c r="C90" i="37"/>
  <c r="D89" i="37"/>
  <c r="B86" i="37"/>
  <c r="J28" i="37" s="1"/>
  <c r="B84" i="37"/>
  <c r="H27" i="37" s="1"/>
  <c r="B82" i="37"/>
  <c r="J26" i="37" s="1"/>
  <c r="AC26" i="37" s="1"/>
  <c r="D79" i="37"/>
  <c r="E79" i="37"/>
  <c r="F79" i="37" s="1"/>
  <c r="G79" i="37" s="1"/>
  <c r="D75" i="37"/>
  <c r="E75" i="37"/>
  <c r="F75" i="37" s="1"/>
  <c r="D73" i="37"/>
  <c r="E73" i="37" s="1"/>
  <c r="F73" i="37"/>
  <c r="G73" i="37" s="1"/>
  <c r="D71" i="37"/>
  <c r="E71" i="37" s="1"/>
  <c r="F71" i="37"/>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J33" i="36" s="1"/>
  <c r="B91" i="36"/>
  <c r="F32" i="36"/>
  <c r="S32" i="36" s="1"/>
  <c r="B95" i="36"/>
  <c r="H34" i="36" s="1"/>
  <c r="U34" i="36" s="1"/>
  <c r="D83" i="36"/>
  <c r="E83" i="36" s="1"/>
  <c r="F83" i="36" s="1"/>
  <c r="G83" i="36" s="1"/>
  <c r="H83" i="36" s="1"/>
  <c r="I83" i="36" s="1"/>
  <c r="J83" i="36" s="1"/>
  <c r="K83" i="36" s="1"/>
  <c r="L83" i="36" s="1"/>
  <c r="M83" i="36" s="1"/>
  <c r="D78" i="36"/>
  <c r="J26" i="36"/>
  <c r="W26" i="36"/>
  <c r="B75" i="36"/>
  <c r="B73" i="36"/>
  <c r="B71" i="36"/>
  <c r="D70" i="36"/>
  <c r="H22" i="36"/>
  <c r="D68" i="36"/>
  <c r="E68" i="36" s="1"/>
  <c r="D64" i="36"/>
  <c r="E64" i="36" s="1"/>
  <c r="F64" i="36" s="1"/>
  <c r="G64" i="36" s="1"/>
  <c r="J16" i="36"/>
  <c r="AC16" i="36" s="1"/>
  <c r="D62" i="36"/>
  <c r="E62" i="36"/>
  <c r="F62" i="36" s="1"/>
  <c r="B59" i="36"/>
  <c r="B57" i="36"/>
  <c r="F12" i="36" s="1"/>
  <c r="B55" i="36"/>
  <c r="J11" i="36"/>
  <c r="W11"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W23" i="35" s="1"/>
  <c r="B57" i="35"/>
  <c r="F11" i="35" s="1"/>
  <c r="S11" i="35" s="1"/>
  <c r="B61" i="35"/>
  <c r="B59" i="35"/>
  <c r="H12" i="35" s="1"/>
  <c r="U12" i="35" s="1"/>
  <c r="B131" i="34"/>
  <c r="F47" i="34" s="1"/>
  <c r="AA47" i="34" s="1"/>
  <c r="B129" i="34"/>
  <c r="H46" i="34" s="1"/>
  <c r="B127" i="34"/>
  <c r="B130" i="33"/>
  <c r="B128" i="33"/>
  <c r="B126" i="33"/>
  <c r="J44" i="33" s="1"/>
  <c r="B98" i="33"/>
  <c r="B96" i="33"/>
  <c r="B94" i="33"/>
  <c r="J29" i="33"/>
  <c r="B74" i="33"/>
  <c r="B72" i="33"/>
  <c r="F13" i="33" s="1"/>
  <c r="S13" i="33" s="1"/>
  <c r="B70" i="33"/>
  <c r="H12" i="33" s="1"/>
  <c r="U12" i="33" s="1"/>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AA31" i="35"/>
  <c r="Q30" i="35"/>
  <c r="Z30" i="35" s="1"/>
  <c r="Q29" i="35"/>
  <c r="Z29" i="35" s="1"/>
  <c r="Q28" i="35"/>
  <c r="Z28" i="35" s="1"/>
  <c r="J28" i="35"/>
  <c r="W28" i="35" s="1"/>
  <c r="H28" i="35"/>
  <c r="U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AC8" i="35" s="1"/>
  <c r="H8" i="35"/>
  <c r="U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D118" i="34"/>
  <c r="E118" i="34"/>
  <c r="F118" i="34" s="1"/>
  <c r="G118" i="34" s="1"/>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U33" i="34"/>
  <c r="D92" i="34"/>
  <c r="E92" i="34" s="1"/>
  <c r="F92" i="34" s="1"/>
  <c r="G92" i="34" s="1"/>
  <c r="H92" i="34" s="1"/>
  <c r="I92" i="34" s="1"/>
  <c r="J92" i="34" s="1"/>
  <c r="K92" i="34" s="1"/>
  <c r="L92" i="34" s="1"/>
  <c r="M92" i="34" s="1"/>
  <c r="B89" i="34"/>
  <c r="D88" i="34"/>
  <c r="E88" i="34"/>
  <c r="F88" i="34" s="1"/>
  <c r="G88" i="34" s="1"/>
  <c r="H88" i="34" s="1"/>
  <c r="I88" i="34" s="1"/>
  <c r="J88" i="34" s="1"/>
  <c r="K88" i="34" s="1"/>
  <c r="L88" i="34" s="1"/>
  <c r="M88" i="34" s="1"/>
  <c r="D82" i="34"/>
  <c r="E82" i="34"/>
  <c r="F70" i="34"/>
  <c r="G70" i="34"/>
  <c r="H70" i="34" s="1"/>
  <c r="I70" i="34" s="1"/>
  <c r="J70" i="34" s="1"/>
  <c r="K70" i="34" s="1"/>
  <c r="L70" i="34" s="1"/>
  <c r="M70" i="34" s="1"/>
  <c r="M68" i="34"/>
  <c r="L68" i="34"/>
  <c r="K68" i="34"/>
  <c r="J68" i="34"/>
  <c r="I68" i="34"/>
  <c r="H68" i="34"/>
  <c r="G68" i="34"/>
  <c r="F68" i="34"/>
  <c r="E68" i="34"/>
  <c r="D68" i="34"/>
  <c r="C68" i="34"/>
  <c r="P50" i="34"/>
  <c r="P49" i="34"/>
  <c r="V48" i="34"/>
  <c r="T48" i="34"/>
  <c r="P48" i="34"/>
  <c r="Q47" i="34"/>
  <c r="Z47" i="34"/>
  <c r="Q46" i="34"/>
  <c r="Z46" i="34"/>
  <c r="Q45" i="34"/>
  <c r="Z45" i="34"/>
  <c r="Q44" i="34"/>
  <c r="Z44" i="34"/>
  <c r="H44" i="34"/>
  <c r="AB44" i="34"/>
  <c r="Q43" i="34"/>
  <c r="Z43" i="34"/>
  <c r="Q42" i="34"/>
  <c r="Z42" i="34"/>
  <c r="Q41" i="34"/>
  <c r="Z41" i="34"/>
  <c r="Q40" i="34"/>
  <c r="Z40" i="34"/>
  <c r="S40" i="34"/>
  <c r="Q39" i="34"/>
  <c r="Z39" i="34" s="1"/>
  <c r="U39" i="34"/>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S10" i="34"/>
  <c r="Q9" i="34"/>
  <c r="Z9" i="34"/>
  <c r="J8" i="34"/>
  <c r="AC8" i="34"/>
  <c r="H8" i="34"/>
  <c r="U8"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c r="G125" i="33" s="1"/>
  <c r="D123" i="33"/>
  <c r="D117" i="33"/>
  <c r="E117" i="33" s="1"/>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D85" i="33"/>
  <c r="E85" i="33" s="1"/>
  <c r="F85" i="33" s="1"/>
  <c r="G85" i="33" s="1"/>
  <c r="D81" i="33"/>
  <c r="E81" i="33" s="1"/>
  <c r="F81" i="33"/>
  <c r="G81" i="33" s="1"/>
  <c r="D79" i="33"/>
  <c r="E79" i="33" s="1"/>
  <c r="D77" i="33"/>
  <c r="E77" i="33" s="1"/>
  <c r="F77" i="33" s="1"/>
  <c r="G77" i="33" s="1"/>
  <c r="D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AB40" i="33" s="1"/>
  <c r="AA40" i="33"/>
  <c r="Q39" i="33"/>
  <c r="Z39" i="33" s="1"/>
  <c r="J39" i="33"/>
  <c r="AC39" i="33" s="1"/>
  <c r="Q38" i="33"/>
  <c r="Z38" i="33" s="1"/>
  <c r="J38" i="33"/>
  <c r="H38" i="33"/>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F12" i="33"/>
  <c r="Q11" i="33"/>
  <c r="Z11" i="33" s="1"/>
  <c r="Q10" i="33"/>
  <c r="Z10" i="33" s="1"/>
  <c r="Q9" i="33"/>
  <c r="Z9" i="33" s="1"/>
  <c r="J9" i="33"/>
  <c r="AC9" i="33" s="1"/>
  <c r="H9" i="33"/>
  <c r="F9" i="33"/>
  <c r="AA9" i="33" s="1"/>
  <c r="J8" i="33"/>
  <c r="W8" i="33" s="1"/>
  <c r="H8" i="33"/>
  <c r="F8" i="33"/>
  <c r="S8" i="33" s="1"/>
  <c r="M102" i="21"/>
  <c r="D102" i="21"/>
  <c r="E102" i="21"/>
  <c r="F102" i="21"/>
  <c r="G102" i="21"/>
  <c r="H102" i="21"/>
  <c r="I102" i="21"/>
  <c r="J102" i="21"/>
  <c r="K102" i="21"/>
  <c r="L102" i="21"/>
  <c r="C102" i="21"/>
  <c r="C63" i="21"/>
  <c r="G18" i="20"/>
  <c r="B90" i="46" s="1"/>
  <c r="C25" i="40"/>
  <c r="G16" i="20"/>
  <c r="G15" i="20"/>
  <c r="B83" i="46" s="1"/>
  <c r="C24" i="20"/>
  <c r="B75" i="46" s="1"/>
  <c r="C21" i="20"/>
  <c r="C20" i="20"/>
  <c r="C18" i="20"/>
  <c r="B73" i="46" s="1"/>
  <c r="C17" i="20"/>
  <c r="B61" i="46" s="1"/>
  <c r="C16" i="20"/>
  <c r="B50" i="46" s="1"/>
  <c r="C15" i="20"/>
  <c r="B72"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W28" i="21" s="1"/>
  <c r="B90" i="21"/>
  <c r="B74" i="21"/>
  <c r="J14" i="21"/>
  <c r="W14" i="21" s="1"/>
  <c r="B72" i="21"/>
  <c r="B70" i="21"/>
  <c r="H12" i="21" s="1"/>
  <c r="U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D5" i="3" s="1"/>
  <c r="BE13" i="3"/>
  <c r="BF13" i="3"/>
  <c r="BF5" i="3" s="1"/>
  <c r="BG13" i="3"/>
  <c r="BH13" i="3"/>
  <c r="BI13" i="3"/>
  <c r="BJ13" i="3"/>
  <c r="BJ5" i="3" s="1"/>
  <c r="BK13" i="3"/>
  <c r="BM13" i="3"/>
  <c r="BN13" i="3"/>
  <c r="BO13" i="3"/>
  <c r="BO5" i="3" s="1"/>
  <c r="BP13" i="3"/>
  <c r="BS13" i="3"/>
  <c r="BS5" i="3" s="1"/>
  <c r="F28" i="6" s="1"/>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H571" i="3"/>
  <c r="G571" i="3" s="1"/>
  <c r="H572" i="3"/>
  <c r="F5" i="3"/>
  <c r="G27" i="6"/>
  <c r="F34" i="21"/>
  <c r="H34" i="21"/>
  <c r="U34" i="21" s="1"/>
  <c r="F43" i="21"/>
  <c r="H38" i="21"/>
  <c r="AB38" i="21" s="1"/>
  <c r="H43" i="21"/>
  <c r="AB43" i="21" s="1"/>
  <c r="F32" i="21"/>
  <c r="F38" i="21"/>
  <c r="S38" i="21"/>
  <c r="F36" i="21"/>
  <c r="S36" i="21"/>
  <c r="F39" i="21"/>
  <c r="AA39" i="21"/>
  <c r="J40" i="21"/>
  <c r="W40" i="21"/>
  <c r="H35" i="21"/>
  <c r="AB35" i="21"/>
  <c r="J8" i="21"/>
  <c r="AC8" i="21"/>
  <c r="H8" i="21"/>
  <c r="H9" i="21"/>
  <c r="AB9" i="21" s="1"/>
  <c r="H10" i="21"/>
  <c r="U10" i="21" s="1"/>
  <c r="H39" i="21"/>
  <c r="AB39" i="21" s="1"/>
  <c r="J34" i="21"/>
  <c r="H36" i="21"/>
  <c r="U36" i="21" s="1"/>
  <c r="F35" i="21"/>
  <c r="J33" i="21"/>
  <c r="W33" i="21" s="1"/>
  <c r="H33" i="21"/>
  <c r="U33" i="21" s="1"/>
  <c r="F33" i="21"/>
  <c r="AA33" i="21" s="1"/>
  <c r="J10" i="21"/>
  <c r="AC10" i="21"/>
  <c r="H26" i="21"/>
  <c r="F19" i="21"/>
  <c r="H19" i="21"/>
  <c r="J19" i="21"/>
  <c r="W19" i="21" s="1"/>
  <c r="J26" i="21"/>
  <c r="F26" i="21"/>
  <c r="AB41" i="21"/>
  <c r="AA41" i="21"/>
  <c r="W41" i="21"/>
  <c r="S10" i="39"/>
  <c r="F39" i="37"/>
  <c r="F29" i="36"/>
  <c r="AA29" i="36" s="1"/>
  <c r="F16" i="36"/>
  <c r="W22" i="36"/>
  <c r="AC27" i="35"/>
  <c r="S31" i="35"/>
  <c r="W31" i="35"/>
  <c r="S36" i="34"/>
  <c r="W39" i="34"/>
  <c r="H39" i="33"/>
  <c r="AB39" i="33" s="1"/>
  <c r="S8" i="21"/>
  <c r="W8" i="21"/>
  <c r="H39" i="37"/>
  <c r="AB39" i="37" s="1"/>
  <c r="AB27" i="35"/>
  <c r="W10" i="40"/>
  <c r="U11" i="40"/>
  <c r="U36" i="40"/>
  <c r="S40" i="39"/>
  <c r="F11" i="21"/>
  <c r="AC40" i="21"/>
  <c r="AA38" i="21"/>
  <c r="AC35" i="21"/>
  <c r="C23" i="39"/>
  <c r="U36" i="39"/>
  <c r="H32" i="33"/>
  <c r="AB32" i="33" s="1"/>
  <c r="H11" i="21"/>
  <c r="J11" i="21"/>
  <c r="W11" i="21" s="1"/>
  <c r="U9" i="21"/>
  <c r="J27" i="36"/>
  <c r="W27" i="36"/>
  <c r="J30" i="35"/>
  <c r="W30" i="35"/>
  <c r="F22" i="35"/>
  <c r="AA22" i="35"/>
  <c r="H10" i="35"/>
  <c r="U10" i="35"/>
  <c r="F85" i="36"/>
  <c r="G85" i="36" s="1"/>
  <c r="H85" i="36" s="1"/>
  <c r="I85" i="36" s="1"/>
  <c r="J85" i="36" s="1"/>
  <c r="K85" i="36" s="1"/>
  <c r="L85" i="36" s="1"/>
  <c r="M85" i="36" s="1"/>
  <c r="J29" i="36"/>
  <c r="AC29" i="36" s="1"/>
  <c r="F34" i="36"/>
  <c r="S34" i="36" s="1"/>
  <c r="AB8" i="36"/>
  <c r="H16" i="35"/>
  <c r="U16" i="35" s="1"/>
  <c r="H33" i="35"/>
  <c r="AB33" i="35" s="1"/>
  <c r="W8" i="35"/>
  <c r="F35" i="37"/>
  <c r="J34" i="37"/>
  <c r="W34" i="37" s="1"/>
  <c r="U42" i="34"/>
  <c r="U36" i="34"/>
  <c r="S33" i="34"/>
  <c r="J10" i="34"/>
  <c r="AC10" i="34"/>
  <c r="W8" i="34"/>
  <c r="E113" i="33"/>
  <c r="J37" i="33" s="1"/>
  <c r="W37" i="33" s="1"/>
  <c r="F19" i="33"/>
  <c r="S19" i="33" s="1"/>
  <c r="J19" i="33"/>
  <c r="AC19" i="33" s="1"/>
  <c r="S10" i="21"/>
  <c r="AB30" i="36"/>
  <c r="S22" i="35"/>
  <c r="H29" i="35"/>
  <c r="AB29" i="35" s="1"/>
  <c r="U34" i="37"/>
  <c r="S34" i="37"/>
  <c r="AA34" i="37"/>
  <c r="AB42" i="34"/>
  <c r="W36" i="34"/>
  <c r="W43" i="34"/>
  <c r="W42" i="34"/>
  <c r="AA42" i="34"/>
  <c r="S42" i="34"/>
  <c r="W38" i="34"/>
  <c r="S38" i="34"/>
  <c r="J42" i="21"/>
  <c r="J44" i="34"/>
  <c r="F44" i="34"/>
  <c r="S44" i="34" s="1"/>
  <c r="J10" i="35"/>
  <c r="W10" i="35" s="1"/>
  <c r="AL5" i="3"/>
  <c r="BQ13" i="3"/>
  <c r="F14" i="21"/>
  <c r="H14" i="21"/>
  <c r="U14" i="21" s="1"/>
  <c r="H28" i="21"/>
  <c r="F28" i="21"/>
  <c r="AC28" i="21"/>
  <c r="F44" i="21"/>
  <c r="H46" i="21"/>
  <c r="AB46" i="21" s="1"/>
  <c r="J46" i="21"/>
  <c r="W46" i="21" s="1"/>
  <c r="F46" i="21"/>
  <c r="H26" i="33"/>
  <c r="U26" i="33"/>
  <c r="H28" i="33"/>
  <c r="U28" i="33"/>
  <c r="F33" i="35"/>
  <c r="S33" i="35"/>
  <c r="J33" i="35"/>
  <c r="W33" i="35"/>
  <c r="F30" i="35"/>
  <c r="AA30" i="35"/>
  <c r="G89" i="35"/>
  <c r="H89" i="35" s="1"/>
  <c r="I89" i="35"/>
  <c r="J89" i="35" s="1"/>
  <c r="K89" i="35" s="1"/>
  <c r="L89" i="35" s="1"/>
  <c r="M89" i="35" s="1"/>
  <c r="H10" i="36"/>
  <c r="AB10" i="36"/>
  <c r="F28" i="36"/>
  <c r="S28" i="36"/>
  <c r="F27" i="36"/>
  <c r="S27" i="36"/>
  <c r="W29" i="33"/>
  <c r="F45" i="33"/>
  <c r="H28" i="36"/>
  <c r="H32" i="36"/>
  <c r="J32" i="36"/>
  <c r="W32" i="36" s="1"/>
  <c r="H13" i="36"/>
  <c r="AB13" i="36" s="1"/>
  <c r="J13" i="36"/>
  <c r="F13" i="36"/>
  <c r="S13" i="36" s="1"/>
  <c r="E89" i="37"/>
  <c r="F89" i="37" s="1"/>
  <c r="G89" i="37" s="1"/>
  <c r="H89" i="37" s="1"/>
  <c r="I89" i="37" s="1"/>
  <c r="J89" i="37" s="1"/>
  <c r="K89" i="37" s="1"/>
  <c r="L89" i="37" s="1"/>
  <c r="M89" i="37" s="1"/>
  <c r="J29" i="37"/>
  <c r="W29" i="37" s="1"/>
  <c r="F29" i="37"/>
  <c r="AA29" i="37" s="1"/>
  <c r="G105" i="37"/>
  <c r="AB36" i="37"/>
  <c r="F107" i="37"/>
  <c r="G107" i="37" s="1"/>
  <c r="H107" i="37" s="1"/>
  <c r="I107" i="37" s="1"/>
  <c r="J107" i="37" s="1"/>
  <c r="K107" i="37" s="1"/>
  <c r="L107" i="37" s="1"/>
  <c r="M107" i="37" s="1"/>
  <c r="J37" i="37"/>
  <c r="AC37" i="37"/>
  <c r="H37" i="37"/>
  <c r="U37" i="37"/>
  <c r="F40" i="37"/>
  <c r="AA40" i="37" s="1"/>
  <c r="H14" i="33"/>
  <c r="U14" i="33" s="1"/>
  <c r="F14" i="33"/>
  <c r="AA14" i="33" s="1"/>
  <c r="J14" i="33"/>
  <c r="F44" i="33"/>
  <c r="J46" i="33"/>
  <c r="F46" i="33"/>
  <c r="H46" i="33"/>
  <c r="AB46" i="33" s="1"/>
  <c r="H13" i="34"/>
  <c r="U13" i="34" s="1"/>
  <c r="J13" i="34"/>
  <c r="W13" i="34" s="1"/>
  <c r="J29" i="34"/>
  <c r="S29" i="34"/>
  <c r="H29" i="34"/>
  <c r="U29" i="34" s="1"/>
  <c r="J31" i="34"/>
  <c r="AC31" i="34" s="1"/>
  <c r="H31" i="34"/>
  <c r="AB31" i="34" s="1"/>
  <c r="S31" i="34"/>
  <c r="J45" i="34"/>
  <c r="H47" i="34"/>
  <c r="U47" i="34" s="1"/>
  <c r="J47" i="34"/>
  <c r="AC47" i="34" s="1"/>
  <c r="H13" i="37"/>
  <c r="AB13" i="37" s="1"/>
  <c r="F13" i="37"/>
  <c r="S13" i="37" s="1"/>
  <c r="J13" i="37"/>
  <c r="AC13" i="37" s="1"/>
  <c r="F28" i="37"/>
  <c r="AA28" i="37" s="1"/>
  <c r="H28" i="37"/>
  <c r="U28" i="37" s="1"/>
  <c r="H38" i="37"/>
  <c r="AB38" i="37" s="1"/>
  <c r="J38" i="37"/>
  <c r="AC38" i="37" s="1"/>
  <c r="F38" i="37"/>
  <c r="S38" i="37" s="1"/>
  <c r="F14" i="37"/>
  <c r="AA14" i="37" s="1"/>
  <c r="F27" i="37"/>
  <c r="J14" i="37"/>
  <c r="W14" i="37" s="1"/>
  <c r="J27" i="37"/>
  <c r="AA38" i="37"/>
  <c r="J36" i="37"/>
  <c r="AC36" i="37" s="1"/>
  <c r="AB14" i="21"/>
  <c r="W31" i="34"/>
  <c r="U36" i="37"/>
  <c r="G521" i="3"/>
  <c r="G499" i="3"/>
  <c r="G539" i="3"/>
  <c r="BL519" i="3"/>
  <c r="BL483" i="3"/>
  <c r="BL551" i="3"/>
  <c r="BL533" i="3"/>
  <c r="G514" i="3"/>
  <c r="BL485" i="3"/>
  <c r="BA555" i="3"/>
  <c r="AZ555" i="3" s="1"/>
  <c r="BA541" i="3"/>
  <c r="BA505" i="3"/>
  <c r="BA19" i="3"/>
  <c r="BA550" i="3"/>
  <c r="BA544" i="3"/>
  <c r="BA536" i="3"/>
  <c r="BA532" i="3"/>
  <c r="BA528" i="3"/>
  <c r="BA520" i="3"/>
  <c r="BA512" i="3"/>
  <c r="BA492" i="3"/>
  <c r="BA484" i="3"/>
  <c r="AZ484" i="3" s="1"/>
  <c r="G554" i="3"/>
  <c r="G550" i="3"/>
  <c r="G546" i="3"/>
  <c r="AC542" i="3"/>
  <c r="BQ542" i="3"/>
  <c r="BQ568" i="3"/>
  <c r="BQ566" i="3"/>
  <c r="BQ564" i="3"/>
  <c r="BQ562" i="3"/>
  <c r="BL562" i="3"/>
  <c r="BQ560" i="3"/>
  <c r="BQ558" i="3"/>
  <c r="BQ556" i="3"/>
  <c r="BQ554" i="3"/>
  <c r="BL554" i="3"/>
  <c r="BQ552" i="3"/>
  <c r="BQ550" i="3"/>
  <c r="BL550" i="3" s="1"/>
  <c r="BQ548" i="3"/>
  <c r="BQ546" i="3"/>
  <c r="BL546" i="3" s="1"/>
  <c r="BQ544" i="3"/>
  <c r="G544" i="3"/>
  <c r="G534" i="3"/>
  <c r="G526" i="3"/>
  <c r="BQ540" i="3"/>
  <c r="BQ538" i="3"/>
  <c r="BQ536" i="3"/>
  <c r="BQ534" i="3"/>
  <c r="BL534" i="3"/>
  <c r="BQ532" i="3"/>
  <c r="BL532" i="3"/>
  <c r="AZ532" i="3" s="1"/>
  <c r="BQ530" i="3"/>
  <c r="BQ528" i="3"/>
  <c r="BQ526" i="3"/>
  <c r="BQ524" i="3"/>
  <c r="BQ522" i="3"/>
  <c r="BQ520" i="3"/>
  <c r="BQ518" i="3"/>
  <c r="BQ516" i="3"/>
  <c r="BL516" i="3" s="1"/>
  <c r="BQ514" i="3"/>
  <c r="BQ512" i="3"/>
  <c r="BQ510" i="3"/>
  <c r="BL510" i="3" s="1"/>
  <c r="BQ508" i="3"/>
  <c r="BL508" i="3" s="1"/>
  <c r="AC506" i="3"/>
  <c r="G506" i="3" s="1"/>
  <c r="BQ506" i="3"/>
  <c r="BQ504" i="3"/>
  <c r="BL504" i="3" s="1"/>
  <c r="BQ502" i="3"/>
  <c r="BL502" i="3"/>
  <c r="BQ500" i="3"/>
  <c r="BL500" i="3"/>
  <c r="BQ498" i="3"/>
  <c r="BL498" i="3"/>
  <c r="BQ496" i="3"/>
  <c r="AC494" i="3"/>
  <c r="G494" i="3" s="1"/>
  <c r="BQ494" i="3"/>
  <c r="G488" i="3"/>
  <c r="G20" i="3"/>
  <c r="BQ492" i="3"/>
  <c r="BQ490" i="3"/>
  <c r="BQ488" i="3"/>
  <c r="BQ486" i="3"/>
  <c r="BL486" i="3" s="1"/>
  <c r="AZ486" i="3" s="1"/>
  <c r="BQ484" i="3"/>
  <c r="BL484" i="3"/>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39" i="33"/>
  <c r="S39" i="33" s="1"/>
  <c r="E123" i="33"/>
  <c r="F42" i="33"/>
  <c r="AA42" i="33" s="1"/>
  <c r="F22" i="36"/>
  <c r="S22" i="36" s="1"/>
  <c r="U35" i="34"/>
  <c r="F41" i="34"/>
  <c r="S41" i="34"/>
  <c r="H41" i="34"/>
  <c r="U41" i="34"/>
  <c r="J41" i="34"/>
  <c r="W41" i="34"/>
  <c r="F10" i="35"/>
  <c r="AA10"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J23" i="37"/>
  <c r="W23" i="37" s="1"/>
  <c r="F17" i="37"/>
  <c r="AA17" i="37" s="1"/>
  <c r="D3" i="21"/>
  <c r="AC12" i="35"/>
  <c r="AC23" i="37"/>
  <c r="U39" i="37"/>
  <c r="S25" i="37"/>
  <c r="AB8" i="34"/>
  <c r="AC33" i="21"/>
  <c r="AA36" i="21"/>
  <c r="F43" i="33"/>
  <c r="AA43" i="33" s="1"/>
  <c r="F37" i="21"/>
  <c r="S37" i="21" s="1"/>
  <c r="J37" i="21"/>
  <c r="W37" i="21" s="1"/>
  <c r="J10" i="37"/>
  <c r="AC10" i="37" s="1"/>
  <c r="W9" i="37"/>
  <c r="F11" i="37"/>
  <c r="S11" i="37"/>
  <c r="J12" i="37"/>
  <c r="AC12" i="37"/>
  <c r="H12" i="37"/>
  <c r="AB12" i="37"/>
  <c r="F12" i="37"/>
  <c r="AA12" i="37"/>
  <c r="H15" i="37"/>
  <c r="U15" i="37"/>
  <c r="E94" i="37"/>
  <c r="F31" i="37"/>
  <c r="F94" i="37"/>
  <c r="G94" i="37" s="1"/>
  <c r="H94" i="37" s="1"/>
  <c r="I94" i="37" s="1"/>
  <c r="J94" i="37" s="1"/>
  <c r="K94" i="37" s="1"/>
  <c r="L94" i="37" s="1"/>
  <c r="M94" i="37" s="1"/>
  <c r="H31" i="37"/>
  <c r="AB31" i="37" s="1"/>
  <c r="J15" i="37"/>
  <c r="W15" i="37"/>
  <c r="U12" i="37"/>
  <c r="J11" i="37"/>
  <c r="E89" i="40"/>
  <c r="F89" i="40" s="1"/>
  <c r="G89" i="40"/>
  <c r="F21" i="40"/>
  <c r="S21" i="40"/>
  <c r="J21" i="40"/>
  <c r="AC21" i="40"/>
  <c r="S27" i="31"/>
  <c r="G483" i="3"/>
  <c r="G507" i="3"/>
  <c r="BA15" i="3"/>
  <c r="BL17" i="3"/>
  <c r="BL15" i="3"/>
  <c r="BA14" i="3"/>
  <c r="AZ14" i="3"/>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G323" i="3"/>
  <c r="BL324" i="3"/>
  <c r="BA326" i="3"/>
  <c r="AZ326" i="3" s="1"/>
  <c r="BA327" i="3"/>
  <c r="AZ327" i="3" s="1"/>
  <c r="BL327" i="3"/>
  <c r="G328" i="3"/>
  <c r="BA329" i="3"/>
  <c r="G337" i="3"/>
  <c r="BL338" i="3"/>
  <c r="G339" i="3"/>
  <c r="BL340" i="3"/>
  <c r="BA342" i="3"/>
  <c r="AZ342" i="3" s="1"/>
  <c r="BA343" i="3"/>
  <c r="BL343" i="3"/>
  <c r="G344" i="3"/>
  <c r="BA345" i="3"/>
  <c r="AZ345" i="3" s="1"/>
  <c r="G353" i="3"/>
  <c r="BL354" i="3"/>
  <c r="G355" i="3"/>
  <c r="BL356" i="3"/>
  <c r="G357" i="3"/>
  <c r="BL358" i="3"/>
  <c r="G359" i="3"/>
  <c r="BA360" i="3"/>
  <c r="BA361" i="3"/>
  <c r="BL361" i="3"/>
  <c r="G362" i="3"/>
  <c r="BA363" i="3"/>
  <c r="G371" i="3"/>
  <c r="BL372" i="3"/>
  <c r="G373" i="3"/>
  <c r="BL374" i="3"/>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s="1"/>
  <c r="BL147" i="3"/>
  <c r="G148" i="3"/>
  <c r="BA150" i="3"/>
  <c r="BL151" i="3"/>
  <c r="AZ151" i="3" s="1"/>
  <c r="BA153" i="3"/>
  <c r="BL154" i="3"/>
  <c r="G155" i="3"/>
  <c r="BA157" i="3"/>
  <c r="AZ157" i="3" s="1"/>
  <c r="BL158" i="3"/>
  <c r="G159" i="3"/>
  <c r="BA161" i="3"/>
  <c r="BL162" i="3"/>
  <c r="G163" i="3"/>
  <c r="BA165" i="3"/>
  <c r="BL166" i="3"/>
  <c r="AZ166" i="3" s="1"/>
  <c r="G167" i="3"/>
  <c r="BA169" i="3"/>
  <c r="BL170" i="3"/>
  <c r="G171" i="3"/>
  <c r="BA173" i="3"/>
  <c r="BL174" i="3"/>
  <c r="G175" i="3"/>
  <c r="BA178" i="3"/>
  <c r="BL179" i="3"/>
  <c r="G180" i="3"/>
  <c r="AZ31" i="3"/>
  <c r="AZ35" i="3"/>
  <c r="G537" i="3"/>
  <c r="BL181" i="3"/>
  <c r="G182" i="3"/>
  <c r="BA184" i="3"/>
  <c r="AZ184" i="3" s="1"/>
  <c r="BL185" i="3"/>
  <c r="G186" i="3"/>
  <c r="BA188" i="3"/>
  <c r="AZ188" i="3" s="1"/>
  <c r="BL189" i="3"/>
  <c r="G190" i="3"/>
  <c r="BA192" i="3"/>
  <c r="AZ192" i="3" s="1"/>
  <c r="BL193" i="3"/>
  <c r="G194" i="3"/>
  <c r="BA196" i="3"/>
  <c r="BL197" i="3"/>
  <c r="G198" i="3"/>
  <c r="BA200" i="3"/>
  <c r="BL201" i="3"/>
  <c r="BA298" i="3"/>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AZ339" i="3" s="1"/>
  <c r="BL339" i="3"/>
  <c r="G340" i="3"/>
  <c r="G343" i="3"/>
  <c r="BL344" i="3"/>
  <c r="BA346" i="3"/>
  <c r="BA347" i="3"/>
  <c r="BL347" i="3"/>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AZ381" i="3" s="1"/>
  <c r="G382" i="3"/>
  <c r="G385" i="3"/>
  <c r="AZ162" i="3"/>
  <c r="G523" i="3"/>
  <c r="BL297" i="3"/>
  <c r="G298" i="3"/>
  <c r="BA300" i="3"/>
  <c r="BL301" i="3"/>
  <c r="G302" i="3"/>
  <c r="BA304" i="3"/>
  <c r="AZ304" i="3" s="1"/>
  <c r="BL305" i="3"/>
  <c r="AZ305" i="3"/>
  <c r="G306" i="3"/>
  <c r="BA308" i="3"/>
  <c r="AZ308" i="3" s="1"/>
  <c r="BL309" i="3"/>
  <c r="G310" i="3"/>
  <c r="BA310" i="3"/>
  <c r="BL311" i="3"/>
  <c r="G312" i="3"/>
  <c r="BA312" i="3"/>
  <c r="BL313" i="3"/>
  <c r="G314" i="3"/>
  <c r="BA314" i="3"/>
  <c r="BL315" i="3"/>
  <c r="AZ315" i="3" s="1"/>
  <c r="G316" i="3"/>
  <c r="BA316" i="3"/>
  <c r="AZ316" i="3" s="1"/>
  <c r="BL317" i="3"/>
  <c r="G318" i="3"/>
  <c r="BA320" i="3"/>
  <c r="BL321" i="3"/>
  <c r="G322" i="3"/>
  <c r="BA324" i="3"/>
  <c r="AZ324" i="3"/>
  <c r="BL325" i="3"/>
  <c r="G326" i="3"/>
  <c r="BA328" i="3"/>
  <c r="AZ328" i="3" s="1"/>
  <c r="BL329" i="3"/>
  <c r="G330" i="3"/>
  <c r="BA332" i="3"/>
  <c r="AZ332" i="3"/>
  <c r="BL333" i="3"/>
  <c r="G334" i="3"/>
  <c r="BA336" i="3"/>
  <c r="BL337" i="3"/>
  <c r="AZ337" i="3" s="1"/>
  <c r="G338" i="3"/>
  <c r="BA340" i="3"/>
  <c r="BL341" i="3"/>
  <c r="G342" i="3"/>
  <c r="BA344" i="3"/>
  <c r="BL345" i="3"/>
  <c r="G346" i="3"/>
  <c r="BA348" i="3"/>
  <c r="BL349" i="3"/>
  <c r="G350" i="3"/>
  <c r="BA352" i="3"/>
  <c r="AZ352" i="3" s="1"/>
  <c r="BL353" i="3"/>
  <c r="G354" i="3"/>
  <c r="BA356" i="3"/>
  <c r="AZ356" i="3"/>
  <c r="BL357" i="3"/>
  <c r="G358" i="3"/>
  <c r="BA362" i="3"/>
  <c r="BL363" i="3"/>
  <c r="G364" i="3"/>
  <c r="BA366" i="3"/>
  <c r="AZ366" i="3" s="1"/>
  <c r="BL367" i="3"/>
  <c r="AZ341" i="3"/>
  <c r="AZ353" i="3"/>
  <c r="G368" i="3"/>
  <c r="BA370" i="3"/>
  <c r="AZ370" i="3" s="1"/>
  <c r="BL371" i="3"/>
  <c r="G372" i="3"/>
  <c r="BA374" i="3"/>
  <c r="BL375" i="3"/>
  <c r="G376" i="3"/>
  <c r="BA378" i="3"/>
  <c r="BL379" i="3"/>
  <c r="AZ379" i="3"/>
  <c r="G380" i="3"/>
  <c r="BA382" i="3"/>
  <c r="AZ382" i="3" s="1"/>
  <c r="BL383" i="3"/>
  <c r="AZ383" i="3" s="1"/>
  <c r="G384" i="3"/>
  <c r="F37" i="46"/>
  <c r="AB16" i="35"/>
  <c r="AB15" i="37"/>
  <c r="U43" i="21"/>
  <c r="F77" i="40"/>
  <c r="G77" i="40" s="1"/>
  <c r="H77" i="40" s="1"/>
  <c r="I77" i="40" s="1"/>
  <c r="J77" i="40" s="1"/>
  <c r="K77" i="40" s="1"/>
  <c r="L77" i="40" s="1"/>
  <c r="M77" i="40" s="1"/>
  <c r="R16" i="4"/>
  <c r="D3" i="35"/>
  <c r="G4" i="4"/>
  <c r="J16" i="35"/>
  <c r="U42" i="21"/>
  <c r="AC26" i="36"/>
  <c r="AZ300" i="3"/>
  <c r="AZ322" i="3"/>
  <c r="H13" i="39"/>
  <c r="AB13" i="39"/>
  <c r="F13" i="39"/>
  <c r="J13" i="39"/>
  <c r="AC13" i="39" s="1"/>
  <c r="H11" i="37"/>
  <c r="W37" i="37"/>
  <c r="AA36" i="37"/>
  <c r="AC29" i="33"/>
  <c r="AC14" i="37"/>
  <c r="AC29" i="37"/>
  <c r="AC32" i="36"/>
  <c r="W40" i="34"/>
  <c r="F16" i="35"/>
  <c r="W42" i="33"/>
  <c r="W35" i="34"/>
  <c r="G107" i="34"/>
  <c r="H107" i="34" s="1"/>
  <c r="I107" i="34" s="1"/>
  <c r="J107" i="34" s="1"/>
  <c r="K107" i="34" s="1"/>
  <c r="L107" i="34" s="1"/>
  <c r="M107" i="34" s="1"/>
  <c r="S30" i="36"/>
  <c r="H16" i="36"/>
  <c r="AB16" i="36" s="1"/>
  <c r="G103" i="37"/>
  <c r="H103" i="37" s="1"/>
  <c r="I103" i="37" s="1"/>
  <c r="J103" i="37" s="1"/>
  <c r="K103" i="37" s="1"/>
  <c r="L103" i="37" s="1"/>
  <c r="M103" i="37" s="1"/>
  <c r="H35" i="37"/>
  <c r="AB35" i="37" s="1"/>
  <c r="AB12" i="21"/>
  <c r="H32" i="21"/>
  <c r="U32" i="21"/>
  <c r="AB26" i="21"/>
  <c r="U26" i="21"/>
  <c r="U39" i="21"/>
  <c r="J32" i="21"/>
  <c r="AC32" i="21" s="1"/>
  <c r="F17" i="21"/>
  <c r="S17" i="21" s="1"/>
  <c r="H17" i="21"/>
  <c r="J17" i="21"/>
  <c r="H37" i="21"/>
  <c r="F40" i="21"/>
  <c r="S40" i="21" s="1"/>
  <c r="H40" i="21"/>
  <c r="AB40" i="21" s="1"/>
  <c r="E119" i="21"/>
  <c r="F119" i="21" s="1"/>
  <c r="G119" i="21" s="1"/>
  <c r="H119" i="21" s="1"/>
  <c r="I119" i="21" s="1"/>
  <c r="J119" i="21" s="1"/>
  <c r="K119" i="21" s="1"/>
  <c r="L119" i="21" s="1"/>
  <c r="M119" i="21" s="1"/>
  <c r="AA8" i="33"/>
  <c r="F10" i="33"/>
  <c r="AA10" i="33" s="1"/>
  <c r="F11" i="33"/>
  <c r="S11" i="33" s="1"/>
  <c r="H19" i="33"/>
  <c r="AB19" i="33" s="1"/>
  <c r="F32" i="33"/>
  <c r="AA32" i="33" s="1"/>
  <c r="J32" i="33"/>
  <c r="AC32" i="33" s="1"/>
  <c r="F35" i="33"/>
  <c r="AA35" i="33" s="1"/>
  <c r="F80" i="34"/>
  <c r="G80" i="34" s="1"/>
  <c r="AB28" i="35"/>
  <c r="H13" i="33"/>
  <c r="U13" i="33" s="1"/>
  <c r="H29" i="33"/>
  <c r="F29" i="33"/>
  <c r="AA29" i="33" s="1"/>
  <c r="J12" i="34"/>
  <c r="AC12" i="34" s="1"/>
  <c r="H12" i="34"/>
  <c r="AB12" i="34" s="1"/>
  <c r="S12" i="34"/>
  <c r="J14" i="34"/>
  <c r="W14" i="34" s="1"/>
  <c r="S14" i="34"/>
  <c r="H14" i="34"/>
  <c r="AB14" i="34" s="1"/>
  <c r="H30" i="34"/>
  <c r="S30" i="34"/>
  <c r="J30" i="34"/>
  <c r="W30" i="34" s="1"/>
  <c r="H32" i="34"/>
  <c r="AB32" i="34" s="1"/>
  <c r="J32" i="34"/>
  <c r="W32" i="34" s="1"/>
  <c r="AB46" i="34"/>
  <c r="J11" i="35"/>
  <c r="AC11" i="35" s="1"/>
  <c r="F96" i="37"/>
  <c r="G96" i="37" s="1"/>
  <c r="H32" i="37"/>
  <c r="AB32" i="37" s="1"/>
  <c r="F19" i="39"/>
  <c r="S19" i="39" s="1"/>
  <c r="H19" i="39"/>
  <c r="AB19" i="39" s="1"/>
  <c r="J19" i="39"/>
  <c r="W19" i="39" s="1"/>
  <c r="F43" i="39"/>
  <c r="S43" i="39" s="1"/>
  <c r="H43" i="39"/>
  <c r="U43" i="39"/>
  <c r="J43" i="39"/>
  <c r="F99" i="37"/>
  <c r="G99" i="37" s="1"/>
  <c r="H99" i="37" s="1"/>
  <c r="I99" i="37" s="1"/>
  <c r="J99" i="37" s="1"/>
  <c r="K99" i="37" s="1"/>
  <c r="L99" i="37" s="1"/>
  <c r="M99" i="37" s="1"/>
  <c r="U31" i="34"/>
  <c r="AA44" i="34"/>
  <c r="U29" i="35"/>
  <c r="U43" i="34"/>
  <c r="S35" i="37"/>
  <c r="AA35" i="37"/>
  <c r="AA32" i="21"/>
  <c r="S32" i="21"/>
  <c r="U38" i="21"/>
  <c r="AB34" i="21"/>
  <c r="F42" i="21"/>
  <c r="AA42" i="21" s="1"/>
  <c r="U40" i="33"/>
  <c r="S35" i="34"/>
  <c r="E90" i="34"/>
  <c r="F90" i="34" s="1"/>
  <c r="G90" i="34" s="1"/>
  <c r="H90" i="34" s="1"/>
  <c r="I90" i="34" s="1"/>
  <c r="J90" i="34" s="1"/>
  <c r="K90" i="34" s="1"/>
  <c r="L90" i="34" s="1"/>
  <c r="M90" i="34" s="1"/>
  <c r="AB8" i="35"/>
  <c r="J14" i="35"/>
  <c r="AC14" i="35" s="1"/>
  <c r="F14" i="35"/>
  <c r="AA14" i="35" s="1"/>
  <c r="H14" i="35"/>
  <c r="U14" i="35" s="1"/>
  <c r="E80" i="35"/>
  <c r="E94" i="35"/>
  <c r="F94" i="35"/>
  <c r="G94" i="35" s="1"/>
  <c r="H94" i="35" s="1"/>
  <c r="I94" i="35" s="1"/>
  <c r="J94" i="35" s="1"/>
  <c r="K94" i="35" s="1"/>
  <c r="L94" i="35" s="1"/>
  <c r="M94" i="35" s="1"/>
  <c r="J32" i="35"/>
  <c r="AC32" i="35" s="1"/>
  <c r="H11" i="36"/>
  <c r="F11" i="36"/>
  <c r="E78" i="36"/>
  <c r="F78" i="36" s="1"/>
  <c r="G78" i="36" s="1"/>
  <c r="H78" i="36" s="1"/>
  <c r="I78" i="36" s="1"/>
  <c r="J78" i="36" s="1"/>
  <c r="K78" i="36" s="1"/>
  <c r="L78" i="36" s="1"/>
  <c r="M78" i="36" s="1"/>
  <c r="F26" i="36"/>
  <c r="S26" i="36" s="1"/>
  <c r="AB34" i="36"/>
  <c r="H33" i="36"/>
  <c r="U33" i="36"/>
  <c r="F33" i="36"/>
  <c r="AA33" i="36"/>
  <c r="H27" i="36"/>
  <c r="AB27" i="36"/>
  <c r="AC25" i="37"/>
  <c r="W26" i="37"/>
  <c r="AB29" i="37"/>
  <c r="AA30" i="37"/>
  <c r="S30" i="37"/>
  <c r="AC30" i="37"/>
  <c r="AC31" i="37"/>
  <c r="W31" i="37"/>
  <c r="F17" i="39"/>
  <c r="AA17" i="39" s="1"/>
  <c r="H17" i="39"/>
  <c r="J17" i="39"/>
  <c r="W17" i="39" s="1"/>
  <c r="F21" i="39"/>
  <c r="S21" i="39" s="1"/>
  <c r="H21" i="39"/>
  <c r="AB21" i="39" s="1"/>
  <c r="J21" i="39"/>
  <c r="W21" i="39"/>
  <c r="H33" i="39"/>
  <c r="U33" i="39" s="1"/>
  <c r="F44" i="39"/>
  <c r="S44" i="39" s="1"/>
  <c r="H44" i="39"/>
  <c r="U44" i="39" s="1"/>
  <c r="J44" i="39"/>
  <c r="W44" i="39" s="1"/>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S39" i="39" s="1"/>
  <c r="H39" i="39"/>
  <c r="AB39" i="39" s="1"/>
  <c r="J39" i="39"/>
  <c r="W39" i="39" s="1"/>
  <c r="J29" i="35"/>
  <c r="AC29" i="35"/>
  <c r="F29" i="35"/>
  <c r="S29" i="35"/>
  <c r="AC30" i="36"/>
  <c r="F37" i="39"/>
  <c r="S37" i="39" s="1"/>
  <c r="H37" i="39"/>
  <c r="U37" i="39" s="1"/>
  <c r="J37" i="39"/>
  <c r="W37" i="39" s="1"/>
  <c r="BA567" i="3"/>
  <c r="BA563" i="3"/>
  <c r="BL549" i="3"/>
  <c r="BA549" i="3"/>
  <c r="AZ549" i="3" s="1"/>
  <c r="BL548" i="3"/>
  <c r="BA548" i="3"/>
  <c r="AZ548" i="3" s="1"/>
  <c r="BL547" i="3"/>
  <c r="BL539" i="3"/>
  <c r="BA538" i="3"/>
  <c r="BL537" i="3"/>
  <c r="BA535" i="3"/>
  <c r="BA534" i="3"/>
  <c r="AZ534" i="3" s="1"/>
  <c r="BA533" i="3"/>
  <c r="AZ533" i="3"/>
  <c r="BA530" i="3"/>
  <c r="BA529" i="3"/>
  <c r="BA525" i="3"/>
  <c r="BL523" i="3"/>
  <c r="BL522" i="3"/>
  <c r="BA518" i="3"/>
  <c r="BA517" i="3"/>
  <c r="BA515" i="3"/>
  <c r="BL513" i="3"/>
  <c r="BL512" i="3"/>
  <c r="BA511" i="3"/>
  <c r="BA507" i="3"/>
  <c r="BA506" i="3"/>
  <c r="BA504" i="3"/>
  <c r="AZ504" i="3" s="1"/>
  <c r="BA499" i="3"/>
  <c r="BL496" i="3"/>
  <c r="BL494" i="3"/>
  <c r="BA489" i="3"/>
  <c r="BA486" i="3"/>
  <c r="BA481" i="3"/>
  <c r="BL19" i="3"/>
  <c r="F114" i="34"/>
  <c r="G114" i="34" s="1"/>
  <c r="H114" i="34" s="1"/>
  <c r="I114" i="34" s="1"/>
  <c r="J114" i="34" s="1"/>
  <c r="K114" i="34" s="1"/>
  <c r="L114" i="34" s="1"/>
  <c r="M114" i="34" s="1"/>
  <c r="U38" i="34"/>
  <c r="H30" i="40"/>
  <c r="AB30" i="40"/>
  <c r="G99" i="40"/>
  <c r="J30" i="40"/>
  <c r="AC30" i="40" s="1"/>
  <c r="F38" i="40"/>
  <c r="AA38" i="40" s="1"/>
  <c r="AB33" i="21"/>
  <c r="AB10" i="21"/>
  <c r="U8" i="21"/>
  <c r="AB8" i="21"/>
  <c r="AC36" i="21"/>
  <c r="E106" i="33"/>
  <c r="F106" i="33" s="1"/>
  <c r="H34" i="33"/>
  <c r="U34" i="33" s="1"/>
  <c r="F34" i="33"/>
  <c r="S34" i="33" s="1"/>
  <c r="E121" i="33"/>
  <c r="F121" i="33" s="1"/>
  <c r="G121" i="33" s="1"/>
  <c r="H121" i="33" s="1"/>
  <c r="I121" i="33" s="1"/>
  <c r="J121" i="33" s="1"/>
  <c r="K121" i="33" s="1"/>
  <c r="L121" i="33" s="1"/>
  <c r="M121" i="33" s="1"/>
  <c r="F41" i="33"/>
  <c r="S39" i="34"/>
  <c r="S43" i="34"/>
  <c r="AC28" i="35"/>
  <c r="J20" i="35"/>
  <c r="AC20" i="35" s="1"/>
  <c r="E72" i="35"/>
  <c r="F72" i="35" s="1"/>
  <c r="G72" i="35" s="1"/>
  <c r="H22" i="35"/>
  <c r="AB22" i="35" s="1"/>
  <c r="H23" i="35"/>
  <c r="U23" i="35" s="1"/>
  <c r="F23" i="35"/>
  <c r="AA23" i="35" s="1"/>
  <c r="U31" i="36"/>
  <c r="S8" i="37"/>
  <c r="F14" i="39"/>
  <c r="AA14" i="39" s="1"/>
  <c r="J14" i="39"/>
  <c r="AC14" i="39" s="1"/>
  <c r="H16" i="39"/>
  <c r="F23" i="39"/>
  <c r="AA23" i="39" s="1"/>
  <c r="F27" i="39"/>
  <c r="AA27" i="39" s="1"/>
  <c r="H27" i="39"/>
  <c r="AB27" i="39" s="1"/>
  <c r="J27" i="39"/>
  <c r="AC27" i="39" s="1"/>
  <c r="F15" i="40"/>
  <c r="AA15" i="40" s="1"/>
  <c r="J15" i="40"/>
  <c r="W15" i="40" s="1"/>
  <c r="H15" i="40"/>
  <c r="AB15" i="40" s="1"/>
  <c r="E91" i="40"/>
  <c r="F91" i="40" s="1"/>
  <c r="G91" i="40" s="1"/>
  <c r="H23" i="40"/>
  <c r="U23" i="40" s="1"/>
  <c r="AB41" i="40"/>
  <c r="H37" i="34"/>
  <c r="F15" i="39"/>
  <c r="AA15" i="39" s="1"/>
  <c r="H15" i="39"/>
  <c r="U15" i="39" s="1"/>
  <c r="J15" i="39"/>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H32" i="40"/>
  <c r="U32" i="40" s="1"/>
  <c r="F33" i="40"/>
  <c r="AA33" i="40" s="1"/>
  <c r="H35" i="40"/>
  <c r="AB35" i="40" s="1"/>
  <c r="F35" i="40"/>
  <c r="AA35" i="40" s="1"/>
  <c r="J35" i="40"/>
  <c r="AC35" i="40" s="1"/>
  <c r="H38" i="39"/>
  <c r="U38" i="39" s="1"/>
  <c r="J16" i="40"/>
  <c r="W16" i="40" s="1"/>
  <c r="J14" i="40"/>
  <c r="H42" i="40"/>
  <c r="H40" i="40"/>
  <c r="U40" i="40" s="1"/>
  <c r="H34" i="40"/>
  <c r="U34" i="40" s="1"/>
  <c r="J42" i="40"/>
  <c r="AC42" i="40" s="1"/>
  <c r="J40" i="40"/>
  <c r="AC40" i="40" s="1"/>
  <c r="J34" i="40"/>
  <c r="H16" i="40"/>
  <c r="AB16" i="40" s="1"/>
  <c r="H14" i="40"/>
  <c r="U14" i="40" s="1"/>
  <c r="F32" i="40"/>
  <c r="AA32" i="40" s="1"/>
  <c r="F61" i="46"/>
  <c r="H61" i="46" s="1"/>
  <c r="AZ212" i="3"/>
  <c r="AZ215" i="3"/>
  <c r="AZ223" i="3"/>
  <c r="AZ236" i="3"/>
  <c r="AZ239" i="3"/>
  <c r="AZ252" i="3"/>
  <c r="AZ255" i="3"/>
  <c r="AZ260" i="3"/>
  <c r="AZ263" i="3"/>
  <c r="AZ268" i="3"/>
  <c r="AZ273" i="3"/>
  <c r="AZ137" i="3"/>
  <c r="AZ140" i="3"/>
  <c r="AZ152" i="3"/>
  <c r="F72" i="46"/>
  <c r="H74" i="46" s="1"/>
  <c r="J13" i="40"/>
  <c r="W13" i="40" s="1"/>
  <c r="U41" i="40"/>
  <c r="J23" i="40"/>
  <c r="AC23" i="40"/>
  <c r="F23" i="40"/>
  <c r="S23" i="40" s="1"/>
  <c r="AC15" i="40"/>
  <c r="S23" i="39"/>
  <c r="H20" i="35"/>
  <c r="AB20" i="35" s="1"/>
  <c r="F20" i="35"/>
  <c r="S20" i="35" s="1"/>
  <c r="F78" i="34"/>
  <c r="G78" i="34" s="1"/>
  <c r="H41" i="33"/>
  <c r="U41" i="33" s="1"/>
  <c r="F30" i="40"/>
  <c r="AA30" i="40" s="1"/>
  <c r="H99" i="40"/>
  <c r="I99" i="40" s="1"/>
  <c r="J99" i="40"/>
  <c r="K99" i="40" s="1"/>
  <c r="L99" i="40" s="1"/>
  <c r="M99" i="40" s="1"/>
  <c r="AB37" i="39"/>
  <c r="AA29" i="35"/>
  <c r="U39" i="39"/>
  <c r="J29" i="39"/>
  <c r="AC29" i="39"/>
  <c r="AB33" i="36"/>
  <c r="S14" i="35"/>
  <c r="F33" i="37"/>
  <c r="S33" i="37" s="1"/>
  <c r="U19" i="39"/>
  <c r="U46" i="34"/>
  <c r="AC30" i="34"/>
  <c r="W12" i="34"/>
  <c r="H15" i="33"/>
  <c r="U15" i="33" s="1"/>
  <c r="S13" i="39"/>
  <c r="AA13" i="39"/>
  <c r="U16" i="40"/>
  <c r="AB34" i="40"/>
  <c r="AC16" i="40"/>
  <c r="H25" i="40"/>
  <c r="AB25" i="40" s="1"/>
  <c r="F93" i="40"/>
  <c r="G93" i="40" s="1"/>
  <c r="U47" i="39"/>
  <c r="J37" i="34"/>
  <c r="AC37" i="34" s="1"/>
  <c r="AB23" i="40"/>
  <c r="H23" i="39"/>
  <c r="AB23" i="39" s="1"/>
  <c r="J23" i="39"/>
  <c r="AC23" i="39" s="1"/>
  <c r="G106" i="33"/>
  <c r="H106" i="33" s="1"/>
  <c r="I106" i="33" s="1"/>
  <c r="J106" i="33" s="1"/>
  <c r="K106" i="33" s="1"/>
  <c r="L106" i="33" s="1"/>
  <c r="M106" i="33" s="1"/>
  <c r="J34" i="33"/>
  <c r="AC34" i="33" s="1"/>
  <c r="U30" i="40"/>
  <c r="W29" i="35"/>
  <c r="AA39" i="39"/>
  <c r="U34" i="39"/>
  <c r="AB46" i="39"/>
  <c r="F80" i="35"/>
  <c r="G80" i="35" s="1"/>
  <c r="H80" i="35" s="1"/>
  <c r="I80" i="35" s="1"/>
  <c r="J80" i="35" s="1"/>
  <c r="K80" i="35" s="1"/>
  <c r="L80" i="35" s="1"/>
  <c r="M80" i="35" s="1"/>
  <c r="W14" i="35"/>
  <c r="AC43" i="39"/>
  <c r="W43" i="39"/>
  <c r="AA43" i="39"/>
  <c r="H96" i="37"/>
  <c r="I96" i="37" s="1"/>
  <c r="J96" i="37" s="1"/>
  <c r="K96" i="37" s="1"/>
  <c r="L96" i="37" s="1"/>
  <c r="M96" i="37" s="1"/>
  <c r="F32" i="37"/>
  <c r="U14" i="34"/>
  <c r="U12" i="34"/>
  <c r="J35" i="33"/>
  <c r="W35" i="33" s="1"/>
  <c r="H11" i="33"/>
  <c r="U11" i="33" s="1"/>
  <c r="H10" i="33"/>
  <c r="U10" i="33" s="1"/>
  <c r="J10" i="33"/>
  <c r="W10" i="33" s="1"/>
  <c r="U40" i="21"/>
  <c r="U13" i="39"/>
  <c r="F25" i="40"/>
  <c r="AA25" i="40"/>
  <c r="H33" i="37"/>
  <c r="AB33" i="37"/>
  <c r="W15" i="34"/>
  <c r="U20" i="35"/>
  <c r="W23" i="40"/>
  <c r="B11" i="1"/>
  <c r="E11" i="1"/>
  <c r="K11" i="1"/>
  <c r="M11" i="1" s="1"/>
  <c r="B9" i="1"/>
  <c r="E9" i="1" s="1"/>
  <c r="K9" i="1"/>
  <c r="M9" i="1" s="1"/>
  <c r="O9" i="1" s="1"/>
  <c r="P9" i="1" s="1"/>
  <c r="B7" i="1"/>
  <c r="E7" i="1" s="1"/>
  <c r="AP6" i="1"/>
  <c r="AA26" i="36"/>
  <c r="AA28" i="36"/>
  <c r="H20" i="36"/>
  <c r="U20" i="36" s="1"/>
  <c r="F68" i="36"/>
  <c r="G68" i="36" s="1"/>
  <c r="J20" i="36"/>
  <c r="AC20" i="36" s="1"/>
  <c r="F20" i="36"/>
  <c r="S20" i="36" s="1"/>
  <c r="G62" i="36"/>
  <c r="J14" i="36"/>
  <c r="H14" i="36"/>
  <c r="AB14" i="36" s="1"/>
  <c r="F14" i="36"/>
  <c r="AA14" i="36"/>
  <c r="U27" i="36"/>
  <c r="S33" i="36"/>
  <c r="AA27" i="36"/>
  <c r="S29" i="36"/>
  <c r="AC33" i="35"/>
  <c r="U22" i="35"/>
  <c r="S8" i="35"/>
  <c r="U33" i="35"/>
  <c r="AA20" i="35"/>
  <c r="W20" i="35"/>
  <c r="AB14" i="35"/>
  <c r="AC18" i="35"/>
  <c r="W18" i="35"/>
  <c r="U18" i="35"/>
  <c r="AB18" i="35"/>
  <c r="S30" i="35"/>
  <c r="AB30" i="35"/>
  <c r="S28" i="35"/>
  <c r="J26" i="35"/>
  <c r="F26" i="35"/>
  <c r="AA26" i="35" s="1"/>
  <c r="H26" i="35"/>
  <c r="W12" i="37"/>
  <c r="AB37" i="37"/>
  <c r="AA33" i="37"/>
  <c r="J33" i="37"/>
  <c r="W33" i="37" s="1"/>
  <c r="S29" i="37"/>
  <c r="J19" i="37"/>
  <c r="AC19" i="37"/>
  <c r="G75" i="37"/>
  <c r="F19" i="37"/>
  <c r="AA19" i="37" s="1"/>
  <c r="H19" i="37"/>
  <c r="J17" i="37"/>
  <c r="AC17" i="37" s="1"/>
  <c r="S15" i="37"/>
  <c r="AC21" i="37"/>
  <c r="W21" i="37"/>
  <c r="AC9" i="37"/>
  <c r="W32" i="37"/>
  <c r="U35" i="37"/>
  <c r="U8" i="37"/>
  <c r="AB25" i="37"/>
  <c r="AB21" i="37"/>
  <c r="U21" i="37"/>
  <c r="S37" i="37"/>
  <c r="S40" i="37"/>
  <c r="AA11" i="37"/>
  <c r="W33" i="34"/>
  <c r="S32" i="34"/>
  <c r="AC32" i="34"/>
  <c r="U44" i="34"/>
  <c r="W17" i="34"/>
  <c r="W37" i="34"/>
  <c r="W21" i="34"/>
  <c r="U21" i="34"/>
  <c r="AB41" i="34"/>
  <c r="S13" i="34"/>
  <c r="AA41" i="34"/>
  <c r="S35" i="33"/>
  <c r="W43" i="33"/>
  <c r="U46" i="33"/>
  <c r="W39" i="33"/>
  <c r="F87" i="33"/>
  <c r="G87" i="33" s="1"/>
  <c r="H87" i="33" s="1"/>
  <c r="I87" i="33" s="1"/>
  <c r="J87" i="33" s="1"/>
  <c r="K87" i="33" s="1"/>
  <c r="L87" i="33" s="1"/>
  <c r="M87" i="33" s="1"/>
  <c r="F25" i="33"/>
  <c r="S25" i="33" s="1"/>
  <c r="J23" i="33"/>
  <c r="AC23" i="33" s="1"/>
  <c r="H23" i="33"/>
  <c r="AB23" i="33" s="1"/>
  <c r="F79" i="33"/>
  <c r="G79" i="33" s="1"/>
  <c r="F17" i="33"/>
  <c r="S17" i="33" s="1"/>
  <c r="H17" i="33"/>
  <c r="U17" i="33" s="1"/>
  <c r="J17" i="33"/>
  <c r="W17" i="33" s="1"/>
  <c r="S14" i="33"/>
  <c r="AC21" i="33"/>
  <c r="W21" i="33"/>
  <c r="AB21" i="33"/>
  <c r="U21" i="33"/>
  <c r="S21" i="33"/>
  <c r="W39" i="21"/>
  <c r="U35" i="21"/>
  <c r="W43" i="21"/>
  <c r="AA37" i="21"/>
  <c r="AB32" i="21"/>
  <c r="AC46" i="21"/>
  <c r="F85" i="21"/>
  <c r="G85" i="21" s="1"/>
  <c r="J23" i="21"/>
  <c r="W23" i="21" s="1"/>
  <c r="F23" i="21"/>
  <c r="AA23" i="21" s="1"/>
  <c r="H23" i="21"/>
  <c r="AA17" i="21"/>
  <c r="F15" i="21"/>
  <c r="S15" i="21" s="1"/>
  <c r="F77" i="21"/>
  <c r="G77" i="21" s="1"/>
  <c r="J15" i="21"/>
  <c r="H15" i="21"/>
  <c r="U15" i="21" s="1"/>
  <c r="AC11" i="21"/>
  <c r="AC23" i="21"/>
  <c r="AC21" i="21"/>
  <c r="W21" i="21"/>
  <c r="W10" i="21"/>
  <c r="AC38" i="21"/>
  <c r="AB21" i="21"/>
  <c r="U21" i="21"/>
  <c r="S35" i="40"/>
  <c r="S14" i="40"/>
  <c r="AB13" i="40"/>
  <c r="S16" i="40"/>
  <c r="W11" i="40"/>
  <c r="AA21" i="40"/>
  <c r="U21" i="40"/>
  <c r="W42" i="40"/>
  <c r="F37" i="40"/>
  <c r="AA37" i="40" s="1"/>
  <c r="J37" i="40"/>
  <c r="AC37" i="40"/>
  <c r="H37" i="40"/>
  <c r="G112" i="40"/>
  <c r="H112" i="40" s="1"/>
  <c r="I112" i="40" s="1"/>
  <c r="J112" i="40" s="1"/>
  <c r="K112" i="40" s="1"/>
  <c r="L112" i="40" s="1"/>
  <c r="M112" i="40" s="1"/>
  <c r="F39" i="40"/>
  <c r="S38" i="40"/>
  <c r="H39" i="40"/>
  <c r="J39" i="40"/>
  <c r="AC39" i="40" s="1"/>
  <c r="F29" i="40"/>
  <c r="AA29" i="40" s="1"/>
  <c r="H29" i="40"/>
  <c r="J29" i="40"/>
  <c r="AC29" i="40" s="1"/>
  <c r="S25" i="40"/>
  <c r="AA23" i="40"/>
  <c r="F87" i="40"/>
  <c r="G87" i="40" s="1"/>
  <c r="F19" i="40"/>
  <c r="AA19" i="40" s="1"/>
  <c r="H19" i="40"/>
  <c r="AB19" i="40" s="1"/>
  <c r="J19" i="40"/>
  <c r="W19" i="40" s="1"/>
  <c r="W17" i="40"/>
  <c r="F17" i="40"/>
  <c r="AA17" i="40" s="1"/>
  <c r="H17" i="40"/>
  <c r="U17" i="40" s="1"/>
  <c r="W21" i="40"/>
  <c r="U10" i="40"/>
  <c r="U27" i="40"/>
  <c r="AB27" i="40"/>
  <c r="W13" i="39"/>
  <c r="S11" i="39"/>
  <c r="AB45" i="39"/>
  <c r="AA21" i="39"/>
  <c r="AC19" i="39"/>
  <c r="W29" i="39"/>
  <c r="S29" i="39"/>
  <c r="AC21" i="39"/>
  <c r="AC17" i="39"/>
  <c r="AB15" i="39"/>
  <c r="U11" i="39"/>
  <c r="U41" i="39"/>
  <c r="AB38" i="39"/>
  <c r="U31" i="39"/>
  <c r="AB31" i="39"/>
  <c r="S38" i="39"/>
  <c r="D18" i="9"/>
  <c r="M44" i="9" s="1"/>
  <c r="M43" i="9"/>
  <c r="BA16" i="3"/>
  <c r="BA17" i="3"/>
  <c r="AZ17" i="3" s="1"/>
  <c r="F3" i="35"/>
  <c r="K1" i="43"/>
  <c r="K1" i="12"/>
  <c r="G1" i="44"/>
  <c r="AZ15" i="3"/>
  <c r="BN5" i="3"/>
  <c r="BL18" i="3"/>
  <c r="BC5" i="3"/>
  <c r="BR5" i="3"/>
  <c r="G28" i="6" s="1"/>
  <c r="BQ5" i="3"/>
  <c r="BL16" i="3"/>
  <c r="BM5" i="3"/>
  <c r="G28" i="12"/>
  <c r="F50" i="46"/>
  <c r="H52" i="46" s="1"/>
  <c r="G52" i="46" s="1"/>
  <c r="I5" i="48"/>
  <c r="K21" i="46"/>
  <c r="F42" i="46"/>
  <c r="D74" i="46"/>
  <c r="D87" i="46"/>
  <c r="D72" i="46"/>
  <c r="A4" i="64"/>
  <c r="A4" i="51"/>
  <c r="B6" i="63" s="1"/>
  <c r="C51" i="10"/>
  <c r="A9" i="64"/>
  <c r="H83" i="46"/>
  <c r="H87" i="46"/>
  <c r="AB12" i="35"/>
  <c r="AA11" i="35"/>
  <c r="S14" i="37"/>
  <c r="U13" i="37"/>
  <c r="C24" i="9"/>
  <c r="C25" i="9"/>
  <c r="B46" i="50"/>
  <c r="B4" i="63" s="1"/>
  <c r="H89" i="46"/>
  <c r="H85" i="46"/>
  <c r="H90" i="46"/>
  <c r="H88" i="46"/>
  <c r="H86" i="46"/>
  <c r="K10" i="1"/>
  <c r="M10" i="1" s="1"/>
  <c r="O10" i="1" s="1"/>
  <c r="P10" i="1" s="1"/>
  <c r="R13" i="1"/>
  <c r="B6" i="1"/>
  <c r="E6" i="1" s="1"/>
  <c r="B10" i="1"/>
  <c r="E10" i="1" s="1"/>
  <c r="B8" i="1"/>
  <c r="E8" i="1" s="1"/>
  <c r="B12" i="1"/>
  <c r="E12" i="1" s="1"/>
  <c r="F66" i="36"/>
  <c r="H18" i="36"/>
  <c r="U18" i="36" s="1"/>
  <c r="U16" i="36"/>
  <c r="AC27" i="36"/>
  <c r="W28" i="36"/>
  <c r="AA32" i="36"/>
  <c r="U13" i="36"/>
  <c r="AA22" i="36"/>
  <c r="AA13" i="36"/>
  <c r="W29" i="36"/>
  <c r="W9" i="36"/>
  <c r="S9" i="36"/>
  <c r="AC30" i="35"/>
  <c r="W32" i="35"/>
  <c r="AA33" i="35"/>
  <c r="U32" i="35"/>
  <c r="W22" i="35"/>
  <c r="S32" i="35"/>
  <c r="W35" i="37"/>
  <c r="AC33" i="37"/>
  <c r="U33" i="37"/>
  <c r="AC15" i="37"/>
  <c r="S12" i="37"/>
  <c r="W38" i="37"/>
  <c r="W36" i="37"/>
  <c r="U26" i="37"/>
  <c r="AB28" i="37"/>
  <c r="W13" i="37"/>
  <c r="U38" i="37"/>
  <c r="W47" i="34"/>
  <c r="AB47" i="34"/>
  <c r="AC13" i="34"/>
  <c r="S47" i="34"/>
  <c r="S8" i="34"/>
  <c r="AB14" i="33"/>
  <c r="AB12" i="33"/>
  <c r="S9" i="33"/>
  <c r="S39" i="21"/>
  <c r="AA25" i="21"/>
  <c r="AA15" i="21"/>
  <c r="G95" i="40"/>
  <c r="J27" i="40"/>
  <c r="AC27" i="40" s="1"/>
  <c r="W37" i="40"/>
  <c r="S34" i="40"/>
  <c r="U38" i="40"/>
  <c r="S40" i="40"/>
  <c r="S42" i="40"/>
  <c r="G104" i="39"/>
  <c r="J31" i="39"/>
  <c r="W31" i="39" s="1"/>
  <c r="S45" i="39"/>
  <c r="W41" i="39"/>
  <c r="AB43" i="39"/>
  <c r="AC46" i="39"/>
  <c r="W42" i="39"/>
  <c r="W36" i="39"/>
  <c r="W23" i="39"/>
  <c r="S15" i="39"/>
  <c r="W25" i="39"/>
  <c r="W45" i="39"/>
  <c r="S41" i="39"/>
  <c r="AA44" i="39"/>
  <c r="AA46" i="39"/>
  <c r="W34" i="39"/>
  <c r="W10" i="39"/>
  <c r="W11" i="39"/>
  <c r="U42" i="39"/>
  <c r="W40" i="39"/>
  <c r="S32" i="40"/>
  <c r="C27" i="39"/>
  <c r="C17" i="40"/>
  <c r="C19" i="40"/>
  <c r="C19" i="39"/>
  <c r="C23" i="40"/>
  <c r="B51" i="46"/>
  <c r="B54" i="46"/>
  <c r="B58" i="46"/>
  <c r="B62" i="46"/>
  <c r="B69" i="46"/>
  <c r="B56" i="46"/>
  <c r="B67" i="46"/>
  <c r="S14" i="36"/>
  <c r="AB20" i="36"/>
  <c r="AC14" i="36"/>
  <c r="W14" i="36"/>
  <c r="U14" i="36"/>
  <c r="AB18" i="36"/>
  <c r="S26" i="35"/>
  <c r="U26" i="35"/>
  <c r="AB26" i="35"/>
  <c r="W26" i="35"/>
  <c r="AC26" i="35"/>
  <c r="W19" i="37"/>
  <c r="AB19" i="37"/>
  <c r="U19" i="37"/>
  <c r="W17" i="37"/>
  <c r="U25" i="34"/>
  <c r="S25" i="34"/>
  <c r="W25" i="34"/>
  <c r="S23" i="34"/>
  <c r="U23" i="21"/>
  <c r="AB23" i="21"/>
  <c r="S23" i="21"/>
  <c r="AB15" i="21"/>
  <c r="W15" i="21"/>
  <c r="AC15" i="21"/>
  <c r="AB39" i="40"/>
  <c r="U39" i="40"/>
  <c r="W39" i="40"/>
  <c r="AA39" i="40"/>
  <c r="S39" i="40"/>
  <c r="U37" i="40"/>
  <c r="AB37" i="40"/>
  <c r="S37" i="40"/>
  <c r="U29" i="40"/>
  <c r="AB29" i="40"/>
  <c r="W29" i="40"/>
  <c r="S29" i="40"/>
  <c r="AC19" i="40"/>
  <c r="S19" i="40"/>
  <c r="U19" i="40"/>
  <c r="AT6" i="3"/>
  <c r="AZ16" i="3"/>
  <c r="E4" i="4"/>
  <c r="B21" i="55"/>
  <c r="B72" i="63" s="1"/>
  <c r="C4" i="4"/>
  <c r="G66" i="36"/>
  <c r="J18" i="36"/>
  <c r="W18" i="36" s="1"/>
  <c r="AC18" i="36"/>
  <c r="L20" i="6"/>
  <c r="B20" i="55"/>
  <c r="B70" i="63" s="1"/>
  <c r="C45" i="9"/>
  <c r="B7" i="66"/>
  <c r="C44" i="9"/>
  <c r="B6" i="66"/>
  <c r="O40" i="9"/>
  <c r="K31" i="9" s="1"/>
  <c r="K32" i="9" s="1"/>
  <c r="K29" i="9"/>
  <c r="K30" i="9" s="1"/>
  <c r="N76" i="9"/>
  <c r="C46" i="9"/>
  <c r="K33" i="9" s="1"/>
  <c r="B8" i="66"/>
  <c r="D8" i="66" s="1"/>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B22" i="59"/>
  <c r="B21" i="59"/>
  <c r="B20" i="59" s="1"/>
  <c r="B19" i="59" s="1"/>
  <c r="B18" i="59" s="1"/>
  <c r="B17" i="59" s="1"/>
  <c r="AB42" i="33"/>
  <c r="AB41" i="33"/>
  <c r="U39" i="33"/>
  <c r="AB28" i="33"/>
  <c r="W32" i="33"/>
  <c r="AC35" i="33"/>
  <c r="U35" i="33"/>
  <c r="W34" i="33"/>
  <c r="AB26" i="33"/>
  <c r="AA25" i="33"/>
  <c r="W19" i="33"/>
  <c r="AB17" i="33"/>
  <c r="AA17" i="33"/>
  <c r="AC37" i="33"/>
  <c r="S32" i="33"/>
  <c r="U32" i="33"/>
  <c r="AA19" i="33"/>
  <c r="AB15" i="33"/>
  <c r="AB13" i="33"/>
  <c r="AB11" i="33"/>
  <c r="AC8" i="33"/>
  <c r="D26" i="44"/>
  <c r="D24" i="44"/>
  <c r="G27" i="74"/>
  <c r="G26" i="74"/>
  <c r="D96" i="9"/>
  <c r="P27" i="6"/>
  <c r="O7" i="1"/>
  <c r="P7" i="1" s="1"/>
  <c r="K12" i="1"/>
  <c r="M12" i="1" s="1"/>
  <c r="G567" i="3"/>
  <c r="BA566" i="3"/>
  <c r="AZ566" i="3" s="1"/>
  <c r="G563" i="3"/>
  <c r="BA561" i="3"/>
  <c r="BA560" i="3"/>
  <c r="AZ560" i="3" s="1"/>
  <c r="G559" i="3"/>
  <c r="BA556" i="3"/>
  <c r="BL555" i="3"/>
  <c r="BL553" i="3"/>
  <c r="G541" i="3"/>
  <c r="G540" i="3"/>
  <c r="G519" i="3"/>
  <c r="G516" i="3"/>
  <c r="BA389" i="3"/>
  <c r="BL390" i="3"/>
  <c r="BA391" i="3"/>
  <c r="BA392" i="3"/>
  <c r="BL392" i="3"/>
  <c r="BA393" i="3"/>
  <c r="BL394" i="3"/>
  <c r="BL396" i="3"/>
  <c r="BA398" i="3"/>
  <c r="AZ398" i="3"/>
  <c r="BL398" i="3"/>
  <c r="BL400" i="3"/>
  <c r="BA401" i="3"/>
  <c r="BA402" i="3"/>
  <c r="AZ402" i="3"/>
  <c r="BL402" i="3"/>
  <c r="BL404" i="3"/>
  <c r="BL406" i="3"/>
  <c r="BA407" i="3"/>
  <c r="AZ407" i="3" s="1"/>
  <c r="BA408" i="3"/>
  <c r="BL408" i="3"/>
  <c r="AZ408" i="3" s="1"/>
  <c r="BA409" i="3"/>
  <c r="AZ409" i="3" s="1"/>
  <c r="BL410" i="3"/>
  <c r="BL412" i="3"/>
  <c r="AZ336" i="3"/>
  <c r="AZ320" i="3"/>
  <c r="AZ365" i="3"/>
  <c r="AZ298" i="3"/>
  <c r="AZ19" i="3"/>
  <c r="BL572" i="3"/>
  <c r="BL570" i="3"/>
  <c r="BH5" i="3"/>
  <c r="BL567" i="3"/>
  <c r="AZ567" i="3" s="1"/>
  <c r="BA551" i="3"/>
  <c r="AZ551" i="3" s="1"/>
  <c r="G533" i="3"/>
  <c r="G527" i="3"/>
  <c r="G525" i="3"/>
  <c r="G509" i="3"/>
  <c r="G496" i="3"/>
  <c r="G481" i="3"/>
  <c r="G19" i="3"/>
  <c r="BA414" i="3"/>
  <c r="BL414" i="3"/>
  <c r="BL416" i="3"/>
  <c r="BA418" i="3"/>
  <c r="AZ418" i="3" s="1"/>
  <c r="BL418" i="3"/>
  <c r="BA419" i="3"/>
  <c r="AZ419" i="3" s="1"/>
  <c r="BA420" i="3"/>
  <c r="BL420" i="3"/>
  <c r="BA421" i="3"/>
  <c r="AZ421" i="3" s="1"/>
  <c r="BL422" i="3"/>
  <c r="BA423" i="3"/>
  <c r="AZ423" i="3" s="1"/>
  <c r="BA424" i="3"/>
  <c r="AZ424" i="3" s="1"/>
  <c r="BL424" i="3"/>
  <c r="BA425" i="3"/>
  <c r="AZ425" i="3" s="1"/>
  <c r="BL426" i="3"/>
  <c r="BA428" i="3"/>
  <c r="BL428" i="3"/>
  <c r="BA429" i="3"/>
  <c r="AZ429" i="3"/>
  <c r="BL430" i="3"/>
  <c r="BA431" i="3"/>
  <c r="BA432" i="3"/>
  <c r="BL432" i="3"/>
  <c r="AZ432" i="3" s="1"/>
  <c r="BA434" i="3"/>
  <c r="BL434" i="3"/>
  <c r="AZ434" i="3" s="1"/>
  <c r="BA435" i="3"/>
  <c r="BL436" i="3"/>
  <c r="BA438" i="3"/>
  <c r="BL438" i="3"/>
  <c r="BL440" i="3"/>
  <c r="BA441" i="3"/>
  <c r="BA442" i="3"/>
  <c r="AZ442" i="3" s="1"/>
  <c r="BA443" i="3"/>
  <c r="BL443" i="3"/>
  <c r="BL445" i="3"/>
  <c r="BA446" i="3"/>
  <c r="AZ446" i="3" s="1"/>
  <c r="BA447" i="3"/>
  <c r="AZ447" i="3" s="1"/>
  <c r="BL447" i="3"/>
  <c r="BA448" i="3"/>
  <c r="AZ448" i="3" s="1"/>
  <c r="BL449" i="3"/>
  <c r="BA450" i="3"/>
  <c r="AZ450" i="3" s="1"/>
  <c r="BA451" i="3"/>
  <c r="BL451" i="3"/>
  <c r="BL453" i="3"/>
  <c r="BA454" i="3"/>
  <c r="AZ454" i="3" s="1"/>
  <c r="BL455" i="3"/>
  <c r="BA456" i="3"/>
  <c r="AZ456" i="3"/>
  <c r="BA457" i="3"/>
  <c r="BL457" i="3"/>
  <c r="BA459" i="3"/>
  <c r="BL459" i="3"/>
  <c r="AZ459" i="3" s="1"/>
  <c r="BA460" i="3"/>
  <c r="AZ460" i="3"/>
  <c r="BL461" i="3"/>
  <c r="BA463" i="3"/>
  <c r="BL463" i="3"/>
  <c r="AZ463" i="3"/>
  <c r="BA464" i="3"/>
  <c r="AZ464" i="3"/>
  <c r="BA465" i="3"/>
  <c r="BL465" i="3"/>
  <c r="AZ465" i="3" s="1"/>
  <c r="BA467" i="3"/>
  <c r="BL467" i="3"/>
  <c r="AZ467" i="3" s="1"/>
  <c r="BA468" i="3"/>
  <c r="AZ468" i="3"/>
  <c r="BL469" i="3"/>
  <c r="BA471" i="3"/>
  <c r="AZ471" i="3" s="1"/>
  <c r="BL471" i="3"/>
  <c r="BA472" i="3"/>
  <c r="AZ472" i="3" s="1"/>
  <c r="BA473" i="3"/>
  <c r="AZ473" i="3" s="1"/>
  <c r="BL473" i="3"/>
  <c r="BA475" i="3"/>
  <c r="BL475" i="3"/>
  <c r="BA476" i="3"/>
  <c r="AZ476" i="3" s="1"/>
  <c r="BL477" i="3"/>
  <c r="BA479" i="3"/>
  <c r="BL479" i="3"/>
  <c r="AZ479" i="3" s="1"/>
  <c r="BA480" i="3"/>
  <c r="AZ480" i="3" s="1"/>
  <c r="G311" i="3"/>
  <c r="BL312" i="3"/>
  <c r="G313" i="3"/>
  <c r="BL314" i="3"/>
  <c r="AZ314" i="3" s="1"/>
  <c r="BL319" i="3"/>
  <c r="G320" i="3"/>
  <c r="BA334" i="3"/>
  <c r="BL346" i="3"/>
  <c r="AZ346" i="3"/>
  <c r="G347" i="3"/>
  <c r="BL351" i="3"/>
  <c r="G352" i="3"/>
  <c r="BL360" i="3"/>
  <c r="BA367" i="3"/>
  <c r="AZ367" i="3"/>
  <c r="BA369" i="3"/>
  <c r="G370" i="3"/>
  <c r="BA371" i="3"/>
  <c r="AZ311" i="3"/>
  <c r="BA277" i="3"/>
  <c r="BL278" i="3"/>
  <c r="BL280" i="3"/>
  <c r="BA281" i="3"/>
  <c r="BL282" i="3"/>
  <c r="BA284" i="3"/>
  <c r="BL284" i="3"/>
  <c r="BA285" i="3"/>
  <c r="BL286" i="3"/>
  <c r="BL288" i="3"/>
  <c r="BA289" i="3"/>
  <c r="BL290" i="3"/>
  <c r="BA292" i="3"/>
  <c r="AZ292" i="3" s="1"/>
  <c r="BL292" i="3"/>
  <c r="BA293" i="3"/>
  <c r="BA294" i="3"/>
  <c r="AZ294" i="3" s="1"/>
  <c r="BL294" i="3"/>
  <c r="BL296" i="3"/>
  <c r="BL114" i="3"/>
  <c r="BA115" i="3"/>
  <c r="AZ115" i="3" s="1"/>
  <c r="BL117" i="3"/>
  <c r="G118" i="3"/>
  <c r="BA119" i="3"/>
  <c r="AZ119" i="3"/>
  <c r="BL121" i="3"/>
  <c r="G122" i="3"/>
  <c r="BA123" i="3"/>
  <c r="AZ123" i="3"/>
  <c r="BL125" i="3"/>
  <c r="G126" i="3"/>
  <c r="BA127" i="3"/>
  <c r="AZ127" i="3"/>
  <c r="BA129" i="3"/>
  <c r="G130" i="3"/>
  <c r="G149" i="3"/>
  <c r="G160" i="3"/>
  <c r="G164" i="3"/>
  <c r="G168" i="3"/>
  <c r="G170" i="3"/>
  <c r="BA171" i="3"/>
  <c r="AZ171" i="3" s="1"/>
  <c r="BL171" i="3"/>
  <c r="BA172" i="3"/>
  <c r="G174" i="3"/>
  <c r="BL175" i="3"/>
  <c r="BA177" i="3"/>
  <c r="BL177" i="3"/>
  <c r="BA186" i="3"/>
  <c r="G187" i="3"/>
  <c r="BL188" i="3"/>
  <c r="G189" i="3"/>
  <c r="BA191" i="3"/>
  <c r="BL191" i="3"/>
  <c r="AZ191" i="3" s="1"/>
  <c r="G196" i="3"/>
  <c r="G203" i="3"/>
  <c r="G21" i="3"/>
  <c r="G23" i="3"/>
  <c r="G25" i="3"/>
  <c r="BA37" i="3"/>
  <c r="AZ37" i="3" s="1"/>
  <c r="BA38" i="3"/>
  <c r="BL38" i="3"/>
  <c r="BA40" i="3"/>
  <c r="AZ40" i="3" s="1"/>
  <c r="BL40" i="3"/>
  <c r="BL41" i="3"/>
  <c r="BA43" i="3"/>
  <c r="BL43" i="3"/>
  <c r="BA44" i="3"/>
  <c r="AZ44" i="3"/>
  <c r="BA45" i="3"/>
  <c r="BL45" i="3"/>
  <c r="AZ45" i="3" s="1"/>
  <c r="BA46" i="3"/>
  <c r="AZ46" i="3"/>
  <c r="BL47" i="3"/>
  <c r="BA48" i="3"/>
  <c r="AZ48" i="3" s="1"/>
  <c r="BA49" i="3"/>
  <c r="BL49" i="3"/>
  <c r="BA50" i="3"/>
  <c r="AZ50" i="3"/>
  <c r="BL51" i="3"/>
  <c r="BL53" i="3"/>
  <c r="BA55" i="3"/>
  <c r="BL55" i="3"/>
  <c r="BA57" i="3"/>
  <c r="AZ57" i="3"/>
  <c r="BA58" i="3"/>
  <c r="AZ58" i="3"/>
  <c r="BL58" i="3"/>
  <c r="BA60" i="3"/>
  <c r="AZ60" i="3" s="1"/>
  <c r="BA61" i="3"/>
  <c r="BL61" i="3"/>
  <c r="AZ61" i="3" s="1"/>
  <c r="BA62" i="3"/>
  <c r="AZ62" i="3" s="1"/>
  <c r="BL63" i="3"/>
  <c r="BL65" i="3"/>
  <c r="BA66" i="3"/>
  <c r="AZ66" i="3" s="1"/>
  <c r="BA67" i="3"/>
  <c r="BL67" i="3"/>
  <c r="BA68" i="3"/>
  <c r="AZ68" i="3" s="1"/>
  <c r="BA69" i="3"/>
  <c r="AZ69" i="3" s="1"/>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378" i="3"/>
  <c r="AZ340" i="3"/>
  <c r="AZ329" i="3"/>
  <c r="AZ373" i="3"/>
  <c r="AZ338" i="3"/>
  <c r="AZ307" i="3"/>
  <c r="BL560" i="3"/>
  <c r="BL564" i="3"/>
  <c r="AZ550" i="3"/>
  <c r="G570" i="3"/>
  <c r="G553" i="3"/>
  <c r="G543" i="3"/>
  <c r="G535" i="3"/>
  <c r="G528" i="3"/>
  <c r="G520" i="3"/>
  <c r="G511" i="3"/>
  <c r="G50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AZ310" i="3" s="1"/>
  <c r="G26" i="3"/>
  <c r="G28" i="3"/>
  <c r="G30" i="3"/>
  <c r="G32" i="3"/>
  <c r="G34" i="3"/>
  <c r="G36" i="3"/>
  <c r="G38" i="3"/>
  <c r="G40" i="3"/>
  <c r="G43" i="3"/>
  <c r="G45" i="3"/>
  <c r="G47" i="3"/>
  <c r="G49" i="3"/>
  <c r="G51" i="3"/>
  <c r="G53" i="3"/>
  <c r="G55" i="3"/>
  <c r="G57" i="3"/>
  <c r="G58" i="3"/>
  <c r="G60" i="3"/>
  <c r="G61" i="3"/>
  <c r="G63" i="3"/>
  <c r="G65" i="3"/>
  <c r="G67" i="3"/>
  <c r="G69" i="3"/>
  <c r="G71" i="3"/>
  <c r="G317" i="3"/>
  <c r="BA319" i="3"/>
  <c r="AZ319" i="3" s="1"/>
  <c r="G329" i="3"/>
  <c r="G333" i="3"/>
  <c r="BA335" i="3"/>
  <c r="AZ335" i="3" s="1"/>
  <c r="G345" i="3"/>
  <c r="G349" i="3"/>
  <c r="BA351" i="3"/>
  <c r="AZ351" i="3" s="1"/>
  <c r="G365" i="3"/>
  <c r="BL366" i="3"/>
  <c r="BA368" i="3"/>
  <c r="AZ368" i="3" s="1"/>
  <c r="G375" i="3"/>
  <c r="BL376" i="3"/>
  <c r="AZ376" i="3" s="1"/>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AZ116" i="3" s="1"/>
  <c r="BA117" i="3"/>
  <c r="AZ117" i="3"/>
  <c r="G119" i="3"/>
  <c r="BL120" i="3"/>
  <c r="BA121" i="3"/>
  <c r="AZ121" i="3"/>
  <c r="G123" i="3"/>
  <c r="BA124" i="3"/>
  <c r="AZ124" i="3" s="1"/>
  <c r="BL124" i="3"/>
  <c r="BA125" i="3"/>
  <c r="G127" i="3"/>
  <c r="BL128" i="3"/>
  <c r="BL130" i="3"/>
  <c r="AZ130" i="3"/>
  <c r="BA131" i="3"/>
  <c r="AZ131" i="3"/>
  <c r="G134" i="3"/>
  <c r="BA135" i="3"/>
  <c r="AZ135" i="3" s="1"/>
  <c r="G138" i="3"/>
  <c r="BA139" i="3"/>
  <c r="AZ139" i="3" s="1"/>
  <c r="G142" i="3"/>
  <c r="BA143" i="3"/>
  <c r="AZ143" i="3" s="1"/>
  <c r="G146" i="3"/>
  <c r="BA148" i="3"/>
  <c r="BL148" i="3"/>
  <c r="BA149" i="3"/>
  <c r="AZ149" i="3" s="1"/>
  <c r="G151" i="3"/>
  <c r="G153" i="3"/>
  <c r="BA154" i="3"/>
  <c r="AZ154" i="3" s="1"/>
  <c r="G157" i="3"/>
  <c r="BA159" i="3"/>
  <c r="AZ159" i="3" s="1"/>
  <c r="BL159" i="3"/>
  <c r="BA160" i="3"/>
  <c r="AZ160" i="3" s="1"/>
  <c r="G162" i="3"/>
  <c r="BL163" i="3"/>
  <c r="BA164" i="3"/>
  <c r="G166" i="3"/>
  <c r="BL167" i="3"/>
  <c r="BL169" i="3"/>
  <c r="BA170" i="3"/>
  <c r="AZ170" i="3" s="1"/>
  <c r="G173" i="3"/>
  <c r="BA174" i="3"/>
  <c r="AZ174" i="3" s="1"/>
  <c r="G177" i="3"/>
  <c r="G179" i="3"/>
  <c r="BA180" i="3"/>
  <c r="AZ180" i="3" s="1"/>
  <c r="G183" i="3"/>
  <c r="G185" i="3"/>
  <c r="BA187" i="3"/>
  <c r="BL187" i="3"/>
  <c r="G191" i="3"/>
  <c r="G193" i="3"/>
  <c r="BA195" i="3"/>
  <c r="BL195" i="3"/>
  <c r="G199" i="3"/>
  <c r="G201" i="3"/>
  <c r="BL202" i="3"/>
  <c r="BA203" i="3"/>
  <c r="AZ203" i="3" s="1"/>
  <c r="BA204" i="3"/>
  <c r="AZ204" i="3" s="1"/>
  <c r="BL204" i="3"/>
  <c r="BA21" i="3"/>
  <c r="AZ21" i="3" s="1"/>
  <c r="BA22" i="3"/>
  <c r="BL22" i="3"/>
  <c r="BA24" i="3"/>
  <c r="AZ24" i="3"/>
  <c r="BL24" i="3"/>
  <c r="BA71" i="3"/>
  <c r="AZ71" i="3" s="1"/>
  <c r="BL71" i="3"/>
  <c r="BL72" i="3"/>
  <c r="BA74" i="3"/>
  <c r="BL74" i="3"/>
  <c r="BA75" i="3"/>
  <c r="AZ75" i="3" s="1"/>
  <c r="BA76" i="3"/>
  <c r="AZ76" i="3" s="1"/>
  <c r="BL76" i="3"/>
  <c r="BA77" i="3"/>
  <c r="AZ77" i="3" s="1"/>
  <c r="BL78" i="3"/>
  <c r="BA79" i="3"/>
  <c r="AZ79" i="3" s="1"/>
  <c r="BA80" i="3"/>
  <c r="BL80" i="3"/>
  <c r="BA81" i="3"/>
  <c r="AZ81" i="3" s="1"/>
  <c r="BL82" i="3"/>
  <c r="BA84" i="3"/>
  <c r="BL84" i="3"/>
  <c r="BA85" i="3"/>
  <c r="AZ85" i="3" s="1"/>
  <c r="BL86" i="3"/>
  <c r="BL88" i="3"/>
  <c r="BA90" i="3"/>
  <c r="AZ90" i="3" s="1"/>
  <c r="BL90" i="3"/>
  <c r="BL92" i="3"/>
  <c r="BA94" i="3"/>
  <c r="BL94" i="3"/>
  <c r="BA95" i="3"/>
  <c r="AZ95" i="3" s="1"/>
  <c r="BA96" i="3"/>
  <c r="AZ96" i="3" s="1"/>
  <c r="BL96" i="3"/>
  <c r="BA97" i="3"/>
  <c r="AZ97" i="3" s="1"/>
  <c r="BL98" i="3"/>
  <c r="BA99" i="3"/>
  <c r="AZ99" i="3" s="1"/>
  <c r="BA100" i="3"/>
  <c r="AZ100" i="3" s="1"/>
  <c r="BL100" i="3"/>
  <c r="BA101" i="3"/>
  <c r="AZ101" i="3" s="1"/>
  <c r="BL102" i="3"/>
  <c r="BL104" i="3"/>
  <c r="BA106" i="3"/>
  <c r="AZ106" i="3" s="1"/>
  <c r="BL106" i="3"/>
  <c r="BL108" i="3"/>
  <c r="BA110" i="3"/>
  <c r="AZ110" i="3" s="1"/>
  <c r="BL110" i="3"/>
  <c r="BA111" i="3"/>
  <c r="AZ111" i="3" s="1"/>
  <c r="BA112" i="3"/>
  <c r="K5" i="54"/>
  <c r="B38" i="63" s="1"/>
  <c r="C53" i="10"/>
  <c r="A25" i="64" s="1"/>
  <c r="T41" i="4"/>
  <c r="A17" i="51" s="1"/>
  <c r="B13" i="63" s="1"/>
  <c r="L5" i="54"/>
  <c r="B39" i="63" s="1"/>
  <c r="A18" i="51"/>
  <c r="B14" i="63" s="1"/>
  <c r="H72" i="46"/>
  <c r="S21" i="59"/>
  <c r="U31" i="37"/>
  <c r="AA46" i="21"/>
  <c r="S46" i="21"/>
  <c r="W33" i="36"/>
  <c r="AC33" i="36"/>
  <c r="S39" i="37"/>
  <c r="AA39" i="37"/>
  <c r="B99" i="46"/>
  <c r="B76" i="46"/>
  <c r="C29" i="39"/>
  <c r="S12" i="33"/>
  <c r="AA12" i="33"/>
  <c r="AA38" i="33"/>
  <c r="S38" i="33"/>
  <c r="AC38" i="33"/>
  <c r="W38" i="33"/>
  <c r="AC40" i="33"/>
  <c r="W40" i="33"/>
  <c r="F13" i="35"/>
  <c r="AA13" i="35" s="1"/>
  <c r="J13" i="35"/>
  <c r="H13" i="35"/>
  <c r="U13" i="35" s="1"/>
  <c r="F36" i="35"/>
  <c r="AA36" i="35" s="1"/>
  <c r="H12" i="36"/>
  <c r="AB12" i="36" s="1"/>
  <c r="AB22" i="36"/>
  <c r="U22" i="36"/>
  <c r="J23" i="36"/>
  <c r="H23" i="36"/>
  <c r="U23" i="36" s="1"/>
  <c r="F23" i="36"/>
  <c r="S17" i="34"/>
  <c r="W40" i="40"/>
  <c r="AZ362" i="3"/>
  <c r="AZ344" i="3"/>
  <c r="AZ359" i="3"/>
  <c r="AA39" i="33"/>
  <c r="U43" i="33"/>
  <c r="AB43" i="33"/>
  <c r="BA572" i="3"/>
  <c r="AZ572" i="3" s="1"/>
  <c r="BA570" i="3"/>
  <c r="AZ570" i="3" s="1"/>
  <c r="F12" i="21"/>
  <c r="S12" i="21" s="1"/>
  <c r="H30" i="21"/>
  <c r="U30" i="21" s="1"/>
  <c r="F30" i="21"/>
  <c r="S30" i="21" s="1"/>
  <c r="J30" i="21"/>
  <c r="W30" i="21" s="1"/>
  <c r="B101" i="46"/>
  <c r="B79" i="46"/>
  <c r="AB9" i="33"/>
  <c r="U9" i="33"/>
  <c r="AB38" i="33"/>
  <c r="U38" i="33"/>
  <c r="F28" i="33"/>
  <c r="J28" i="33"/>
  <c r="W28" i="33" s="1"/>
  <c r="J26" i="33"/>
  <c r="F26" i="33"/>
  <c r="S26" i="33" s="1"/>
  <c r="J28" i="34"/>
  <c r="H28" i="34"/>
  <c r="U28" i="34" s="1"/>
  <c r="AC23" i="35"/>
  <c r="J36" i="35"/>
  <c r="W36" i="35" s="1"/>
  <c r="F31" i="33"/>
  <c r="J31" i="33"/>
  <c r="AC31" i="33" s="1"/>
  <c r="H31" i="33"/>
  <c r="J25" i="35"/>
  <c r="AC25" i="35" s="1"/>
  <c r="F25" i="35"/>
  <c r="H25" i="35"/>
  <c r="U25" i="35" s="1"/>
  <c r="J35" i="35"/>
  <c r="F35" i="35"/>
  <c r="AA35" i="35" s="1"/>
  <c r="H35" i="35"/>
  <c r="J25" i="36"/>
  <c r="W25" i="36" s="1"/>
  <c r="F25" i="36"/>
  <c r="H25" i="36"/>
  <c r="U25" i="36" s="1"/>
  <c r="AB27" i="37"/>
  <c r="U27" i="37"/>
  <c r="BA390" i="3"/>
  <c r="AZ390" i="3"/>
  <c r="BA394" i="3"/>
  <c r="AZ394" i="3"/>
  <c r="BL395" i="3"/>
  <c r="BA396" i="3"/>
  <c r="AZ396" i="3" s="1"/>
  <c r="BL397" i="3"/>
  <c r="BL399" i="3"/>
  <c r="BA400" i="3"/>
  <c r="BL403" i="3"/>
  <c r="BA404" i="3"/>
  <c r="AZ404" i="3" s="1"/>
  <c r="BL405" i="3"/>
  <c r="BA406" i="3"/>
  <c r="AZ406" i="3" s="1"/>
  <c r="BA410" i="3"/>
  <c r="AZ410" i="3" s="1"/>
  <c r="BL411" i="3"/>
  <c r="AZ411" i="3" s="1"/>
  <c r="BA412" i="3"/>
  <c r="AZ412" i="3" s="1"/>
  <c r="BL413" i="3"/>
  <c r="AZ413" i="3" s="1"/>
  <c r="BL415" i="3"/>
  <c r="AZ415" i="3" s="1"/>
  <c r="BA416" i="3"/>
  <c r="AZ416" i="3" s="1"/>
  <c r="BL417" i="3"/>
  <c r="AZ417" i="3" s="1"/>
  <c r="BA422" i="3"/>
  <c r="BA426" i="3"/>
  <c r="BL427" i="3"/>
  <c r="BA430" i="3"/>
  <c r="AZ430" i="3"/>
  <c r="BL433" i="3"/>
  <c r="BA436" i="3"/>
  <c r="AZ436" i="3"/>
  <c r="BL437" i="3"/>
  <c r="BL439" i="3"/>
  <c r="BA440" i="3"/>
  <c r="AZ440" i="3"/>
  <c r="AZ360" i="3"/>
  <c r="AZ371" i="3"/>
  <c r="AZ343" i="3"/>
  <c r="E5" i="6"/>
  <c r="D12" i="11" s="1"/>
  <c r="C12" i="11" s="1"/>
  <c r="B84" i="46"/>
  <c r="B94" i="46"/>
  <c r="A30" i="51"/>
  <c r="B22" i="63" s="1"/>
  <c r="A30" i="64"/>
  <c r="A2" i="55"/>
  <c r="B55" i="63" s="1"/>
  <c r="AZ428" i="3"/>
  <c r="BL444" i="3"/>
  <c r="AZ444" i="3" s="1"/>
  <c r="BA445" i="3"/>
  <c r="AZ445" i="3" s="1"/>
  <c r="BA449" i="3"/>
  <c r="AZ449" i="3" s="1"/>
  <c r="BL452" i="3"/>
  <c r="AZ452" i="3" s="1"/>
  <c r="BA453" i="3"/>
  <c r="BA455" i="3"/>
  <c r="AZ455" i="3" s="1"/>
  <c r="BL458" i="3"/>
  <c r="AZ458" i="3" s="1"/>
  <c r="BA461" i="3"/>
  <c r="AZ461" i="3" s="1"/>
  <c r="BL462" i="3"/>
  <c r="AZ462" i="3" s="1"/>
  <c r="BL466" i="3"/>
  <c r="AZ466" i="3" s="1"/>
  <c r="BA469" i="3"/>
  <c r="AZ469" i="3" s="1"/>
  <c r="BL470" i="3"/>
  <c r="AZ470" i="3" s="1"/>
  <c r="BL474" i="3"/>
  <c r="AZ474" i="3" s="1"/>
  <c r="BA477" i="3"/>
  <c r="AZ477" i="3" s="1"/>
  <c r="BL478" i="3"/>
  <c r="AZ478" i="3" s="1"/>
  <c r="BA309" i="3"/>
  <c r="AZ309" i="3"/>
  <c r="BA313" i="3"/>
  <c r="AZ313" i="3"/>
  <c r="BA317" i="3"/>
  <c r="AZ317" i="3"/>
  <c r="BL318" i="3"/>
  <c r="AZ318" i="3"/>
  <c r="BA333" i="3"/>
  <c r="AZ333" i="3"/>
  <c r="BL334" i="3"/>
  <c r="AZ334" i="3"/>
  <c r="BA349" i="3"/>
  <c r="AZ349" i="3"/>
  <c r="BL350" i="3"/>
  <c r="AZ350" i="3"/>
  <c r="BA357" i="3"/>
  <c r="AZ357" i="3"/>
  <c r="BL364" i="3"/>
  <c r="AZ364" i="3"/>
  <c r="BL369" i="3"/>
  <c r="AZ369" i="3"/>
  <c r="BA375" i="3"/>
  <c r="AZ375" i="3"/>
  <c r="BL380" i="3"/>
  <c r="AZ380" i="3"/>
  <c r="BL385" i="3"/>
  <c r="AZ385" i="3"/>
  <c r="BA386" i="3"/>
  <c r="AZ386" i="3"/>
  <c r="BL387" i="3"/>
  <c r="AZ387" i="3"/>
  <c r="BL205" i="3"/>
  <c r="BA206" i="3"/>
  <c r="BL209" i="3"/>
  <c r="AZ209" i="3" s="1"/>
  <c r="BA210" i="3"/>
  <c r="AZ210" i="3" s="1"/>
  <c r="BL211" i="3"/>
  <c r="BL213" i="3"/>
  <c r="AZ213" i="3"/>
  <c r="BA214" i="3"/>
  <c r="BL217" i="3"/>
  <c r="AZ217" i="3"/>
  <c r="BA218" i="3"/>
  <c r="AZ218" i="3"/>
  <c r="BL219" i="3"/>
  <c r="AZ219" i="3"/>
  <c r="BL221" i="3"/>
  <c r="BA222" i="3"/>
  <c r="AZ222" i="3"/>
  <c r="BL225" i="3"/>
  <c r="AZ225" i="3"/>
  <c r="BA226" i="3"/>
  <c r="AZ226" i="3"/>
  <c r="BL227" i="3"/>
  <c r="BL229" i="3"/>
  <c r="BA230" i="3"/>
  <c r="AZ230" i="3" s="1"/>
  <c r="BL233" i="3"/>
  <c r="AZ233" i="3" s="1"/>
  <c r="BA234" i="3"/>
  <c r="AZ234" i="3" s="1"/>
  <c r="BL235" i="3"/>
  <c r="BL237" i="3"/>
  <c r="AZ237" i="3" s="1"/>
  <c r="BA238" i="3"/>
  <c r="BL241" i="3"/>
  <c r="AZ241" i="3" s="1"/>
  <c r="BA242" i="3"/>
  <c r="AZ242" i="3" s="1"/>
  <c r="BL243" i="3"/>
  <c r="BL245" i="3"/>
  <c r="BA246" i="3"/>
  <c r="AZ246" i="3" s="1"/>
  <c r="BL249" i="3"/>
  <c r="AZ249" i="3" s="1"/>
  <c r="BA250" i="3"/>
  <c r="AZ250" i="3" s="1"/>
  <c r="BL251" i="3"/>
  <c r="BL253" i="3"/>
  <c r="AZ253" i="3" s="1"/>
  <c r="BA254" i="3"/>
  <c r="AZ254" i="3" s="1"/>
  <c r="BL257" i="3"/>
  <c r="AZ257" i="3" s="1"/>
  <c r="BA258" i="3"/>
  <c r="BL259" i="3"/>
  <c r="BL261" i="3"/>
  <c r="AZ261" i="3" s="1"/>
  <c r="BA262" i="3"/>
  <c r="AZ262" i="3" s="1"/>
  <c r="BL265" i="3"/>
  <c r="AZ265" i="3" s="1"/>
  <c r="BA266" i="3"/>
  <c r="BL267" i="3"/>
  <c r="AZ267" i="3" s="1"/>
  <c r="BA270" i="3"/>
  <c r="AZ270" i="3" s="1"/>
  <c r="BL271" i="3"/>
  <c r="AZ271" i="3" s="1"/>
  <c r="BA272" i="3"/>
  <c r="AZ272" i="3" s="1"/>
  <c r="BA274" i="3"/>
  <c r="AZ274" i="3" s="1"/>
  <c r="BL275" i="3"/>
  <c r="AZ275" i="3" s="1"/>
  <c r="BA278" i="3"/>
  <c r="AZ278" i="3" s="1"/>
  <c r="BL279" i="3"/>
  <c r="BA280" i="3"/>
  <c r="BA282" i="3"/>
  <c r="AZ282" i="3" s="1"/>
  <c r="BL283" i="3"/>
  <c r="BA286" i="3"/>
  <c r="BL287" i="3"/>
  <c r="BA288" i="3"/>
  <c r="AZ288" i="3"/>
  <c r="BA290" i="3"/>
  <c r="AZ290" i="3"/>
  <c r="BL291" i="3"/>
  <c r="BL295" i="3"/>
  <c r="BA296" i="3"/>
  <c r="AZ296" i="3"/>
  <c r="BL113" i="3"/>
  <c r="BL118" i="3"/>
  <c r="AZ118" i="3"/>
  <c r="BA120" i="3"/>
  <c r="AZ120" i="3"/>
  <c r="BL122" i="3"/>
  <c r="AZ122" i="3"/>
  <c r="BL126" i="3"/>
  <c r="AZ126" i="3"/>
  <c r="BA128" i="3"/>
  <c r="AZ128" i="3"/>
  <c r="BL129" i="3"/>
  <c r="AZ129" i="3"/>
  <c r="BL134" i="3"/>
  <c r="AZ134" i="3"/>
  <c r="BA136" i="3"/>
  <c r="BL138" i="3"/>
  <c r="AZ138" i="3"/>
  <c r="BL142" i="3"/>
  <c r="AZ142" i="3"/>
  <c r="BA144" i="3"/>
  <c r="BL145" i="3"/>
  <c r="AZ145" i="3"/>
  <c r="BL150" i="3"/>
  <c r="AZ150" i="3"/>
  <c r="BL153" i="3"/>
  <c r="AZ153" i="3"/>
  <c r="BA155" i="3"/>
  <c r="BL156" i="3"/>
  <c r="AZ156" i="3"/>
  <c r="BL161" i="3"/>
  <c r="AZ161" i="3"/>
  <c r="BA163" i="3"/>
  <c r="AZ163" i="3"/>
  <c r="BL165" i="3"/>
  <c r="AZ165" i="3"/>
  <c r="BA167" i="3"/>
  <c r="AZ167" i="3"/>
  <c r="BL168" i="3"/>
  <c r="BL173" i="3"/>
  <c r="AZ173" i="3" s="1"/>
  <c r="BA175" i="3"/>
  <c r="AZ175" i="3" s="1"/>
  <c r="BL176" i="3"/>
  <c r="BA179" i="3"/>
  <c r="AZ179" i="3" s="1"/>
  <c r="BA181" i="3"/>
  <c r="AZ181" i="3" s="1"/>
  <c r="BL182" i="3"/>
  <c r="AZ182" i="3" s="1"/>
  <c r="BA185" i="3"/>
  <c r="AZ185" i="3" s="1"/>
  <c r="BL186" i="3"/>
  <c r="BA189" i="3"/>
  <c r="AZ189" i="3" s="1"/>
  <c r="BL190" i="3"/>
  <c r="AZ190" i="3" s="1"/>
  <c r="BA193" i="3"/>
  <c r="AZ193" i="3"/>
  <c r="BL194" i="3"/>
  <c r="BA197" i="3"/>
  <c r="AZ197" i="3" s="1"/>
  <c r="BL198" i="3"/>
  <c r="AZ198" i="3" s="1"/>
  <c r="BA201" i="3"/>
  <c r="AZ201" i="3" s="1"/>
  <c r="BA202" i="3"/>
  <c r="AZ202" i="3" s="1"/>
  <c r="BL23" i="3"/>
  <c r="AZ23" i="3" s="1"/>
  <c r="BL27" i="3"/>
  <c r="BA28" i="3"/>
  <c r="AZ28" i="3" s="1"/>
  <c r="BL29" i="3"/>
  <c r="BA30" i="3"/>
  <c r="AZ30" i="3" s="1"/>
  <c r="BA32" i="3"/>
  <c r="AZ32" i="3" s="1"/>
  <c r="BL33" i="3"/>
  <c r="AZ33" i="3" s="1"/>
  <c r="BA34" i="3"/>
  <c r="BL39" i="3"/>
  <c r="AZ39" i="3" s="1"/>
  <c r="K13" i="1"/>
  <c r="M13" i="1" s="1"/>
  <c r="O13" i="1" s="1"/>
  <c r="AA30" i="59"/>
  <c r="AA3" i="59"/>
  <c r="BA41" i="3"/>
  <c r="AZ41" i="3"/>
  <c r="BL42" i="3"/>
  <c r="AZ42" i="3"/>
  <c r="BA47" i="3"/>
  <c r="AZ47" i="3"/>
  <c r="BA51" i="3"/>
  <c r="AZ51" i="3"/>
  <c r="BL52" i="3"/>
  <c r="AZ52" i="3"/>
  <c r="BA53" i="3"/>
  <c r="BL54" i="3"/>
  <c r="AZ54" i="3" s="1"/>
  <c r="BL56" i="3"/>
  <c r="AZ56" i="3" s="1"/>
  <c r="BL59" i="3"/>
  <c r="AZ59" i="3" s="1"/>
  <c r="BA63" i="3"/>
  <c r="BL64" i="3"/>
  <c r="AZ64" i="3" s="1"/>
  <c r="BA65" i="3"/>
  <c r="AZ65" i="3" s="1"/>
  <c r="BL70" i="3"/>
  <c r="AZ70" i="3" s="1"/>
  <c r="BA72" i="3"/>
  <c r="AZ72" i="3" s="1"/>
  <c r="BL73" i="3"/>
  <c r="AZ73" i="3" s="1"/>
  <c r="BA78" i="3"/>
  <c r="AZ78" i="3" s="1"/>
  <c r="BA82" i="3"/>
  <c r="BL83" i="3"/>
  <c r="AZ83" i="3" s="1"/>
  <c r="BA86" i="3"/>
  <c r="BL87" i="3"/>
  <c r="AZ87" i="3" s="1"/>
  <c r="BA88" i="3"/>
  <c r="AZ88" i="3" s="1"/>
  <c r="BL89" i="3"/>
  <c r="AZ89" i="3" s="1"/>
  <c r="BL91" i="3"/>
  <c r="AZ91" i="3" s="1"/>
  <c r="BA92" i="3"/>
  <c r="BL93" i="3"/>
  <c r="AZ93" i="3" s="1"/>
  <c r="BA98" i="3"/>
  <c r="AZ98" i="3" s="1"/>
  <c r="BA102" i="3"/>
  <c r="AZ102" i="3" s="1"/>
  <c r="BL103" i="3"/>
  <c r="AZ103" i="3" s="1"/>
  <c r="BA104" i="3"/>
  <c r="AZ104" i="3" s="1"/>
  <c r="BL105" i="3"/>
  <c r="AZ105" i="3" s="1"/>
  <c r="BL107" i="3"/>
  <c r="AZ107" i="3" s="1"/>
  <c r="BA108" i="3"/>
  <c r="BL109" i="3"/>
  <c r="AZ109" i="3" s="1"/>
  <c r="P16" i="4"/>
  <c r="AB30" i="59"/>
  <c r="F31" i="59"/>
  <c r="F32" i="59" s="1"/>
  <c r="F33" i="59" s="1"/>
  <c r="V33" i="59" s="1"/>
  <c r="X26" i="59"/>
  <c r="X30" i="59"/>
  <c r="Y30" i="59"/>
  <c r="Z30" i="59" s="1"/>
  <c r="X31" i="59"/>
  <c r="AA31" i="59"/>
  <c r="X32" i="59"/>
  <c r="AA32" i="59"/>
  <c r="X33" i="59"/>
  <c r="AA33" i="59"/>
  <c r="B35" i="59"/>
  <c r="B36" i="59" s="1"/>
  <c r="B37" i="59" s="1"/>
  <c r="S37" i="59" s="1"/>
  <c r="C35" i="59"/>
  <c r="D35" i="59" s="1"/>
  <c r="AA34" i="59"/>
  <c r="AB34" i="59"/>
  <c r="Y35" i="59"/>
  <c r="Z35" i="59" s="1"/>
  <c r="AB35" i="59"/>
  <c r="Y36" i="59"/>
  <c r="Z36" i="59"/>
  <c r="AB36" i="59"/>
  <c r="Y37" i="59"/>
  <c r="Z37" i="59" s="1"/>
  <c r="AB37" i="59"/>
  <c r="X38" i="59"/>
  <c r="Y38" i="59"/>
  <c r="Z38" i="59" s="1"/>
  <c r="E39" i="59"/>
  <c r="E40" i="59" s="1"/>
  <c r="E41" i="59" s="1"/>
  <c r="U41" i="59" s="1"/>
  <c r="F39" i="59"/>
  <c r="F40" i="59" s="1"/>
  <c r="F41" i="59" s="1"/>
  <c r="V41" i="59" s="1"/>
  <c r="X39" i="59"/>
  <c r="AA39" i="59"/>
  <c r="Y8" i="59"/>
  <c r="Z8" i="59" s="1"/>
  <c r="Y6" i="59"/>
  <c r="Z6" i="59" s="1"/>
  <c r="Y7" i="59"/>
  <c r="Z7" i="59" s="1"/>
  <c r="Y5" i="59"/>
  <c r="Z5" i="59" s="1"/>
  <c r="Y10" i="59"/>
  <c r="Z10" i="59" s="1"/>
  <c r="Y11" i="59"/>
  <c r="Z11" i="59" s="1"/>
  <c r="Q66" i="59"/>
  <c r="D29" i="59"/>
  <c r="T29" i="59"/>
  <c r="C28" i="59"/>
  <c r="V29" i="59"/>
  <c r="F28" i="59"/>
  <c r="F27" i="59"/>
  <c r="Y24" i="59"/>
  <c r="Z24" i="59"/>
  <c r="AB25" i="59"/>
  <c r="X19" i="59"/>
  <c r="AA19" i="59"/>
  <c r="X18" i="59"/>
  <c r="Y19" i="59"/>
  <c r="Z19" i="59"/>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c r="X22" i="59"/>
  <c r="AA24" i="59"/>
  <c r="AB24" i="59"/>
  <c r="AA22" i="59"/>
  <c r="Y18" i="59"/>
  <c r="Z18" i="59"/>
  <c r="AA18" i="59"/>
  <c r="AB18" i="59"/>
  <c r="Y13" i="59"/>
  <c r="Z13" i="59"/>
  <c r="AB15" i="59"/>
  <c r="F25" i="59"/>
  <c r="F24" i="59" s="1"/>
  <c r="F23" i="59" s="1"/>
  <c r="F22" i="59" s="1"/>
  <c r="F21" i="59" s="1"/>
  <c r="E25" i="59"/>
  <c r="K76" i="9"/>
  <c r="K77" i="9" s="1"/>
  <c r="Y25" i="59"/>
  <c r="Z25" i="59"/>
  <c r="AA16" i="59"/>
  <c r="X17" i="59"/>
  <c r="AB13" i="59"/>
  <c r="Y14" i="59"/>
  <c r="Z14" i="59" s="1"/>
  <c r="Y15" i="59"/>
  <c r="Z15" i="59" s="1"/>
  <c r="AA14" i="59"/>
  <c r="AA13" i="59"/>
  <c r="X13" i="59"/>
  <c r="X14" i="59"/>
  <c r="AB16" i="59"/>
  <c r="AB12" i="59"/>
  <c r="AB14" i="59"/>
  <c r="Y12" i="59"/>
  <c r="Z12" i="59"/>
  <c r="AA12" i="59"/>
  <c r="AA15" i="59"/>
  <c r="X12" i="59"/>
  <c r="D65" i="46"/>
  <c r="D50" i="46"/>
  <c r="F36" i="44"/>
  <c r="M22" i="44"/>
  <c r="BL13" i="3"/>
  <c r="L27" i="6"/>
  <c r="C7" i="21"/>
  <c r="C58" i="21"/>
  <c r="D58" i="21" s="1"/>
  <c r="E58" i="21" s="1"/>
  <c r="F58" i="21" s="1"/>
  <c r="G58" i="21" s="1"/>
  <c r="H58" i="21" s="1"/>
  <c r="I58" i="21" s="1"/>
  <c r="J58" i="21" s="1"/>
  <c r="K58" i="21" s="1"/>
  <c r="L58" i="21" s="1"/>
  <c r="M58" i="21" s="1"/>
  <c r="N58" i="21" s="1"/>
  <c r="O58" i="21" s="1"/>
  <c r="C9" i="39"/>
  <c r="C69" i="39"/>
  <c r="D69" i="39" s="1"/>
  <c r="D71" i="39" s="1"/>
  <c r="C9" i="40"/>
  <c r="C64" i="40"/>
  <c r="D64" i="40" s="1"/>
  <c r="D66" i="40" s="1"/>
  <c r="N67" i="9"/>
  <c r="D38" i="4"/>
  <c r="C39" i="4" s="1"/>
  <c r="AP10" i="1"/>
  <c r="C7" i="35"/>
  <c r="C48" i="35" s="1"/>
  <c r="C7" i="36"/>
  <c r="C46" i="36" s="1"/>
  <c r="AC10" i="36"/>
  <c r="S10" i="36"/>
  <c r="U10" i="36"/>
  <c r="S10" i="35"/>
  <c r="AC10" i="35"/>
  <c r="AB10" i="35"/>
  <c r="S10" i="37"/>
  <c r="W10" i="37"/>
  <c r="AB10" i="37"/>
  <c r="U10" i="34"/>
  <c r="W10" i="34"/>
  <c r="AC10" i="33"/>
  <c r="S10" i="33"/>
  <c r="F33" i="44"/>
  <c r="D86" i="46"/>
  <c r="J83" i="46"/>
  <c r="D83" i="46"/>
  <c r="D85" i="46"/>
  <c r="D88" i="46"/>
  <c r="D80" i="46"/>
  <c r="E72" i="46" s="1"/>
  <c r="B70" i="46" s="1"/>
  <c r="H63" i="46"/>
  <c r="H67" i="46"/>
  <c r="H62" i="46"/>
  <c r="H66" i="46"/>
  <c r="J69" i="46"/>
  <c r="D63" i="46"/>
  <c r="D67" i="46"/>
  <c r="D62" i="46"/>
  <c r="D64" i="46"/>
  <c r="D66" i="46"/>
  <c r="D61" i="46"/>
  <c r="D54" i="46"/>
  <c r="D56" i="46"/>
  <c r="H57" i="46"/>
  <c r="G57" i="46" s="1"/>
  <c r="K57" i="46" s="1"/>
  <c r="E44" i="46"/>
  <c r="C44" i="46" s="1"/>
  <c r="G18" i="46"/>
  <c r="E17" i="46" s="1"/>
  <c r="I18" i="46"/>
  <c r="H79" i="46"/>
  <c r="H78" i="46"/>
  <c r="H77" i="46"/>
  <c r="H76" i="46"/>
  <c r="H80" i="46"/>
  <c r="H75" i="46"/>
  <c r="H73" i="46"/>
  <c r="H50" i="46"/>
  <c r="G50" i="46" s="1"/>
  <c r="H51" i="46"/>
  <c r="G51" i="46" s="1"/>
  <c r="H56" i="46"/>
  <c r="G56" i="46" s="1"/>
  <c r="H55" i="46"/>
  <c r="G55" i="46" s="1"/>
  <c r="M55" i="46" s="1"/>
  <c r="N55" i="46" s="1"/>
  <c r="H58" i="46"/>
  <c r="G58" i="46" s="1"/>
  <c r="H53" i="46"/>
  <c r="G53" i="46" s="1"/>
  <c r="K53" i="46" s="1"/>
  <c r="J53" i="46" s="1"/>
  <c r="H54" i="46"/>
  <c r="G54" i="46" s="1"/>
  <c r="AZ427" i="3"/>
  <c r="AZ457" i="3"/>
  <c r="AZ206" i="3"/>
  <c r="BT5" i="3"/>
  <c r="BI5" i="3"/>
  <c r="AZ227" i="3"/>
  <c r="AZ243" i="3"/>
  <c r="AZ259" i="3"/>
  <c r="AZ168" i="3"/>
  <c r="AZ186" i="3"/>
  <c r="AZ194" i="3"/>
  <c r="AZ29" i="3"/>
  <c r="AZ80" i="3"/>
  <c r="AP7" i="1"/>
  <c r="B21" i="63"/>
  <c r="N4" i="63"/>
  <c r="A9" i="51"/>
  <c r="B9" i="63" s="1"/>
  <c r="A28" i="64"/>
  <c r="G9" i="1"/>
  <c r="G11" i="1"/>
  <c r="G8" i="1"/>
  <c r="L16" i="4"/>
  <c r="N16" i="4"/>
  <c r="O39" i="9"/>
  <c r="R6" i="54" s="1"/>
  <c r="B50" i="63" s="1"/>
  <c r="N69" i="9"/>
  <c r="R7" i="54"/>
  <c r="B52" i="63" s="1"/>
  <c r="B37" i="50"/>
  <c r="B2" i="63" s="1"/>
  <c r="X9" i="59"/>
  <c r="AB9" i="59"/>
  <c r="Y9" i="59"/>
  <c r="Z9" i="59" s="1"/>
  <c r="AA9" i="59"/>
  <c r="S17" i="40"/>
  <c r="AB32" i="40"/>
  <c r="W36" i="40"/>
  <c r="S36" i="40"/>
  <c r="S11" i="40"/>
  <c r="S10" i="40"/>
  <c r="S27" i="40"/>
  <c r="AC31" i="39"/>
  <c r="AC47" i="39"/>
  <c r="U40" i="39"/>
  <c r="AA42" i="39"/>
  <c r="S42" i="39"/>
  <c r="AA36" i="39"/>
  <c r="S36" i="39"/>
  <c r="G21" i="46"/>
  <c r="C20" i="46" s="1"/>
  <c r="E10" i="46"/>
  <c r="E11" i="46"/>
  <c r="E9" i="46"/>
  <c r="E8" i="46"/>
  <c r="F34" i="44"/>
  <c r="F24" i="43"/>
  <c r="C24" i="43"/>
  <c r="C25" i="43"/>
  <c r="G20" i="43"/>
  <c r="F70" i="9"/>
  <c r="F66" i="9"/>
  <c r="P72" i="9" s="1"/>
  <c r="F30" i="44"/>
  <c r="D86" i="9"/>
  <c r="F29" i="12"/>
  <c r="F71" i="9"/>
  <c r="G6" i="1"/>
  <c r="A25" i="51"/>
  <c r="B18" i="63" s="1"/>
  <c r="G10" i="1"/>
  <c r="G13" i="1"/>
  <c r="L52" i="37"/>
  <c r="M52" i="37" s="1"/>
  <c r="C71" i="39"/>
  <c r="C18" i="11"/>
  <c r="K79" i="9"/>
  <c r="K81" i="9" s="1"/>
  <c r="X16" i="59"/>
  <c r="Y16" i="59"/>
  <c r="Z16" i="59"/>
  <c r="Y3" i="59"/>
  <c r="Z3" i="59" s="1"/>
  <c r="AB17" i="59"/>
  <c r="AA17" i="59"/>
  <c r="Y17" i="59"/>
  <c r="Z17" i="59" s="1"/>
  <c r="J57" i="46"/>
  <c r="D57" i="46"/>
  <c r="M57" i="46"/>
  <c r="N57" i="46" s="1"/>
  <c r="F72" i="9"/>
  <c r="M20" i="44"/>
  <c r="AZ108" i="3"/>
  <c r="AZ53" i="3"/>
  <c r="AZ286" i="3"/>
  <c r="AZ422" i="3"/>
  <c r="AZ400" i="3"/>
  <c r="AZ125" i="3"/>
  <c r="AZ67" i="3"/>
  <c r="AZ55" i="3"/>
  <c r="AZ38" i="3"/>
  <c r="AZ177" i="3"/>
  <c r="AZ284" i="3"/>
  <c r="AZ420" i="3"/>
  <c r="AZ392" i="3"/>
  <c r="AZ86" i="3"/>
  <c r="AZ84" i="3"/>
  <c r="AZ187" i="3"/>
  <c r="A17" i="64"/>
  <c r="K17" i="4"/>
  <c r="A22" i="51" s="1"/>
  <c r="B16" i="63" s="1"/>
  <c r="E24" i="59"/>
  <c r="E23" i="59" s="1"/>
  <c r="E22" i="59"/>
  <c r="E21" i="59" s="1"/>
  <c r="U21" i="59" s="1"/>
  <c r="U25" i="59"/>
  <c r="C27" i="59"/>
  <c r="D27" i="59" s="1"/>
  <c r="D28" i="59"/>
  <c r="C36" i="59"/>
  <c r="D36" i="59" s="1"/>
  <c r="AC25" i="36"/>
  <c r="AB25" i="35"/>
  <c r="W31" i="33"/>
  <c r="AB28" i="34"/>
  <c r="S28" i="34"/>
  <c r="AA26" i="33"/>
  <c r="AC30" i="21"/>
  <c r="AB30" i="21"/>
  <c r="AA12" i="21"/>
  <c r="AA23" i="36"/>
  <c r="S23" i="36"/>
  <c r="AC23" i="36"/>
  <c r="W23" i="36"/>
  <c r="AC13" i="35"/>
  <c r="W13" i="35"/>
  <c r="V25" i="59"/>
  <c r="B28" i="59"/>
  <c r="B27" i="59"/>
  <c r="S29" i="59"/>
  <c r="AA25" i="36"/>
  <c r="S25" i="36"/>
  <c r="U35" i="35"/>
  <c r="AB35" i="35"/>
  <c r="AC35" i="35"/>
  <c r="W35" i="35"/>
  <c r="AA25" i="35"/>
  <c r="S25" i="35"/>
  <c r="AB31" i="33"/>
  <c r="U31" i="33"/>
  <c r="S31" i="33"/>
  <c r="AA31" i="33"/>
  <c r="W28" i="34"/>
  <c r="AC28" i="34"/>
  <c r="W9" i="34"/>
  <c r="W26" i="33"/>
  <c r="AC26" i="33"/>
  <c r="AA28" i="33"/>
  <c r="S28" i="33"/>
  <c r="AA30" i="21"/>
  <c r="U12" i="36"/>
  <c r="AB13" i="35"/>
  <c r="E83" i="46"/>
  <c r="B81" i="46" s="1"/>
  <c r="E61" i="46"/>
  <c r="B59" i="46" s="1"/>
  <c r="M86" i="9"/>
  <c r="N86" i="9"/>
  <c r="M84" i="9"/>
  <c r="N84" i="9"/>
  <c r="M88" i="9"/>
  <c r="N88" i="9"/>
  <c r="M87" i="9"/>
  <c r="N87" i="9"/>
  <c r="M85" i="9"/>
  <c r="N85" i="9"/>
  <c r="M83" i="9"/>
  <c r="N83" i="9"/>
  <c r="N89" i="9" s="1"/>
  <c r="O89" i="9" s="1"/>
  <c r="H7" i="21"/>
  <c r="AB7" i="21" s="1"/>
  <c r="T48" i="21" s="1"/>
  <c r="G48" i="21" s="1"/>
  <c r="G52" i="21" s="1"/>
  <c r="H52" i="21" s="1"/>
  <c r="E64" i="40"/>
  <c r="E66" i="40" s="1"/>
  <c r="M19" i="44"/>
  <c r="M32" i="46"/>
  <c r="P32" i="46"/>
  <c r="O32" i="46"/>
  <c r="N32" i="46"/>
  <c r="AE12" i="1"/>
  <c r="AE9" i="1"/>
  <c r="AE10" i="1"/>
  <c r="AE11" i="1"/>
  <c r="C37" i="59"/>
  <c r="T37" i="59" s="1"/>
  <c r="E20" i="59"/>
  <c r="E19" i="59" s="1"/>
  <c r="E18" i="59" s="1"/>
  <c r="E17" i="59" s="1"/>
  <c r="AG8" i="1"/>
  <c r="AG9" i="1"/>
  <c r="AG11" i="1"/>
  <c r="AG12" i="1"/>
  <c r="AG10" i="1"/>
  <c r="AG7" i="1"/>
  <c r="AG6" i="1"/>
  <c r="U7" i="21"/>
  <c r="D37" i="59"/>
  <c r="B2" i="66"/>
  <c r="D77" i="9"/>
  <c r="N75" i="9" s="1"/>
  <c r="D66" i="9"/>
  <c r="N72" i="9" s="1"/>
  <c r="R10" i="1"/>
  <c r="R9" i="1"/>
  <c r="R11" i="1"/>
  <c r="R12" i="1"/>
  <c r="D6" i="66"/>
  <c r="D7" i="66"/>
  <c r="R8" i="1"/>
  <c r="R7" i="1"/>
  <c r="D12" i="68"/>
  <c r="J5" i="65"/>
  <c r="F9" i="44"/>
  <c r="F14" i="67"/>
  <c r="F37" i="75"/>
  <c r="F28" i="44"/>
  <c r="E11" i="67"/>
  <c r="F40" i="44"/>
  <c r="L49" i="44"/>
  <c r="B12" i="67"/>
  <c r="F36" i="75"/>
  <c r="N7" i="65"/>
  <c r="D21" i="12"/>
  <c r="J15" i="76"/>
  <c r="F8" i="67"/>
  <c r="J7" i="65"/>
  <c r="F11" i="67"/>
  <c r="B9" i="67"/>
  <c r="J36" i="75"/>
  <c r="D21" i="9"/>
  <c r="F38" i="44"/>
  <c r="J15" i="75"/>
  <c r="D19" i="9"/>
  <c r="F37" i="44"/>
  <c r="C15" i="43"/>
  <c r="M9" i="76"/>
  <c r="I3" i="65"/>
  <c r="M29" i="44"/>
  <c r="M24" i="76"/>
  <c r="D20" i="9"/>
  <c r="F42" i="75"/>
  <c r="F10" i="44"/>
  <c r="F9" i="75"/>
  <c r="M6" i="75"/>
  <c r="F13" i="76"/>
  <c r="L47" i="76"/>
  <c r="B8" i="67"/>
  <c r="J3" i="65"/>
  <c r="F16" i="76"/>
  <c r="M27" i="76"/>
  <c r="M8" i="75"/>
  <c r="F33" i="12"/>
  <c r="F9" i="76"/>
  <c r="J6" i="65"/>
  <c r="C21" i="9"/>
  <c r="F18" i="44"/>
  <c r="I5" i="65"/>
  <c r="C13" i="12"/>
  <c r="D21" i="74"/>
  <c r="N3" i="65"/>
  <c r="F9" i="67"/>
  <c r="M11" i="44"/>
  <c r="F22" i="43"/>
  <c r="F37" i="76"/>
  <c r="E10" i="67"/>
  <c r="F26" i="75"/>
  <c r="F13" i="67"/>
  <c r="F16" i="75"/>
  <c r="L48" i="44"/>
  <c r="F8" i="44"/>
  <c r="J4" i="65"/>
  <c r="M27" i="75"/>
  <c r="B10" i="67"/>
  <c r="L47" i="75"/>
  <c r="F39" i="44"/>
  <c r="L48" i="76"/>
  <c r="M22" i="76"/>
  <c r="B13" i="67"/>
  <c r="F45" i="44"/>
  <c r="I6" i="65"/>
  <c r="F36" i="76"/>
  <c r="N4" i="65"/>
  <c r="E8" i="67"/>
  <c r="E9" i="67"/>
  <c r="M8" i="76"/>
  <c r="C19" i="9"/>
  <c r="I4" i="65"/>
  <c r="N5" i="65"/>
  <c r="M22" i="75"/>
  <c r="M31" i="44"/>
  <c r="E13" i="67"/>
  <c r="F38" i="75"/>
  <c r="M23" i="75"/>
  <c r="F42" i="76"/>
  <c r="M26" i="75"/>
  <c r="M30" i="44"/>
  <c r="M9" i="75"/>
  <c r="J17" i="44"/>
  <c r="C19" i="44"/>
  <c r="M26" i="76"/>
  <c r="F7" i="67"/>
  <c r="M8" i="44"/>
  <c r="F10" i="67"/>
  <c r="F38" i="76"/>
  <c r="M24" i="44"/>
  <c r="F15" i="44"/>
  <c r="J36" i="76"/>
  <c r="M28" i="76"/>
  <c r="M28" i="75"/>
  <c r="N6" i="65"/>
  <c r="M28" i="44"/>
  <c r="M24" i="75"/>
  <c r="B7" i="67"/>
  <c r="E12" i="67"/>
  <c r="F33" i="74"/>
  <c r="F21" i="43"/>
  <c r="B14" i="67"/>
  <c r="F26" i="76"/>
  <c r="M25" i="44"/>
  <c r="F43" i="44"/>
  <c r="M6" i="76"/>
  <c r="B11" i="67"/>
  <c r="F40" i="75"/>
  <c r="F13" i="75"/>
  <c r="F8" i="75"/>
  <c r="M23" i="44"/>
  <c r="C20" i="9"/>
  <c r="F40" i="76"/>
  <c r="E14" i="67"/>
  <c r="C15" i="74"/>
  <c r="F8" i="76"/>
  <c r="L48" i="75"/>
  <c r="M10" i="44"/>
  <c r="AE8" i="1"/>
  <c r="F11" i="44"/>
  <c r="E7" i="67"/>
  <c r="F12" i="67"/>
  <c r="M23" i="76"/>
  <c r="M26" i="44"/>
  <c r="I7" i="65"/>
  <c r="O11" i="1" l="1"/>
  <c r="P11" i="1" s="1"/>
  <c r="P13" i="1"/>
  <c r="B4" i="52"/>
  <c r="E12" i="52"/>
  <c r="N52" i="37"/>
  <c r="O52" i="37" s="1"/>
  <c r="H7" i="37"/>
  <c r="E28" i="6"/>
  <c r="K14" i="1" s="1"/>
  <c r="M14" i="1" s="1"/>
  <c r="AZ487" i="3"/>
  <c r="R22" i="31"/>
  <c r="B21" i="31" s="1"/>
  <c r="B20" i="31"/>
  <c r="E5" i="46"/>
  <c r="D4" i="78"/>
  <c r="F29" i="6"/>
  <c r="F30" i="6" s="1"/>
  <c r="U36" i="35"/>
  <c r="AB36" i="35"/>
  <c r="S12" i="36"/>
  <c r="AA12" i="36"/>
  <c r="AB14" i="39"/>
  <c r="U14" i="39"/>
  <c r="AA33" i="39"/>
  <c r="S33" i="39"/>
  <c r="AB33" i="40"/>
  <c r="U33" i="40"/>
  <c r="AZ557" i="3"/>
  <c r="AZ561" i="3"/>
  <c r="AZ372" i="3"/>
  <c r="AZ363" i="3"/>
  <c r="H27" i="21"/>
  <c r="J27" i="21"/>
  <c r="F27" i="21"/>
  <c r="J29" i="21"/>
  <c r="H29" i="21"/>
  <c r="F29" i="21"/>
  <c r="J31" i="21"/>
  <c r="H31" i="21"/>
  <c r="F31" i="21"/>
  <c r="J45" i="21"/>
  <c r="F45" i="21"/>
  <c r="H45" i="21"/>
  <c r="F30" i="33"/>
  <c r="J30" i="33"/>
  <c r="J34" i="35"/>
  <c r="H34" i="35"/>
  <c r="J24" i="36"/>
  <c r="W24" i="36" s="1"/>
  <c r="F24" i="36"/>
  <c r="BL569" i="3"/>
  <c r="AZ569" i="3" s="1"/>
  <c r="BL565" i="3"/>
  <c r="BA565" i="3"/>
  <c r="AZ565" i="3" s="1"/>
  <c r="BA564" i="3"/>
  <c r="AZ564" i="3" s="1"/>
  <c r="BA559" i="3"/>
  <c r="AZ559" i="3" s="1"/>
  <c r="BA553" i="3"/>
  <c r="AZ553" i="3" s="1"/>
  <c r="BA500" i="3"/>
  <c r="AZ500" i="3" s="1"/>
  <c r="BL499" i="3"/>
  <c r="AZ499" i="3" s="1"/>
  <c r="BL497" i="3"/>
  <c r="BA497" i="3"/>
  <c r="BA490" i="3"/>
  <c r="AZ490" i="3" s="1"/>
  <c r="AA46" i="33"/>
  <c r="S46" i="33"/>
  <c r="W13" i="36"/>
  <c r="AC13" i="36"/>
  <c r="AA19" i="21"/>
  <c r="S19" i="21"/>
  <c r="BA568" i="3"/>
  <c r="AZ568" i="3" s="1"/>
  <c r="BA562" i="3"/>
  <c r="BA554" i="3"/>
  <c r="BL503" i="3"/>
  <c r="AZ503" i="3" s="1"/>
  <c r="BL501" i="3"/>
  <c r="BA501" i="3"/>
  <c r="AZ501" i="3" s="1"/>
  <c r="BA498" i="3"/>
  <c r="BA496" i="3"/>
  <c r="AZ496" i="3" s="1"/>
  <c r="BL495" i="3"/>
  <c r="AZ495" i="3" s="1"/>
  <c r="BA494" i="3"/>
  <c r="AZ494" i="3" s="1"/>
  <c r="BA493" i="3"/>
  <c r="AZ493" i="3" s="1"/>
  <c r="BL491" i="3"/>
  <c r="BA491" i="3"/>
  <c r="BL489" i="3"/>
  <c r="AZ489" i="3" s="1"/>
  <c r="F64" i="40"/>
  <c r="D53" i="46"/>
  <c r="E69" i="39"/>
  <c r="J7" i="21"/>
  <c r="AC7" i="21" s="1"/>
  <c r="V48" i="21" s="1"/>
  <c r="I48" i="21" s="1"/>
  <c r="S13" i="35"/>
  <c r="S36" i="35"/>
  <c r="AB23" i="36"/>
  <c r="AC28" i="33"/>
  <c r="AC36" i="35"/>
  <c r="W25" i="35"/>
  <c r="S35" i="35"/>
  <c r="AB25" i="36"/>
  <c r="K55" i="46"/>
  <c r="C7" i="46"/>
  <c r="W35" i="40"/>
  <c r="AB17" i="40"/>
  <c r="H68" i="46"/>
  <c r="H64" i="46"/>
  <c r="H69" i="46"/>
  <c r="H65" i="46"/>
  <c r="AB10" i="33"/>
  <c r="AZ92" i="3"/>
  <c r="AZ82" i="3"/>
  <c r="AZ63" i="3"/>
  <c r="AZ280" i="3"/>
  <c r="AZ453" i="3"/>
  <c r="AZ426" i="3"/>
  <c r="J12" i="21"/>
  <c r="J12" i="36"/>
  <c r="AZ94" i="3"/>
  <c r="AZ74" i="3"/>
  <c r="AZ22" i="3"/>
  <c r="AZ195" i="3"/>
  <c r="AZ169" i="3"/>
  <c r="AZ148" i="3"/>
  <c r="AZ49" i="3"/>
  <c r="AZ43" i="3"/>
  <c r="AZ114" i="3"/>
  <c r="AZ312" i="3"/>
  <c r="AZ475" i="3"/>
  <c r="AZ451" i="3"/>
  <c r="AZ443" i="3"/>
  <c r="AZ438" i="3"/>
  <c r="AZ414" i="3"/>
  <c r="AA11" i="33"/>
  <c r="AC17" i="33"/>
  <c r="U19" i="33"/>
  <c r="U23" i="33"/>
  <c r="W23" i="33"/>
  <c r="S42" i="33"/>
  <c r="AB34" i="33"/>
  <c r="S43" i="33"/>
  <c r="W27" i="40"/>
  <c r="S19" i="37"/>
  <c r="AA20" i="36"/>
  <c r="B65" i="46"/>
  <c r="C21" i="39"/>
  <c r="C17" i="39"/>
  <c r="AC37" i="39"/>
  <c r="S34" i="39"/>
  <c r="AB33" i="39"/>
  <c r="W30" i="40"/>
  <c r="AC37" i="21"/>
  <c r="W25" i="21"/>
  <c r="AB25" i="21"/>
  <c r="AB13" i="34"/>
  <c r="AB29" i="34"/>
  <c r="S28" i="37"/>
  <c r="AA13" i="37"/>
  <c r="W8" i="36"/>
  <c r="AA34" i="36"/>
  <c r="W11" i="35"/>
  <c r="S25" i="39"/>
  <c r="U23" i="39"/>
  <c r="S14" i="39"/>
  <c r="S27" i="39"/>
  <c r="AC44" i="39"/>
  <c r="AB40" i="40"/>
  <c r="S30" i="40"/>
  <c r="W38" i="40"/>
  <c r="U35" i="40"/>
  <c r="W25" i="40"/>
  <c r="S15" i="40"/>
  <c r="U15" i="40"/>
  <c r="AC19" i="21"/>
  <c r="S42" i="21"/>
  <c r="W32" i="21"/>
  <c r="F23" i="33"/>
  <c r="J25" i="33"/>
  <c r="S29" i="33"/>
  <c r="U32" i="37"/>
  <c r="S17" i="37"/>
  <c r="S27" i="35"/>
  <c r="S23" i="35"/>
  <c r="U9" i="36"/>
  <c r="W20" i="36"/>
  <c r="S8" i="36"/>
  <c r="AC14" i="34"/>
  <c r="U32" i="34"/>
  <c r="AA19" i="39"/>
  <c r="S17" i="39"/>
  <c r="AB44" i="39"/>
  <c r="AB29" i="39"/>
  <c r="AC39" i="39"/>
  <c r="AA37" i="39"/>
  <c r="AA34" i="33"/>
  <c r="U27" i="39"/>
  <c r="J36" i="33"/>
  <c r="AA40" i="21"/>
  <c r="U21" i="39"/>
  <c r="W14" i="39"/>
  <c r="W27" i="39"/>
  <c r="S33" i="40"/>
  <c r="J38" i="39"/>
  <c r="J33" i="40"/>
  <c r="H36" i="33"/>
  <c r="J16" i="39"/>
  <c r="J33" i="39"/>
  <c r="AA31" i="36"/>
  <c r="W16" i="36"/>
  <c r="AC34" i="37"/>
  <c r="H11" i="35"/>
  <c r="J13" i="33"/>
  <c r="J15" i="33"/>
  <c r="S33" i="21"/>
  <c r="AC11" i="36"/>
  <c r="AB17" i="37"/>
  <c r="AA13" i="40"/>
  <c r="AZ374" i="3"/>
  <c r="AZ347" i="3"/>
  <c r="W9" i="33"/>
  <c r="AA23" i="37"/>
  <c r="AA13" i="33"/>
  <c r="H24" i="35"/>
  <c r="F24" i="35"/>
  <c r="AC14" i="21"/>
  <c r="H44" i="33"/>
  <c r="H30" i="33"/>
  <c r="AC42" i="21"/>
  <c r="W42" i="21"/>
  <c r="AB36" i="21"/>
  <c r="AC31" i="36"/>
  <c r="F9" i="21"/>
  <c r="J9" i="21"/>
  <c r="F12" i="35"/>
  <c r="F34" i="35"/>
  <c r="H45" i="33"/>
  <c r="U45" i="33" s="1"/>
  <c r="J45" i="33"/>
  <c r="H45" i="34"/>
  <c r="F45" i="34"/>
  <c r="AB29" i="36"/>
  <c r="U29" i="36"/>
  <c r="H40" i="37"/>
  <c r="J40" i="37"/>
  <c r="F36" i="33"/>
  <c r="H112" i="34"/>
  <c r="I112" i="34" s="1"/>
  <c r="J112" i="34" s="1"/>
  <c r="K112" i="34" s="1"/>
  <c r="L112" i="34" s="1"/>
  <c r="M112" i="34" s="1"/>
  <c r="F37" i="34"/>
  <c r="BA547" i="3"/>
  <c r="BA546" i="3"/>
  <c r="BL545" i="3"/>
  <c r="BA545" i="3"/>
  <c r="BL543" i="3"/>
  <c r="BA543" i="3"/>
  <c r="BA542" i="3"/>
  <c r="BL541" i="3"/>
  <c r="AZ541" i="3" s="1"/>
  <c r="BA540" i="3"/>
  <c r="BA539" i="3"/>
  <c r="AZ539" i="3" s="1"/>
  <c r="BA537" i="3"/>
  <c r="AZ537" i="3" s="1"/>
  <c r="BL535" i="3"/>
  <c r="AZ535" i="3" s="1"/>
  <c r="BL531" i="3"/>
  <c r="BA531" i="3"/>
  <c r="BL529" i="3"/>
  <c r="AZ529" i="3" s="1"/>
  <c r="BL528" i="3"/>
  <c r="AZ528" i="3" s="1"/>
  <c r="BL527" i="3"/>
  <c r="BA527" i="3"/>
  <c r="BA526" i="3"/>
  <c r="BL525" i="3"/>
  <c r="AZ525" i="3" s="1"/>
  <c r="BA524" i="3"/>
  <c r="BA523" i="3"/>
  <c r="AZ523" i="3" s="1"/>
  <c r="BA522" i="3"/>
  <c r="AZ522" i="3" s="1"/>
  <c r="BL521" i="3"/>
  <c r="BA521" i="3"/>
  <c r="AZ521" i="3" s="1"/>
  <c r="BA519" i="3"/>
  <c r="AZ519" i="3" s="1"/>
  <c r="BL517" i="3"/>
  <c r="AZ517" i="3" s="1"/>
  <c r="BA516" i="3"/>
  <c r="BL515" i="3"/>
  <c r="AZ515" i="3" s="1"/>
  <c r="BA514" i="3"/>
  <c r="BA513" i="3"/>
  <c r="AZ513" i="3" s="1"/>
  <c r="BL511" i="3"/>
  <c r="AZ511" i="3" s="1"/>
  <c r="BA510" i="3"/>
  <c r="AZ510" i="3" s="1"/>
  <c r="BL509" i="3"/>
  <c r="BA509" i="3"/>
  <c r="AZ509" i="3" s="1"/>
  <c r="BA508" i="3"/>
  <c r="AZ508" i="3" s="1"/>
  <c r="BL507" i="3"/>
  <c r="AZ507" i="3" s="1"/>
  <c r="BL506" i="3"/>
  <c r="AZ506" i="3" s="1"/>
  <c r="BL505" i="3"/>
  <c r="AZ505" i="3" s="1"/>
  <c r="BA485" i="3"/>
  <c r="AZ485" i="3" s="1"/>
  <c r="BA483" i="3"/>
  <c r="AZ483" i="3" s="1"/>
  <c r="BA482" i="3"/>
  <c r="AZ482" i="3" s="1"/>
  <c r="BL481" i="3"/>
  <c r="AZ481" i="3" s="1"/>
  <c r="BA20" i="3"/>
  <c r="AZ20" i="3" s="1"/>
  <c r="BK5" i="3"/>
  <c r="BA18" i="3"/>
  <c r="AZ18" i="3" s="1"/>
  <c r="AZ248" i="3"/>
  <c r="C40" i="59"/>
  <c r="D39" i="59"/>
  <c r="C44" i="59"/>
  <c r="D43" i="59"/>
  <c r="D55" i="59"/>
  <c r="C56" i="59"/>
  <c r="D63" i="59"/>
  <c r="C64" i="59"/>
  <c r="G552" i="3"/>
  <c r="G505" i="3"/>
  <c r="G14" i="3"/>
  <c r="BL389" i="3"/>
  <c r="AZ389" i="3" s="1"/>
  <c r="BL391" i="3"/>
  <c r="AZ391" i="3" s="1"/>
  <c r="BL393" i="3"/>
  <c r="AZ393" i="3" s="1"/>
  <c r="BA395" i="3"/>
  <c r="AZ395" i="3" s="1"/>
  <c r="BA397" i="3"/>
  <c r="AZ397" i="3" s="1"/>
  <c r="BA399" i="3"/>
  <c r="AZ399" i="3" s="1"/>
  <c r="BL401" i="3"/>
  <c r="AZ401" i="3" s="1"/>
  <c r="BA403" i="3"/>
  <c r="AZ403" i="3" s="1"/>
  <c r="BA405" i="3"/>
  <c r="AZ405" i="3" s="1"/>
  <c r="BL431" i="3"/>
  <c r="AZ431" i="3" s="1"/>
  <c r="BA433" i="3"/>
  <c r="AZ433" i="3" s="1"/>
  <c r="BL435" i="3"/>
  <c r="AZ435" i="3" s="1"/>
  <c r="BA437" i="3"/>
  <c r="AZ437" i="3" s="1"/>
  <c r="BA439" i="3"/>
  <c r="AZ439" i="3" s="1"/>
  <c r="BL441" i="3"/>
  <c r="AZ441" i="3" s="1"/>
  <c r="G444" i="3"/>
  <c r="G446" i="3"/>
  <c r="G448" i="3"/>
  <c r="G450" i="3"/>
  <c r="G452" i="3"/>
  <c r="G454" i="3"/>
  <c r="G456" i="3"/>
  <c r="G458" i="3"/>
  <c r="G460" i="3"/>
  <c r="G462" i="3"/>
  <c r="G464" i="3"/>
  <c r="G466" i="3"/>
  <c r="G468" i="3"/>
  <c r="G470" i="3"/>
  <c r="G472" i="3"/>
  <c r="G474" i="3"/>
  <c r="G476" i="3"/>
  <c r="G478" i="3"/>
  <c r="G480" i="3"/>
  <c r="BA297" i="3"/>
  <c r="AZ297" i="3" s="1"/>
  <c r="BA301" i="3"/>
  <c r="AZ301" i="3" s="1"/>
  <c r="G307" i="3"/>
  <c r="BA321" i="3"/>
  <c r="AZ321" i="3" s="1"/>
  <c r="BA325" i="3"/>
  <c r="AZ325" i="3" s="1"/>
  <c r="G331" i="3"/>
  <c r="BL348" i="3"/>
  <c r="AZ348" i="3" s="1"/>
  <c r="G379" i="3"/>
  <c r="G387" i="3"/>
  <c r="BA388" i="3"/>
  <c r="AZ388" i="3" s="1"/>
  <c r="BA205" i="3"/>
  <c r="AZ205" i="3" s="1"/>
  <c r="BL208" i="3"/>
  <c r="AZ208" i="3" s="1"/>
  <c r="BA211" i="3"/>
  <c r="AZ211" i="3" s="1"/>
  <c r="G213" i="3"/>
  <c r="BL214" i="3"/>
  <c r="AZ214" i="3" s="1"/>
  <c r="G219" i="3"/>
  <c r="BA220" i="3"/>
  <c r="AZ220" i="3" s="1"/>
  <c r="BA221" i="3"/>
  <c r="AZ221" i="3" s="1"/>
  <c r="AZ232" i="3"/>
  <c r="E31" i="59"/>
  <c r="E32" i="59" s="1"/>
  <c r="E33" i="59" s="1"/>
  <c r="U33" i="59" s="1"/>
  <c r="AB26" i="59"/>
  <c r="Y29" i="59"/>
  <c r="Z29" i="59" s="1"/>
  <c r="Y27" i="59"/>
  <c r="Z27" i="59" s="1"/>
  <c r="AA36" i="59"/>
  <c r="B52" i="59"/>
  <c r="B53" i="59" s="1"/>
  <c r="S53" i="59" s="1"/>
  <c r="E52" i="59"/>
  <c r="E53" i="59" s="1"/>
  <c r="U53" i="59" s="1"/>
  <c r="L76" i="9"/>
  <c r="B15" i="69"/>
  <c r="O3" i="70"/>
  <c r="V5" i="70"/>
  <c r="R7" i="70"/>
  <c r="R5" i="70"/>
  <c r="P9" i="70"/>
  <c r="T6" i="70"/>
  <c r="W6" i="70" s="1"/>
  <c r="T8" i="70"/>
  <c r="W8" i="70" s="1"/>
  <c r="U7" i="70"/>
  <c r="U5" i="70"/>
  <c r="E9" i="83"/>
  <c r="E11" i="83"/>
  <c r="G227" i="3"/>
  <c r="BA228" i="3"/>
  <c r="AZ228" i="3" s="1"/>
  <c r="BA229" i="3"/>
  <c r="AZ229" i="3" s="1"/>
  <c r="BL231" i="3"/>
  <c r="AZ231" i="3" s="1"/>
  <c r="BL232" i="3"/>
  <c r="BA235" i="3"/>
  <c r="AZ235" i="3" s="1"/>
  <c r="G237" i="3"/>
  <c r="BL238" i="3"/>
  <c r="AZ238" i="3" s="1"/>
  <c r="G243" i="3"/>
  <c r="BA244" i="3"/>
  <c r="AZ244" i="3" s="1"/>
  <c r="BA245" i="3"/>
  <c r="AZ245" i="3" s="1"/>
  <c r="BL247" i="3"/>
  <c r="AZ247" i="3" s="1"/>
  <c r="BL248" i="3"/>
  <c r="BA251" i="3"/>
  <c r="AZ251" i="3" s="1"/>
  <c r="G255" i="3"/>
  <c r="G257" i="3"/>
  <c r="BL258" i="3"/>
  <c r="AZ258" i="3" s="1"/>
  <c r="G263" i="3"/>
  <c r="G265" i="3"/>
  <c r="BL266" i="3"/>
  <c r="AZ266" i="3" s="1"/>
  <c r="BL269" i="3"/>
  <c r="AZ269" i="3" s="1"/>
  <c r="G273" i="3"/>
  <c r="G275" i="3"/>
  <c r="BA276" i="3"/>
  <c r="AZ276" i="3" s="1"/>
  <c r="BL277" i="3"/>
  <c r="AZ277" i="3" s="1"/>
  <c r="BA279" i="3"/>
  <c r="AZ279" i="3" s="1"/>
  <c r="BL281" i="3"/>
  <c r="AZ281" i="3" s="1"/>
  <c r="BA283" i="3"/>
  <c r="AZ283" i="3" s="1"/>
  <c r="BL285" i="3"/>
  <c r="AZ285" i="3" s="1"/>
  <c r="BA287" i="3"/>
  <c r="AZ287" i="3" s="1"/>
  <c r="BL289" i="3"/>
  <c r="AZ289" i="3" s="1"/>
  <c r="BA291" i="3"/>
  <c r="AZ291" i="3" s="1"/>
  <c r="BL293" i="3"/>
  <c r="AZ293" i="3" s="1"/>
  <c r="BA295" i="3"/>
  <c r="AZ295" i="3" s="1"/>
  <c r="BA113" i="3"/>
  <c r="AZ113" i="3" s="1"/>
  <c r="G121" i="3"/>
  <c r="BL136" i="3"/>
  <c r="AZ136" i="3" s="1"/>
  <c r="G139" i="3"/>
  <c r="BL144" i="3"/>
  <c r="AZ144" i="3" s="1"/>
  <c r="BA147" i="3"/>
  <c r="AZ147" i="3" s="1"/>
  <c r="G152" i="3"/>
  <c r="BL155" i="3"/>
  <c r="AZ155" i="3" s="1"/>
  <c r="BA158" i="3"/>
  <c r="AZ158" i="3" s="1"/>
  <c r="BL164" i="3"/>
  <c r="AZ164" i="3" s="1"/>
  <c r="G169" i="3"/>
  <c r="BL172" i="3"/>
  <c r="AZ172" i="3" s="1"/>
  <c r="BA176" i="3"/>
  <c r="AZ176" i="3" s="1"/>
  <c r="BL178" i="3"/>
  <c r="AZ178" i="3" s="1"/>
  <c r="BL183" i="3"/>
  <c r="AZ183" i="3" s="1"/>
  <c r="BL196" i="3"/>
  <c r="AZ196" i="3" s="1"/>
  <c r="BA199" i="3"/>
  <c r="AZ199" i="3" s="1"/>
  <c r="BL200" i="3"/>
  <c r="AZ200" i="3" s="1"/>
  <c r="G204" i="3"/>
  <c r="G24" i="3"/>
  <c r="BA25" i="3"/>
  <c r="AZ25" i="3" s="1"/>
  <c r="BA26" i="3"/>
  <c r="AZ26" i="3" s="1"/>
  <c r="BA27" i="3"/>
  <c r="AZ27" i="3" s="1"/>
  <c r="G31" i="3"/>
  <c r="G33" i="3"/>
  <c r="BL34" i="3"/>
  <c r="AZ34" i="3" s="1"/>
  <c r="G73" i="3"/>
  <c r="G81" i="3"/>
  <c r="G89" i="3"/>
  <c r="G97" i="3"/>
  <c r="G105" i="3"/>
  <c r="BL112" i="3"/>
  <c r="AZ112" i="3" s="1"/>
  <c r="C31" i="39"/>
  <c r="S21" i="21"/>
  <c r="X27" i="59"/>
  <c r="S5" i="70"/>
  <c r="R12" i="70"/>
  <c r="R13" i="70"/>
  <c r="H94" i="46"/>
  <c r="G19" i="73"/>
  <c r="G17" i="73" s="1"/>
  <c r="D17" i="85"/>
  <c r="D26" i="85"/>
  <c r="E83" i="73"/>
  <c r="B81" i="73" s="1"/>
  <c r="D33" i="73"/>
  <c r="D1" i="73" s="1"/>
  <c r="F29" i="74"/>
  <c r="M18" i="75"/>
  <c r="F28" i="75"/>
  <c r="F34" i="75"/>
  <c r="F61" i="75" s="1"/>
  <c r="J51" i="76"/>
  <c r="P62" i="76"/>
  <c r="J3" i="78"/>
  <c r="E19" i="46"/>
  <c r="D19" i="4"/>
  <c r="E19" i="4"/>
  <c r="C9" i="78"/>
  <c r="H9" i="78" s="1"/>
  <c r="H17" i="78" s="1"/>
  <c r="B4" i="68"/>
  <c r="L3" i="68" s="1"/>
  <c r="F11" i="82"/>
  <c r="G11" i="82" s="1"/>
  <c r="G21" i="82"/>
  <c r="H21" i="82" s="1"/>
  <c r="F24" i="82"/>
  <c r="F10" i="82" s="1"/>
  <c r="G10" i="82" s="1"/>
  <c r="C42" i="82"/>
  <c r="E6" i="85"/>
  <c r="F6" i="85" s="1"/>
  <c r="K3" i="70"/>
  <c r="N3" i="70"/>
  <c r="S13" i="70"/>
  <c r="R14" i="70"/>
  <c r="L23" i="70"/>
  <c r="U28" i="70"/>
  <c r="S30" i="70"/>
  <c r="Z3" i="70"/>
  <c r="C24" i="73"/>
  <c r="G5" i="78" s="1"/>
  <c r="G24" i="82"/>
  <c r="H24" i="82" s="1"/>
  <c r="H65" i="83"/>
  <c r="H73" i="83"/>
  <c r="E83" i="83"/>
  <c r="B81" i="83" s="1"/>
  <c r="H86" i="83"/>
  <c r="C24" i="85"/>
  <c r="E22" i="85" s="1"/>
  <c r="F22" i="85" s="1"/>
  <c r="H17" i="34"/>
  <c r="E86" i="34"/>
  <c r="G26" i="12"/>
  <c r="G27" i="12"/>
  <c r="G28" i="74"/>
  <c r="D22" i="75"/>
  <c r="C8" i="78"/>
  <c r="C12" i="78" s="1"/>
  <c r="B12" i="52"/>
  <c r="E4" i="52"/>
  <c r="B10" i="52"/>
  <c r="E11" i="52"/>
  <c r="B14" i="52"/>
  <c r="B5" i="52"/>
  <c r="B8" i="52"/>
  <c r="E7" i="52"/>
  <c r="E14" i="52"/>
  <c r="E5" i="52"/>
  <c r="E8" i="52"/>
  <c r="B11" i="52"/>
  <c r="B6" i="52"/>
  <c r="E10" i="52"/>
  <c r="E13" i="52"/>
  <c r="B9" i="52"/>
  <c r="E9" i="52"/>
  <c r="E6" i="52"/>
  <c r="B7" i="52"/>
  <c r="E16" i="59"/>
  <c r="E15" i="59" s="1"/>
  <c r="E14" i="59" s="1"/>
  <c r="E13" i="59" s="1"/>
  <c r="U17" i="59"/>
  <c r="I52" i="21"/>
  <c r="J52" i="21" s="1"/>
  <c r="G53" i="21"/>
  <c r="H53" i="21" s="1"/>
  <c r="W7" i="21"/>
  <c r="M53" i="46"/>
  <c r="N53" i="46" s="1"/>
  <c r="K54" i="46"/>
  <c r="J54" i="46" s="1"/>
  <c r="M54" i="46"/>
  <c r="N54" i="46" s="1"/>
  <c r="K58" i="46"/>
  <c r="J58" i="46" s="1"/>
  <c r="M58" i="46"/>
  <c r="N58" i="46" s="1"/>
  <c r="K56" i="46"/>
  <c r="J56" i="46" s="1"/>
  <c r="M56" i="46"/>
  <c r="N56" i="46" s="1"/>
  <c r="M50" i="46"/>
  <c r="N50" i="46" s="1"/>
  <c r="K50" i="46"/>
  <c r="J50" i="46" s="1"/>
  <c r="D48" i="35"/>
  <c r="O12" i="1"/>
  <c r="P12" i="1" s="1"/>
  <c r="B16" i="59"/>
  <c r="B15" i="59" s="1"/>
  <c r="B14" i="59" s="1"/>
  <c r="B13" i="59" s="1"/>
  <c r="S17" i="59"/>
  <c r="F20" i="59"/>
  <c r="F19" i="59" s="1"/>
  <c r="F18" i="59" s="1"/>
  <c r="F17" i="59" s="1"/>
  <c r="V21" i="59"/>
  <c r="M51" i="46"/>
  <c r="N51" i="46" s="1"/>
  <c r="K51" i="46"/>
  <c r="D46" i="36"/>
  <c r="M52" i="46"/>
  <c r="N52" i="46" s="1"/>
  <c r="K52" i="46"/>
  <c r="F7" i="37"/>
  <c r="J7" i="37"/>
  <c r="F7" i="21"/>
  <c r="A3" i="55"/>
  <c r="B56" i="63" s="1"/>
  <c r="C66" i="40"/>
  <c r="O41" i="9"/>
  <c r="R8" i="54" s="1"/>
  <c r="B54" i="63" s="1"/>
  <c r="U25" i="40"/>
  <c r="H25" i="33"/>
  <c r="AC13" i="40"/>
  <c r="AB23" i="35"/>
  <c r="AB25" i="39"/>
  <c r="AB14" i="40"/>
  <c r="AB42" i="40"/>
  <c r="U42" i="40"/>
  <c r="AC32" i="40"/>
  <c r="W32" i="40"/>
  <c r="AC15" i="39"/>
  <c r="W15" i="39"/>
  <c r="U16" i="39"/>
  <c r="AB16" i="39"/>
  <c r="S41" i="33"/>
  <c r="AA41" i="33"/>
  <c r="U17" i="39"/>
  <c r="AB17" i="39"/>
  <c r="S11" i="36"/>
  <c r="AA11" i="36"/>
  <c r="AB29" i="33"/>
  <c r="U29" i="33"/>
  <c r="AC17" i="21"/>
  <c r="W17" i="21"/>
  <c r="AA16" i="35"/>
  <c r="S16" i="35"/>
  <c r="AZ355" i="3"/>
  <c r="AZ361" i="3"/>
  <c r="S31" i="37"/>
  <c r="AA31" i="37"/>
  <c r="AZ558" i="3"/>
  <c r="U46" i="21"/>
  <c r="W27" i="37"/>
  <c r="AC27" i="37"/>
  <c r="AA27" i="37"/>
  <c r="S27" i="37"/>
  <c r="AC28" i="37"/>
  <c r="W28" i="37"/>
  <c r="U45" i="34"/>
  <c r="AB45" i="34"/>
  <c r="AC46" i="33"/>
  <c r="W46" i="33"/>
  <c r="AC44" i="33"/>
  <c r="W44" i="33"/>
  <c r="AC14" i="33"/>
  <c r="W14" i="33"/>
  <c r="U28" i="36"/>
  <c r="AB28" i="36"/>
  <c r="S45" i="33"/>
  <c r="AA45" i="33"/>
  <c r="AA44" i="21"/>
  <c r="S44" i="21"/>
  <c r="AB28" i="21"/>
  <c r="U28" i="21"/>
  <c r="AA14" i="21"/>
  <c r="S14" i="21"/>
  <c r="F37" i="33"/>
  <c r="F113" i="33"/>
  <c r="G113" i="33" s="1"/>
  <c r="H113" i="33" s="1"/>
  <c r="I113" i="33" s="1"/>
  <c r="J113" i="33" s="1"/>
  <c r="K113" i="33" s="1"/>
  <c r="L113" i="33" s="1"/>
  <c r="M113" i="33" s="1"/>
  <c r="H37" i="33"/>
  <c r="AA16" i="36"/>
  <c r="S16" i="36"/>
  <c r="W26" i="21"/>
  <c r="AC26" i="21"/>
  <c r="H13" i="21"/>
  <c r="J13" i="21"/>
  <c r="F13" i="21"/>
  <c r="J44" i="21"/>
  <c r="H44" i="21"/>
  <c r="W12" i="33"/>
  <c r="AC12" i="33"/>
  <c r="F15" i="33"/>
  <c r="E69" i="33"/>
  <c r="F69" i="33" s="1"/>
  <c r="G69" i="33" s="1"/>
  <c r="H69" i="33" s="1"/>
  <c r="I69" i="33" s="1"/>
  <c r="J69" i="33" s="1"/>
  <c r="K69" i="33" s="1"/>
  <c r="L69" i="33" s="1"/>
  <c r="M69" i="33" s="1"/>
  <c r="J11" i="33"/>
  <c r="S32" i="37"/>
  <c r="AA32" i="37"/>
  <c r="AC34" i="40"/>
  <c r="W34" i="40"/>
  <c r="W14" i="40"/>
  <c r="AC14" i="40"/>
  <c r="AA47" i="39"/>
  <c r="S47" i="39"/>
  <c r="U37" i="34"/>
  <c r="AB37" i="34"/>
  <c r="AA16" i="39"/>
  <c r="S16" i="39"/>
  <c r="AB11" i="36"/>
  <c r="U11" i="36"/>
  <c r="AB30" i="34"/>
  <c r="U30" i="34"/>
  <c r="U37" i="21"/>
  <c r="AB37" i="21"/>
  <c r="AB17" i="21"/>
  <c r="U17" i="21"/>
  <c r="AB11" i="37"/>
  <c r="U11" i="37"/>
  <c r="W16" i="35"/>
  <c r="AC16" i="35"/>
  <c r="W11" i="37"/>
  <c r="AC11" i="37"/>
  <c r="AZ512" i="3"/>
  <c r="W45" i="34"/>
  <c r="AC45" i="34"/>
  <c r="AC29" i="34"/>
  <c r="W29" i="34"/>
  <c r="S44" i="33"/>
  <c r="AA44" i="33"/>
  <c r="U44" i="33"/>
  <c r="AB44" i="33"/>
  <c r="AB32" i="36"/>
  <c r="U32" i="36"/>
  <c r="AA28" i="21"/>
  <c r="S28" i="21"/>
  <c r="AC44" i="34"/>
  <c r="W44" i="34"/>
  <c r="AA37" i="34"/>
  <c r="S37" i="34"/>
  <c r="U11" i="21"/>
  <c r="AB11" i="21"/>
  <c r="S11" i="21"/>
  <c r="AA11" i="21"/>
  <c r="AA26" i="21"/>
  <c r="S26" i="21"/>
  <c r="AB19" i="21"/>
  <c r="U19" i="21"/>
  <c r="AA35" i="21"/>
  <c r="S35" i="21"/>
  <c r="W34" i="21"/>
  <c r="AC34" i="21"/>
  <c r="S43" i="21"/>
  <c r="AA43" i="21"/>
  <c r="AA34" i="21"/>
  <c r="S34" i="21"/>
  <c r="BA571" i="3"/>
  <c r="AZ571" i="3" s="1"/>
  <c r="B101" i="83"/>
  <c r="B79" i="83"/>
  <c r="B69" i="83"/>
  <c r="B58" i="83"/>
  <c r="B79" i="73"/>
  <c r="B101" i="73"/>
  <c r="B69" i="73"/>
  <c r="B58" i="73"/>
  <c r="B94" i="83"/>
  <c r="B84" i="83"/>
  <c r="B94" i="73"/>
  <c r="B84" i="73"/>
  <c r="U8" i="33"/>
  <c r="AB8" i="33"/>
  <c r="H27" i="33"/>
  <c r="J27" i="33"/>
  <c r="F27" i="33"/>
  <c r="F19" i="34"/>
  <c r="H19" i="34"/>
  <c r="J19" i="34"/>
  <c r="F82" i="34"/>
  <c r="G82" i="34" s="1"/>
  <c r="F27" i="34"/>
  <c r="H27" i="34"/>
  <c r="J27" i="34"/>
  <c r="AZ562" i="3"/>
  <c r="AZ554" i="3"/>
  <c r="BL552" i="3"/>
  <c r="AZ552" i="3" s="1"/>
  <c r="AZ547" i="3"/>
  <c r="AZ546" i="3"/>
  <c r="BL544" i="3"/>
  <c r="AZ544" i="3" s="1"/>
  <c r="BL542" i="3"/>
  <c r="AZ542" i="3" s="1"/>
  <c r="G542" i="3"/>
  <c r="BL540" i="3"/>
  <c r="AZ540" i="3" s="1"/>
  <c r="BL538" i="3"/>
  <c r="AZ538" i="3" s="1"/>
  <c r="BL536" i="3"/>
  <c r="AZ536" i="3" s="1"/>
  <c r="BL530" i="3"/>
  <c r="AZ530" i="3" s="1"/>
  <c r="BL526" i="3"/>
  <c r="AZ526" i="3" s="1"/>
  <c r="BL524" i="3"/>
  <c r="AZ524" i="3" s="1"/>
  <c r="BL520" i="3"/>
  <c r="AZ520" i="3" s="1"/>
  <c r="BL518" i="3"/>
  <c r="AZ518" i="3" s="1"/>
  <c r="AZ516" i="3"/>
  <c r="BL514" i="3"/>
  <c r="AZ514" i="3" s="1"/>
  <c r="AZ498" i="3"/>
  <c r="AC5" i="3"/>
  <c r="J41" i="40"/>
  <c r="F41" i="40"/>
  <c r="AB14" i="37"/>
  <c r="J46" i="34"/>
  <c r="F46" i="34"/>
  <c r="F9" i="37"/>
  <c r="H9" i="37"/>
  <c r="AC8" i="37"/>
  <c r="AB45" i="33"/>
  <c r="AC24" i="36"/>
  <c r="J34" i="36"/>
  <c r="W24" i="35"/>
  <c r="U31" i="35"/>
  <c r="U26" i="36"/>
  <c r="W39" i="37"/>
  <c r="U30" i="37"/>
  <c r="BP5" i="3"/>
  <c r="G29" i="6" s="1"/>
  <c r="H24" i="36"/>
  <c r="F26" i="37"/>
  <c r="AC41" i="33"/>
  <c r="W41" i="33"/>
  <c r="G536" i="3"/>
  <c r="G489" i="3"/>
  <c r="AZ216" i="3"/>
  <c r="H9" i="35"/>
  <c r="J9" i="35"/>
  <c r="F9" i="35"/>
  <c r="AZ224" i="3"/>
  <c r="AZ240" i="3"/>
  <c r="F68" i="76"/>
  <c r="I24" i="83"/>
  <c r="D40" i="59"/>
  <c r="C41" i="59"/>
  <c r="D44" i="59"/>
  <c r="C45" i="59"/>
  <c r="C48" i="59"/>
  <c r="D48" i="59" s="1"/>
  <c r="D47" i="59"/>
  <c r="D59" i="59"/>
  <c r="C60" i="59"/>
  <c r="B72" i="83"/>
  <c r="B72" i="73"/>
  <c r="B50" i="83"/>
  <c r="B50" i="73"/>
  <c r="B61" i="83"/>
  <c r="B61" i="73"/>
  <c r="B73" i="83"/>
  <c r="B51" i="83"/>
  <c r="B62" i="83"/>
  <c r="B73" i="73"/>
  <c r="B62" i="73"/>
  <c r="B51" i="73"/>
  <c r="B76" i="83"/>
  <c r="B67" i="83"/>
  <c r="B99" i="83"/>
  <c r="B56" i="83"/>
  <c r="B99" i="73"/>
  <c r="B76" i="73"/>
  <c r="B67" i="73"/>
  <c r="B56" i="73"/>
  <c r="B75" i="83"/>
  <c r="B65" i="83"/>
  <c r="B54" i="83"/>
  <c r="B65" i="73"/>
  <c r="B54" i="73"/>
  <c r="B75" i="73"/>
  <c r="B83" i="83"/>
  <c r="B83" i="73"/>
  <c r="B90" i="83"/>
  <c r="B90" i="73"/>
  <c r="D32" i="59"/>
  <c r="C33" i="59"/>
  <c r="D51" i="59"/>
  <c r="C52" i="59"/>
  <c r="B100" i="83"/>
  <c r="B57" i="83"/>
  <c r="B77" i="83"/>
  <c r="B68" i="83"/>
  <c r="B100" i="73"/>
  <c r="B77" i="73"/>
  <c r="B68" i="73"/>
  <c r="B57" i="73"/>
  <c r="B88" i="83"/>
  <c r="B88" i="73"/>
  <c r="B87" i="83"/>
  <c r="B87" i="73"/>
  <c r="B57" i="46"/>
  <c r="C27" i="40"/>
  <c r="S18" i="36"/>
  <c r="B100" i="46"/>
  <c r="B88" i="46"/>
  <c r="C84" i="59"/>
  <c r="C80" i="59"/>
  <c r="C72" i="59"/>
  <c r="C68" i="59"/>
  <c r="AB27" i="59"/>
  <c r="AB3" i="59"/>
  <c r="AA29" i="59"/>
  <c r="AA27" i="59"/>
  <c r="X29" i="59"/>
  <c r="C24" i="59"/>
  <c r="T25" i="59"/>
  <c r="G25" i="69"/>
  <c r="E21" i="73"/>
  <c r="H93" i="46"/>
  <c r="H97" i="46"/>
  <c r="H101" i="46"/>
  <c r="H96" i="46"/>
  <c r="H100" i="46"/>
  <c r="E93" i="46"/>
  <c r="B91" i="46" s="1"/>
  <c r="C7" i="69"/>
  <c r="D7" i="69" s="1"/>
  <c r="C5" i="69"/>
  <c r="D5" i="69" s="1"/>
  <c r="P8" i="1"/>
  <c r="H66" i="73"/>
  <c r="G66" i="73" s="1"/>
  <c r="H62" i="73"/>
  <c r="G62" i="73" s="1"/>
  <c r="H64" i="73"/>
  <c r="G64" i="73" s="1"/>
  <c r="H65" i="73"/>
  <c r="G65" i="73" s="1"/>
  <c r="H67" i="73"/>
  <c r="G67" i="73" s="1"/>
  <c r="H68" i="73"/>
  <c r="G68" i="73" s="1"/>
  <c r="H69" i="73"/>
  <c r="G69" i="73" s="1"/>
  <c r="H61" i="73"/>
  <c r="G61" i="73" s="1"/>
  <c r="H63" i="73"/>
  <c r="G63" i="73" s="1"/>
  <c r="V3" i="70"/>
  <c r="V9" i="70"/>
  <c r="U3" i="70"/>
  <c r="T10" i="70"/>
  <c r="W10" i="70" s="1"/>
  <c r="S10" i="70"/>
  <c r="T9" i="70"/>
  <c r="W9" i="70" s="1"/>
  <c r="S11" i="70"/>
  <c r="U29" i="70"/>
  <c r="T25" i="70"/>
  <c r="W25" i="70" s="1"/>
  <c r="T29" i="70"/>
  <c r="W29" i="70" s="1"/>
  <c r="S29" i="70"/>
  <c r="R11" i="70"/>
  <c r="U11" i="70"/>
  <c r="T23" i="70"/>
  <c r="W23" i="70" s="1"/>
  <c r="U8" i="70"/>
  <c r="S6" i="70"/>
  <c r="V6" i="70"/>
  <c r="R8" i="70"/>
  <c r="T26" i="70"/>
  <c r="W26" i="70" s="1"/>
  <c r="T28" i="70"/>
  <c r="W28" i="70" s="1"/>
  <c r="T27" i="70"/>
  <c r="W27" i="70" s="1"/>
  <c r="U27" i="70"/>
  <c r="S27" i="70"/>
  <c r="AD28" i="70"/>
  <c r="T15" i="70"/>
  <c r="W15" i="70" s="1"/>
  <c r="M23" i="70"/>
  <c r="P23" i="70" s="1"/>
  <c r="H98" i="46"/>
  <c r="H99" i="46"/>
  <c r="C6" i="69"/>
  <c r="D6" i="69" s="1"/>
  <c r="D16" i="78"/>
  <c r="R24" i="68"/>
  <c r="G21" i="73"/>
  <c r="C20" i="73" s="1"/>
  <c r="E10" i="73"/>
  <c r="E8" i="73"/>
  <c r="K3" i="78"/>
  <c r="B16" i="78"/>
  <c r="B5" i="78"/>
  <c r="C24" i="46"/>
  <c r="G4" i="78" s="1"/>
  <c r="F33" i="33"/>
  <c r="H33" i="33"/>
  <c r="J33" i="33"/>
  <c r="C7" i="34"/>
  <c r="G23" i="83"/>
  <c r="G23" i="46"/>
  <c r="C7" i="33"/>
  <c r="G23" i="73"/>
  <c r="C42" i="1"/>
  <c r="C24" i="83"/>
  <c r="H12" i="78"/>
  <c r="F7" i="82"/>
  <c r="G8" i="82"/>
  <c r="E32" i="85" s="1"/>
  <c r="E39" i="85" s="1"/>
  <c r="E46" i="85" s="1"/>
  <c r="B14" i="66"/>
  <c r="B1" i="66" s="1"/>
  <c r="E13" i="82"/>
  <c r="E2" i="82"/>
  <c r="E27" i="82"/>
  <c r="I18" i="83"/>
  <c r="E17" i="83" s="1"/>
  <c r="Q32" i="83"/>
  <c r="O32" i="83"/>
  <c r="M32" i="83"/>
  <c r="E8" i="83"/>
  <c r="E10" i="83"/>
  <c r="M53" i="83"/>
  <c r="N53" i="83" s="1"/>
  <c r="K53" i="83"/>
  <c r="M54" i="83"/>
  <c r="N54" i="83" s="1"/>
  <c r="K54" i="83"/>
  <c r="J54" i="83" s="1"/>
  <c r="M58" i="83"/>
  <c r="N58" i="83" s="1"/>
  <c r="K58" i="83"/>
  <c r="J58" i="83" s="1"/>
  <c r="H50" i="83"/>
  <c r="G50" i="83" s="1"/>
  <c r="H51" i="83"/>
  <c r="G51" i="83" s="1"/>
  <c r="H52" i="83"/>
  <c r="G52" i="83" s="1"/>
  <c r="H55" i="83"/>
  <c r="G55" i="83" s="1"/>
  <c r="H56" i="83"/>
  <c r="G56" i="83" s="1"/>
  <c r="H57" i="83"/>
  <c r="G57" i="83" s="1"/>
  <c r="H69" i="83"/>
  <c r="H67" i="83"/>
  <c r="H64" i="83"/>
  <c r="H63" i="83"/>
  <c r="H61" i="83"/>
  <c r="E72" i="83"/>
  <c r="B70" i="83" s="1"/>
  <c r="H75" i="83"/>
  <c r="H77" i="83"/>
  <c r="D16" i="85"/>
  <c r="E16" i="85" s="1"/>
  <c r="F16" i="85" s="1"/>
  <c r="D25" i="85"/>
  <c r="N21" i="83"/>
  <c r="H21" i="83"/>
  <c r="J21" i="83"/>
  <c r="L21" i="83"/>
  <c r="C21" i="83"/>
  <c r="M21" i="83"/>
  <c r="K21" i="83"/>
  <c r="E21" i="83"/>
  <c r="F40" i="83"/>
  <c r="H117" i="83"/>
  <c r="H80" i="83"/>
  <c r="H79" i="83"/>
  <c r="H76" i="83"/>
  <c r="H74" i="83"/>
  <c r="H72" i="83"/>
  <c r="H90" i="83"/>
  <c r="H87" i="83"/>
  <c r="H85" i="83"/>
  <c r="H83" i="83"/>
  <c r="E3" i="85"/>
  <c r="F3" i="85" s="1"/>
  <c r="M7" i="83"/>
  <c r="C6" i="83" s="1"/>
  <c r="N7" i="83"/>
  <c r="F93" i="83" s="1"/>
  <c r="F15" i="34"/>
  <c r="H15" i="34"/>
  <c r="F9" i="34"/>
  <c r="H9" i="34"/>
  <c r="C17" i="12"/>
  <c r="C14" i="12"/>
  <c r="C18" i="12"/>
  <c r="E3" i="67"/>
  <c r="C36" i="44"/>
  <c r="C21" i="12"/>
  <c r="J22" i="44"/>
  <c r="B2" i="67"/>
  <c r="E4" i="67"/>
  <c r="C34" i="12"/>
  <c r="D33" i="12" s="1"/>
  <c r="J1" i="65"/>
  <c r="Q73" i="44"/>
  <c r="G21" i="9"/>
  <c r="J54" i="44"/>
  <c r="J58" i="44"/>
  <c r="J56" i="44" s="1"/>
  <c r="J59" i="44" s="1"/>
  <c r="Q52" i="44" s="1"/>
  <c r="I55" i="44"/>
  <c r="L57" i="44"/>
  <c r="G20" i="9"/>
  <c r="Q72" i="75"/>
  <c r="C27" i="75"/>
  <c r="L58" i="76"/>
  <c r="L59" i="76"/>
  <c r="C29" i="44"/>
  <c r="L59" i="44"/>
  <c r="L60" i="44"/>
  <c r="M9" i="44"/>
  <c r="J8" i="44" s="1"/>
  <c r="L44" i="9"/>
  <c r="L43" i="9"/>
  <c r="D22" i="9"/>
  <c r="G19" i="9"/>
  <c r="C8" i="44"/>
  <c r="F64" i="75"/>
  <c r="F48" i="76"/>
  <c r="F50" i="75"/>
  <c r="F63" i="75"/>
  <c r="J53" i="75"/>
  <c r="J57" i="75"/>
  <c r="J55" i="75" s="1"/>
  <c r="J58" i="75" s="1"/>
  <c r="Q51" i="75" s="1"/>
  <c r="L56" i="75"/>
  <c r="I54" i="75"/>
  <c r="J60" i="75"/>
  <c r="Q49" i="75" s="1"/>
  <c r="L57" i="75"/>
  <c r="J59" i="75"/>
  <c r="L60" i="75"/>
  <c r="Q72" i="76"/>
  <c r="F65" i="75"/>
  <c r="F48" i="75"/>
  <c r="L52" i="75"/>
  <c r="F67" i="75"/>
  <c r="F67" i="76"/>
  <c r="C27" i="76"/>
  <c r="J53" i="76"/>
  <c r="L56" i="76"/>
  <c r="J57" i="76"/>
  <c r="J55" i="76" s="1"/>
  <c r="J58" i="76" s="1"/>
  <c r="Q51" i="76" s="1"/>
  <c r="I54" i="76"/>
  <c r="J60" i="76"/>
  <c r="Q49" i="76" s="1"/>
  <c r="J59" i="76"/>
  <c r="L60" i="76"/>
  <c r="L57" i="76"/>
  <c r="C34" i="74"/>
  <c r="D33" i="74" s="1"/>
  <c r="C21" i="74"/>
  <c r="F65" i="76"/>
  <c r="F64" i="76"/>
  <c r="F63" i="76"/>
  <c r="C4" i="65"/>
  <c r="B39" i="1" s="1"/>
  <c r="F50" i="76"/>
  <c r="D16" i="12"/>
  <c r="D22" i="12"/>
  <c r="C18" i="44"/>
  <c r="E3" i="65"/>
  <c r="E2" i="65"/>
  <c r="C15" i="12"/>
  <c r="L46" i="75" l="1"/>
  <c r="C22" i="12"/>
  <c r="C20" i="12" s="1"/>
  <c r="C16" i="12"/>
  <c r="D19" i="12"/>
  <c r="C19" i="12" s="1"/>
  <c r="B40" i="1"/>
  <c r="L36" i="83" s="1"/>
  <c r="H23" i="34"/>
  <c r="J23" i="34"/>
  <c r="F86" i="34"/>
  <c r="G86" i="34" s="1"/>
  <c r="C65" i="59"/>
  <c r="D64" i="59"/>
  <c r="D56" i="59"/>
  <c r="C57" i="59"/>
  <c r="AC40" i="37"/>
  <c r="W40" i="37"/>
  <c r="AA45" i="34"/>
  <c r="S45" i="34"/>
  <c r="W45" i="33"/>
  <c r="AC45" i="33"/>
  <c r="AA34" i="35"/>
  <c r="S34" i="35"/>
  <c r="W9" i="21"/>
  <c r="AC9" i="21"/>
  <c r="AB30" i="33"/>
  <c r="U30" i="33"/>
  <c r="U24" i="35"/>
  <c r="AB24" i="35"/>
  <c r="W15" i="33"/>
  <c r="AC15" i="33"/>
  <c r="U11" i="35"/>
  <c r="AB11" i="35"/>
  <c r="W33" i="39"/>
  <c r="AC33" i="39"/>
  <c r="AB36" i="33"/>
  <c r="U36" i="33"/>
  <c r="W38" i="39"/>
  <c r="AC38" i="39"/>
  <c r="W36" i="33"/>
  <c r="AC36" i="33"/>
  <c r="S23" i="33"/>
  <c r="AA23" i="33"/>
  <c r="W12" i="21"/>
  <c r="AC12" i="21"/>
  <c r="AZ491" i="3"/>
  <c r="AZ497" i="3"/>
  <c r="AA24" i="36"/>
  <c r="S24" i="36"/>
  <c r="U34" i="35"/>
  <c r="AB34" i="35"/>
  <c r="AC30" i="33"/>
  <c r="W30" i="33"/>
  <c r="U45" i="21"/>
  <c r="AB45" i="21"/>
  <c r="W45" i="21"/>
  <c r="AC45" i="21"/>
  <c r="U31" i="21"/>
  <c r="AB31" i="21"/>
  <c r="S29" i="21"/>
  <c r="AA29" i="21"/>
  <c r="AC29" i="21"/>
  <c r="W29" i="21"/>
  <c r="W27" i="21"/>
  <c r="AC27" i="21"/>
  <c r="AB17" i="34"/>
  <c r="U17" i="34"/>
  <c r="F26" i="82"/>
  <c r="Q3" i="68"/>
  <c r="M10" i="68" s="1"/>
  <c r="R3" i="68"/>
  <c r="G19" i="46"/>
  <c r="C17" i="46" s="1"/>
  <c r="G17" i="46"/>
  <c r="C17" i="73"/>
  <c r="D5" i="73" s="1"/>
  <c r="AZ527" i="3"/>
  <c r="AZ531" i="3"/>
  <c r="AZ543" i="3"/>
  <c r="AZ545" i="3"/>
  <c r="S36" i="33"/>
  <c r="AA36" i="33"/>
  <c r="AB40" i="37"/>
  <c r="U40" i="37"/>
  <c r="AA12" i="35"/>
  <c r="S12" i="35"/>
  <c r="AA9" i="21"/>
  <c r="S9" i="21"/>
  <c r="S24" i="35"/>
  <c r="AA24" i="35"/>
  <c r="W13" i="33"/>
  <c r="AC13" i="33"/>
  <c r="AC16" i="39"/>
  <c r="W16" i="39"/>
  <c r="AC33" i="40"/>
  <c r="W33" i="40"/>
  <c r="W25" i="33"/>
  <c r="AC25" i="33"/>
  <c r="AC12" i="36"/>
  <c r="W12" i="36"/>
  <c r="D55" i="46"/>
  <c r="J55" i="46"/>
  <c r="E71" i="39"/>
  <c r="F69" i="39"/>
  <c r="G64" i="40"/>
  <c r="F66" i="40"/>
  <c r="W34" i="35"/>
  <c r="AC34" i="35"/>
  <c r="AA30" i="33"/>
  <c r="S30" i="33"/>
  <c r="AA45" i="21"/>
  <c r="S45" i="21"/>
  <c r="AA31" i="21"/>
  <c r="S31" i="21"/>
  <c r="W31" i="21"/>
  <c r="AC31" i="21"/>
  <c r="U29" i="21"/>
  <c r="AB29" i="21"/>
  <c r="S27" i="21"/>
  <c r="AA27" i="21"/>
  <c r="U27" i="21"/>
  <c r="AB27" i="21"/>
  <c r="AB7" i="37"/>
  <c r="T42" i="37" s="1"/>
  <c r="G42" i="37" s="1"/>
  <c r="G46" i="37" s="1"/>
  <c r="H46" i="37" s="1"/>
  <c r="U7" i="37"/>
  <c r="H94" i="83"/>
  <c r="G94" i="83" s="1"/>
  <c r="H100" i="83"/>
  <c r="G100" i="83" s="1"/>
  <c r="H101" i="83"/>
  <c r="G101" i="83" s="1"/>
  <c r="H96" i="83"/>
  <c r="G96" i="83" s="1"/>
  <c r="H98" i="83"/>
  <c r="G98" i="83" s="1"/>
  <c r="H93" i="83"/>
  <c r="G93" i="83" s="1"/>
  <c r="H95" i="83"/>
  <c r="G95" i="83" s="1"/>
  <c r="H97" i="83"/>
  <c r="G97" i="83" s="1"/>
  <c r="H99" i="83"/>
  <c r="G99" i="83" s="1"/>
  <c r="AA9" i="34"/>
  <c r="S9" i="34"/>
  <c r="AA15" i="34"/>
  <c r="S15" i="34"/>
  <c r="M56" i="83"/>
  <c r="N56" i="83" s="1"/>
  <c r="K56" i="83"/>
  <c r="J56" i="83" s="1"/>
  <c r="M52" i="83"/>
  <c r="N52" i="83" s="1"/>
  <c r="K52" i="83"/>
  <c r="M50" i="83"/>
  <c r="N50" i="83" s="1"/>
  <c r="K50" i="83"/>
  <c r="J50" i="83" s="1"/>
  <c r="D53" i="83"/>
  <c r="J53" i="83"/>
  <c r="C8" i="66"/>
  <c r="C6" i="66"/>
  <c r="C7" i="66"/>
  <c r="C34" i="34"/>
  <c r="F2" i="82"/>
  <c r="I7" i="6" s="1"/>
  <c r="I13" i="3"/>
  <c r="G7" i="82"/>
  <c r="H7" i="82" s="1"/>
  <c r="C28" i="76"/>
  <c r="C30" i="44"/>
  <c r="C95" i="9"/>
  <c r="C92" i="9" s="1"/>
  <c r="E7" i="33"/>
  <c r="C58" i="33"/>
  <c r="D58" i="33" s="1"/>
  <c r="E58" i="33" s="1"/>
  <c r="F58" i="33" s="1"/>
  <c r="G58" i="33" s="1"/>
  <c r="H58" i="33" s="1"/>
  <c r="I58" i="33" s="1"/>
  <c r="J58" i="33" s="1"/>
  <c r="K58" i="33" s="1"/>
  <c r="L58" i="33" s="1"/>
  <c r="M58" i="33" s="1"/>
  <c r="N58" i="33" s="1"/>
  <c r="O58" i="33" s="1"/>
  <c r="G7" i="33"/>
  <c r="I7" i="33"/>
  <c r="J7" i="33" s="1"/>
  <c r="C23" i="83"/>
  <c r="P28" i="83"/>
  <c r="P27" i="83"/>
  <c r="P26" i="83"/>
  <c r="O23" i="83"/>
  <c r="P29" i="83"/>
  <c r="P25" i="83"/>
  <c r="AC33" i="33"/>
  <c r="W33" i="33"/>
  <c r="AA33" i="33"/>
  <c r="S33" i="33"/>
  <c r="J16" i="78"/>
  <c r="B24" i="78"/>
  <c r="C24" i="78" s="1"/>
  <c r="C28" i="75"/>
  <c r="M61" i="73"/>
  <c r="N61" i="73" s="1"/>
  <c r="K61" i="73"/>
  <c r="J61" i="73" s="1"/>
  <c r="M68" i="73"/>
  <c r="N68" i="73" s="1"/>
  <c r="K68" i="73"/>
  <c r="J68" i="73" s="1"/>
  <c r="M65" i="73"/>
  <c r="N65" i="73" s="1"/>
  <c r="K65" i="73"/>
  <c r="J65" i="73" s="1"/>
  <c r="M62" i="73"/>
  <c r="N62" i="73" s="1"/>
  <c r="K62" i="73"/>
  <c r="D72" i="59"/>
  <c r="C71" i="59"/>
  <c r="D71" i="59" s="1"/>
  <c r="D84" i="59"/>
  <c r="C83" i="59"/>
  <c r="D83" i="59" s="1"/>
  <c r="D52" i="59"/>
  <c r="C53" i="59"/>
  <c r="T33" i="59"/>
  <c r="D33" i="59"/>
  <c r="W9" i="35"/>
  <c r="AC9" i="35"/>
  <c r="AB24" i="36"/>
  <c r="U24" i="36"/>
  <c r="E29" i="6"/>
  <c r="G30" i="6"/>
  <c r="G31" i="6" s="1"/>
  <c r="W34" i="36"/>
  <c r="AC34" i="36"/>
  <c r="AB9" i="37"/>
  <c r="U9" i="37"/>
  <c r="AA46" i="34"/>
  <c r="S46" i="34"/>
  <c r="W41" i="40"/>
  <c r="AC41" i="40"/>
  <c r="AB27" i="34"/>
  <c r="U27" i="34"/>
  <c r="AB19" i="34"/>
  <c r="U19" i="34"/>
  <c r="AC27" i="33"/>
  <c r="W27" i="33"/>
  <c r="W11" i="33"/>
  <c r="AC11" i="33"/>
  <c r="AA15" i="33"/>
  <c r="S15" i="33"/>
  <c r="AC44" i="21"/>
  <c r="W44" i="21"/>
  <c r="AC13" i="21"/>
  <c r="W13" i="21"/>
  <c r="AB37" i="33"/>
  <c r="U37" i="33"/>
  <c r="AA37" i="33"/>
  <c r="S37" i="33"/>
  <c r="AB25" i="33"/>
  <c r="U25" i="33"/>
  <c r="AC7" i="37"/>
  <c r="V42" i="37" s="1"/>
  <c r="I42" i="37" s="1"/>
  <c r="W7" i="37"/>
  <c r="J52" i="46"/>
  <c r="D52" i="46"/>
  <c r="K34" i="9"/>
  <c r="D51" i="46"/>
  <c r="E50" i="46" s="1"/>
  <c r="B48" i="46" s="1"/>
  <c r="C28" i="46" s="1"/>
  <c r="I4" i="78" s="1"/>
  <c r="J51" i="46"/>
  <c r="F16" i="59"/>
  <c r="F15" i="59" s="1"/>
  <c r="F14" i="59" s="1"/>
  <c r="F13" i="59" s="1"/>
  <c r="V17" i="59"/>
  <c r="O14" i="1"/>
  <c r="P14" i="1" s="1"/>
  <c r="AB9" i="34"/>
  <c r="U9" i="34"/>
  <c r="AB15" i="34"/>
  <c r="U15" i="34"/>
  <c r="G21" i="83"/>
  <c r="C20" i="83" s="1"/>
  <c r="E5" i="83" s="1"/>
  <c r="M57" i="83"/>
  <c r="N57" i="83" s="1"/>
  <c r="K57" i="83"/>
  <c r="J57" i="83" s="1"/>
  <c r="M55" i="83"/>
  <c r="N55" i="83" s="1"/>
  <c r="K55" i="83"/>
  <c r="M51" i="83"/>
  <c r="N51" i="83" s="1"/>
  <c r="K51" i="83"/>
  <c r="C7" i="83"/>
  <c r="C23" i="73"/>
  <c r="F5" i="78" s="1"/>
  <c r="P25" i="73"/>
  <c r="P29" i="73"/>
  <c r="O23" i="73"/>
  <c r="P26" i="73"/>
  <c r="P28" i="73"/>
  <c r="P27" i="73"/>
  <c r="C23" i="46"/>
  <c r="O23" i="46"/>
  <c r="A1" i="70"/>
  <c r="P28" i="46"/>
  <c r="B67" i="40" s="1"/>
  <c r="P27" i="46"/>
  <c r="P26" i="46"/>
  <c r="P29" i="46"/>
  <c r="B72" i="39" s="1"/>
  <c r="P25" i="46"/>
  <c r="G7" i="34"/>
  <c r="I7" i="34"/>
  <c r="E7" i="34"/>
  <c r="C59" i="34"/>
  <c r="D59" i="34" s="1"/>
  <c r="E59" i="34" s="1"/>
  <c r="F59" i="34" s="1"/>
  <c r="G59" i="34" s="1"/>
  <c r="H59" i="34" s="1"/>
  <c r="I59" i="34" s="1"/>
  <c r="J59" i="34" s="1"/>
  <c r="K59" i="34" s="1"/>
  <c r="L59" i="34" s="1"/>
  <c r="M59" i="34" s="1"/>
  <c r="N59" i="34" s="1"/>
  <c r="O59" i="34" s="1"/>
  <c r="AB33" i="33"/>
  <c r="U33" i="33"/>
  <c r="C7" i="73"/>
  <c r="C5" i="78" s="1"/>
  <c r="E5" i="73"/>
  <c r="C5" i="73"/>
  <c r="D5" i="78"/>
  <c r="D24" i="78"/>
  <c r="E24" i="78" s="1"/>
  <c r="M63" i="73"/>
  <c r="N63" i="73" s="1"/>
  <c r="K63" i="73"/>
  <c r="M69" i="73"/>
  <c r="N69" i="73" s="1"/>
  <c r="K69" i="73"/>
  <c r="J69" i="73" s="1"/>
  <c r="M67" i="73"/>
  <c r="N67" i="73" s="1"/>
  <c r="K67" i="73"/>
  <c r="J67" i="73" s="1"/>
  <c r="M64" i="73"/>
  <c r="N64" i="73" s="1"/>
  <c r="K64" i="73"/>
  <c r="K66" i="73"/>
  <c r="M66" i="73"/>
  <c r="N66" i="73" s="1"/>
  <c r="D24" i="59"/>
  <c r="C23" i="59"/>
  <c r="O68" i="59"/>
  <c r="C67" i="59"/>
  <c r="D68" i="59"/>
  <c r="C79" i="59"/>
  <c r="D79" i="59" s="1"/>
  <c r="D80" i="59"/>
  <c r="D60" i="59"/>
  <c r="C61" i="59"/>
  <c r="T45" i="59"/>
  <c r="D45" i="59"/>
  <c r="M23" i="46"/>
  <c r="T41" i="59"/>
  <c r="D41" i="59"/>
  <c r="M23" i="73" s="1"/>
  <c r="AA9" i="35"/>
  <c r="S9" i="35"/>
  <c r="AB9" i="35"/>
  <c r="U9" i="35"/>
  <c r="AA26" i="37"/>
  <c r="S26" i="37"/>
  <c r="AA9" i="37"/>
  <c r="S9" i="37"/>
  <c r="AC46" i="34"/>
  <c r="W46" i="34"/>
  <c r="AA41" i="40"/>
  <c r="S41" i="40"/>
  <c r="AC27" i="34"/>
  <c r="W27" i="34"/>
  <c r="AA27" i="34"/>
  <c r="S27" i="34"/>
  <c r="AC19" i="34"/>
  <c r="W19" i="34"/>
  <c r="AA19" i="34"/>
  <c r="S19" i="34"/>
  <c r="S27" i="33"/>
  <c r="AA27" i="33"/>
  <c r="AB27" i="33"/>
  <c r="U27" i="33"/>
  <c r="AB44" i="21"/>
  <c r="U44" i="21"/>
  <c r="S13" i="21"/>
  <c r="AA13" i="21"/>
  <c r="AB13" i="21"/>
  <c r="U13" i="21"/>
  <c r="S7" i="21"/>
  <c r="AA7" i="21"/>
  <c r="R48" i="21" s="1"/>
  <c r="S7" i="37"/>
  <c r="AA7" i="37"/>
  <c r="R42" i="37" s="1"/>
  <c r="BL5" i="3"/>
  <c r="E46" i="36"/>
  <c r="S13" i="59"/>
  <c r="B12" i="59"/>
  <c r="B11" i="59" s="1"/>
  <c r="B10" i="59" s="1"/>
  <c r="B9" i="59" s="1"/>
  <c r="E48" i="35"/>
  <c r="E12" i="59"/>
  <c r="E11" i="59" s="1"/>
  <c r="E10" i="59" s="1"/>
  <c r="E9" i="59" s="1"/>
  <c r="U13" i="59"/>
  <c r="J60" i="44"/>
  <c r="J61" i="44" s="1"/>
  <c r="L47" i="44" s="1"/>
  <c r="F17" i="11"/>
  <c r="C17" i="11" s="1"/>
  <c r="C19" i="11" s="1"/>
  <c r="J20" i="44"/>
  <c r="J21" i="44"/>
  <c r="F1" i="76"/>
  <c r="Q53" i="76"/>
  <c r="F24" i="75"/>
  <c r="C24" i="75" s="1"/>
  <c r="N43" i="9"/>
  <c r="C32" i="9"/>
  <c r="Q63" i="44"/>
  <c r="Q76" i="44"/>
  <c r="Q74" i="76"/>
  <c r="Q61" i="76"/>
  <c r="Q58" i="76"/>
  <c r="Q67" i="76"/>
  <c r="F11" i="76"/>
  <c r="C52" i="76" s="1"/>
  <c r="F11" i="75"/>
  <c r="C52" i="75" s="1"/>
  <c r="F13" i="44"/>
  <c r="C12" i="44" s="1"/>
  <c r="C7" i="44" s="1"/>
  <c r="M11" i="76"/>
  <c r="J10" i="76" s="1"/>
  <c r="M11" i="75"/>
  <c r="J10" i="75" s="1"/>
  <c r="M13" i="44"/>
  <c r="J12" i="44" s="1"/>
  <c r="J7" i="44" s="1"/>
  <c r="L46" i="76"/>
  <c r="L59" i="75"/>
  <c r="Q60" i="75"/>
  <c r="Q73" i="75"/>
  <c r="L58" i="75"/>
  <c r="Q67" i="75"/>
  <c r="Q58" i="75"/>
  <c r="Q53" i="75"/>
  <c r="F1" i="75"/>
  <c r="C34" i="44"/>
  <c r="C35" i="44"/>
  <c r="Q62" i="44"/>
  <c r="Q75" i="44"/>
  <c r="Q62" i="76"/>
  <c r="Q75" i="76"/>
  <c r="Q54" i="44"/>
  <c r="F1" i="44"/>
  <c r="B3" i="67"/>
  <c r="B4" i="67"/>
  <c r="AE7" i="1"/>
  <c r="AE6" i="1"/>
  <c r="F26" i="12" l="1"/>
  <c r="C27" i="12" s="1"/>
  <c r="D26" i="12" s="1"/>
  <c r="C32" i="12" s="1"/>
  <c r="D30" i="12" s="1"/>
  <c r="C23" i="12"/>
  <c r="L36" i="73"/>
  <c r="Q36" i="73" s="1"/>
  <c r="F24" i="76"/>
  <c r="C24" i="76" s="1"/>
  <c r="F26" i="44"/>
  <c r="C26" i="44" s="1"/>
  <c r="F20" i="43"/>
  <c r="D20" i="43" s="1"/>
  <c r="L36" i="46"/>
  <c r="P36" i="46" s="1"/>
  <c r="F26" i="74"/>
  <c r="C27" i="74" s="1"/>
  <c r="D26" i="74" s="1"/>
  <c r="C32" i="74" s="1"/>
  <c r="D30" i="74" s="1"/>
  <c r="H64" i="40"/>
  <c r="G66" i="40"/>
  <c r="G26" i="82"/>
  <c r="H26" i="82" s="1"/>
  <c r="F12" i="82"/>
  <c r="G12" i="82" s="1"/>
  <c r="F27" i="82"/>
  <c r="T65" i="59"/>
  <c r="D65" i="59"/>
  <c r="AC23" i="34"/>
  <c r="W23" i="34"/>
  <c r="F7" i="34"/>
  <c r="H7" i="34"/>
  <c r="H7" i="33"/>
  <c r="F7" i="33"/>
  <c r="G69" i="39"/>
  <c r="F71" i="39"/>
  <c r="D5" i="46"/>
  <c r="C4" i="78"/>
  <c r="C5" i="46"/>
  <c r="R10" i="68"/>
  <c r="R14" i="68" s="1"/>
  <c r="M14" i="68"/>
  <c r="N14" i="68" s="1"/>
  <c r="T57" i="59"/>
  <c r="D57" i="59"/>
  <c r="AB23" i="34"/>
  <c r="U23" i="34"/>
  <c r="Q50" i="44"/>
  <c r="B8" i="59"/>
  <c r="B7" i="59" s="1"/>
  <c r="B6" i="59" s="1"/>
  <c r="B5" i="59" s="1"/>
  <c r="S9" i="59"/>
  <c r="R43" i="37"/>
  <c r="E42" i="37"/>
  <c r="AA7" i="34"/>
  <c r="S7" i="34"/>
  <c r="F12" i="59"/>
  <c r="F11" i="59" s="1"/>
  <c r="F10" i="59" s="1"/>
  <c r="F9" i="59" s="1"/>
  <c r="V13" i="59"/>
  <c r="AC7" i="33"/>
  <c r="V48" i="33" s="1"/>
  <c r="I48" i="33" s="1"/>
  <c r="W7" i="33"/>
  <c r="BB13" i="3"/>
  <c r="H13" i="3"/>
  <c r="F19" i="6"/>
  <c r="E19" i="6" s="1"/>
  <c r="I5" i="3"/>
  <c r="F34" i="34"/>
  <c r="H34" i="34"/>
  <c r="J34" i="34"/>
  <c r="J52" i="83"/>
  <c r="D52" i="83"/>
  <c r="C5" i="83"/>
  <c r="D5" i="83"/>
  <c r="K97" i="83"/>
  <c r="M97" i="83"/>
  <c r="N97" i="83" s="1"/>
  <c r="M93" i="83"/>
  <c r="N93" i="83" s="1"/>
  <c r="K93" i="83"/>
  <c r="J93" i="83" s="1"/>
  <c r="K96" i="83"/>
  <c r="M96" i="83"/>
  <c r="N96" i="83" s="1"/>
  <c r="K100" i="83"/>
  <c r="M100" i="83"/>
  <c r="N100" i="83" s="1"/>
  <c r="F46" i="36"/>
  <c r="R49" i="21"/>
  <c r="E48" i="21"/>
  <c r="T61" i="59"/>
  <c r="D61" i="59"/>
  <c r="J66" i="73"/>
  <c r="D66" i="73"/>
  <c r="AB7" i="34"/>
  <c r="U7" i="34"/>
  <c r="U9" i="59"/>
  <c r="E8" i="59"/>
  <c r="E7" i="59" s="1"/>
  <c r="E6" i="59" s="1"/>
  <c r="E5" i="59" s="1"/>
  <c r="U5" i="59" s="1"/>
  <c r="F48" i="35"/>
  <c r="O67" i="59"/>
  <c r="O66" i="59"/>
  <c r="D67" i="59"/>
  <c r="D23" i="59"/>
  <c r="C22" i="59"/>
  <c r="J64" i="73"/>
  <c r="D64" i="73"/>
  <c r="D63" i="73"/>
  <c r="J63" i="73"/>
  <c r="J7" i="34"/>
  <c r="F4" i="78"/>
  <c r="C41" i="46"/>
  <c r="C42" i="46"/>
  <c r="C37" i="46"/>
  <c r="C40" i="46"/>
  <c r="C38" i="46"/>
  <c r="C39" i="46"/>
  <c r="J51" i="83"/>
  <c r="D51" i="83"/>
  <c r="E50" i="83" s="1"/>
  <c r="B48" i="83" s="1"/>
  <c r="J55" i="83"/>
  <c r="D55" i="83"/>
  <c r="T8" i="46"/>
  <c r="V8" i="46" s="1"/>
  <c r="T5" i="46"/>
  <c r="V5" i="46" s="1"/>
  <c r="T4" i="46"/>
  <c r="V4" i="46" s="1"/>
  <c r="T9" i="46"/>
  <c r="V9" i="46" s="1"/>
  <c r="T3" i="46"/>
  <c r="V3" i="46" s="1"/>
  <c r="T11" i="46"/>
  <c r="V11" i="46" s="1"/>
  <c r="T13" i="46"/>
  <c r="V13" i="46" s="1"/>
  <c r="I47" i="37"/>
  <c r="J47" i="37" s="1"/>
  <c r="I46" i="37"/>
  <c r="J46" i="37" s="1"/>
  <c r="G47" i="37"/>
  <c r="H47" i="37" s="1"/>
  <c r="K15" i="1"/>
  <c r="E30" i="6"/>
  <c r="T53" i="59"/>
  <c r="D53" i="59"/>
  <c r="D62" i="73"/>
  <c r="E61" i="73" s="1"/>
  <c r="B59" i="73" s="1"/>
  <c r="C28" i="73" s="1"/>
  <c r="C40" i="73" s="1"/>
  <c r="J62" i="73"/>
  <c r="K16" i="78"/>
  <c r="L16" i="78" s="1"/>
  <c r="I16" i="78"/>
  <c r="AB7" i="33"/>
  <c r="T48" i="33" s="1"/>
  <c r="G48" i="33" s="1"/>
  <c r="U7" i="33"/>
  <c r="AA7" i="33"/>
  <c r="R48" i="33" s="1"/>
  <c r="S7" i="33"/>
  <c r="C11" i="34"/>
  <c r="G3" i="83"/>
  <c r="G3" i="73"/>
  <c r="G3" i="46"/>
  <c r="M99" i="83"/>
  <c r="N99" i="83" s="1"/>
  <c r="K99" i="83"/>
  <c r="J99" i="83" s="1"/>
  <c r="K95" i="83"/>
  <c r="M95" i="83"/>
  <c r="N95" i="83" s="1"/>
  <c r="K98" i="83"/>
  <c r="M98" i="83"/>
  <c r="N98" i="83" s="1"/>
  <c r="M101" i="83"/>
  <c r="N101" i="83" s="1"/>
  <c r="K101" i="83"/>
  <c r="K94" i="83"/>
  <c r="J94" i="83" s="1"/>
  <c r="D94" i="83" s="1"/>
  <c r="M94" i="83"/>
  <c r="N94" i="83" s="1"/>
  <c r="J19" i="44"/>
  <c r="C33" i="44"/>
  <c r="J26" i="44"/>
  <c r="J28" i="44"/>
  <c r="C40" i="44"/>
  <c r="Q74" i="75"/>
  <c r="Q61" i="75"/>
  <c r="O36" i="46"/>
  <c r="Q75" i="75"/>
  <c r="Q62" i="75"/>
  <c r="O43" i="9"/>
  <c r="O38" i="9"/>
  <c r="C42" i="9"/>
  <c r="P36" i="73"/>
  <c r="C20" i="11"/>
  <c r="C21" i="11" s="1"/>
  <c r="P36" i="83"/>
  <c r="N36" i="83"/>
  <c r="L37" i="83"/>
  <c r="Q36" i="83"/>
  <c r="O36" i="83"/>
  <c r="M36" i="83"/>
  <c r="F41" i="75"/>
  <c r="F46" i="44"/>
  <c r="L37" i="73" l="1"/>
  <c r="N37" i="73" s="1"/>
  <c r="M36" i="73"/>
  <c r="M36" i="46"/>
  <c r="O36" i="73"/>
  <c r="N36" i="73"/>
  <c r="N36" i="46"/>
  <c r="Q36" i="46"/>
  <c r="L37" i="46"/>
  <c r="O37" i="46" s="1"/>
  <c r="T12" i="46"/>
  <c r="V12" i="46" s="1"/>
  <c r="T2" i="46"/>
  <c r="V2" i="46" s="1"/>
  <c r="T6" i="46"/>
  <c r="V6" i="46" s="1"/>
  <c r="T15" i="46"/>
  <c r="V15" i="46" s="1"/>
  <c r="T14" i="46"/>
  <c r="V14" i="46" s="1"/>
  <c r="T10" i="46"/>
  <c r="V10" i="46" s="1"/>
  <c r="T7" i="46"/>
  <c r="V7" i="46" s="1"/>
  <c r="T16" i="46"/>
  <c r="V16" i="46" s="1"/>
  <c r="H69" i="39"/>
  <c r="G71" i="39"/>
  <c r="R19" i="68"/>
  <c r="R5" i="68" s="1"/>
  <c r="R25" i="68"/>
  <c r="G27" i="82"/>
  <c r="H27" i="82" s="1"/>
  <c r="F13" i="82"/>
  <c r="G13" i="82" s="1"/>
  <c r="H13" i="82" s="1"/>
  <c r="I64" i="40"/>
  <c r="H66" i="40"/>
  <c r="F68" i="75"/>
  <c r="D101" i="83"/>
  <c r="J101" i="83"/>
  <c r="Z7" i="73"/>
  <c r="F26" i="73"/>
  <c r="E26" i="73"/>
  <c r="J26" i="73"/>
  <c r="G26" i="73"/>
  <c r="B117" i="73"/>
  <c r="H26" i="73"/>
  <c r="H11" i="34"/>
  <c r="J11" i="34"/>
  <c r="F11" i="34"/>
  <c r="R49" i="33"/>
  <c r="E48" i="33"/>
  <c r="G52" i="33"/>
  <c r="H52" i="33" s="1"/>
  <c r="G53" i="33"/>
  <c r="H53" i="33" s="1"/>
  <c r="E40" i="73"/>
  <c r="G40" i="73"/>
  <c r="I40" i="73" s="1"/>
  <c r="I5" i="78"/>
  <c r="C37" i="73"/>
  <c r="C38" i="73"/>
  <c r="E39" i="46"/>
  <c r="G39" i="46"/>
  <c r="I39" i="46" s="1"/>
  <c r="G40" i="46"/>
  <c r="I40" i="46" s="1"/>
  <c r="E40" i="46"/>
  <c r="E42" i="46"/>
  <c r="G42" i="46"/>
  <c r="I42" i="46" s="1"/>
  <c r="T11" i="73"/>
  <c r="V11" i="73" s="1"/>
  <c r="T14" i="73"/>
  <c r="V14" i="73" s="1"/>
  <c r="T6" i="73"/>
  <c r="V6" i="73" s="1"/>
  <c r="T7" i="73"/>
  <c r="V7" i="73" s="1"/>
  <c r="T15" i="73"/>
  <c r="V15" i="73" s="1"/>
  <c r="T2" i="73"/>
  <c r="V2" i="73" s="1"/>
  <c r="T5" i="73"/>
  <c r="V5" i="73" s="1"/>
  <c r="T3" i="73"/>
  <c r="V3" i="73" s="1"/>
  <c r="C21" i="59"/>
  <c r="D22" i="59"/>
  <c r="C41" i="73"/>
  <c r="E53" i="21"/>
  <c r="F53" i="21" s="1"/>
  <c r="E52" i="21"/>
  <c r="F52" i="21" s="1"/>
  <c r="I53" i="21"/>
  <c r="J53" i="21" s="1"/>
  <c r="AC34" i="34"/>
  <c r="W34" i="34"/>
  <c r="AA34" i="34"/>
  <c r="S34" i="34"/>
  <c r="D33" i="83"/>
  <c r="D1" i="83" s="1"/>
  <c r="C9" i="74"/>
  <c r="C9" i="43"/>
  <c r="D3" i="34"/>
  <c r="K6" i="1"/>
  <c r="BA13" i="3"/>
  <c r="BB5" i="3"/>
  <c r="I52" i="33"/>
  <c r="J52" i="33" s="1"/>
  <c r="I53" i="33"/>
  <c r="J53" i="33" s="1"/>
  <c r="V9" i="59"/>
  <c r="F8" i="59"/>
  <c r="F7" i="59" s="1"/>
  <c r="F6" i="59" s="1"/>
  <c r="F5" i="59" s="1"/>
  <c r="V5" i="59" s="1"/>
  <c r="C43" i="37"/>
  <c r="B3" i="37" s="1"/>
  <c r="B2" i="37" s="1"/>
  <c r="C42" i="37"/>
  <c r="S5" i="59"/>
  <c r="J31" i="44"/>
  <c r="Q49" i="44" s="1"/>
  <c r="Q55" i="44" s="1"/>
  <c r="D98" i="83"/>
  <c r="J98" i="83"/>
  <c r="D95" i="83"/>
  <c r="J95" i="83"/>
  <c r="Z7" i="46"/>
  <c r="J26" i="46"/>
  <c r="G26" i="46"/>
  <c r="H26" i="46"/>
  <c r="B117" i="46"/>
  <c r="F26" i="46"/>
  <c r="E26" i="46"/>
  <c r="G26" i="83"/>
  <c r="H26" i="83"/>
  <c r="C25" i="83" s="1"/>
  <c r="E26" i="83"/>
  <c r="B117" i="83"/>
  <c r="F26" i="83"/>
  <c r="J26" i="83"/>
  <c r="Z7" i="83"/>
  <c r="C39" i="73"/>
  <c r="E38" i="46"/>
  <c r="G38" i="46"/>
  <c r="I38" i="46" s="1"/>
  <c r="E37" i="46"/>
  <c r="G37" i="46"/>
  <c r="I37" i="46" s="1"/>
  <c r="G41" i="46"/>
  <c r="I41" i="46" s="1"/>
  <c r="E41" i="46"/>
  <c r="AC7" i="34"/>
  <c r="W7" i="34"/>
  <c r="T16" i="73"/>
  <c r="V16" i="73" s="1"/>
  <c r="T9" i="73"/>
  <c r="V9" i="73" s="1"/>
  <c r="T4" i="73"/>
  <c r="V4" i="73" s="1"/>
  <c r="T12" i="73"/>
  <c r="V12" i="73" s="1"/>
  <c r="T8" i="73"/>
  <c r="V8" i="73" s="1"/>
  <c r="T10" i="73"/>
  <c r="V10" i="73" s="1"/>
  <c r="T13" i="73"/>
  <c r="V13" i="73" s="1"/>
  <c r="G48" i="35"/>
  <c r="H48" i="35" s="1"/>
  <c r="I48" i="35" s="1"/>
  <c r="J48" i="35" s="1"/>
  <c r="K48" i="35" s="1"/>
  <c r="L48" i="35" s="1"/>
  <c r="M48" i="35" s="1"/>
  <c r="N48" i="35" s="1"/>
  <c r="O48" i="35" s="1"/>
  <c r="J7" i="35"/>
  <c r="H7" i="35"/>
  <c r="C42" i="73"/>
  <c r="C48" i="21"/>
  <c r="C49" i="21"/>
  <c r="B3" i="21" s="1"/>
  <c r="B2" i="21" s="1"/>
  <c r="G46" i="36"/>
  <c r="D100" i="83"/>
  <c r="J100" i="83"/>
  <c r="D96" i="83"/>
  <c r="J96" i="83"/>
  <c r="D97" i="83"/>
  <c r="J97" i="83"/>
  <c r="AB34" i="34"/>
  <c r="U34" i="34"/>
  <c r="I4" i="6"/>
  <c r="G13" i="3"/>
  <c r="H5" i="3"/>
  <c r="E47" i="37"/>
  <c r="F47" i="37" s="1"/>
  <c r="E46" i="37"/>
  <c r="F46" i="37" s="1"/>
  <c r="N68" i="9"/>
  <c r="D63" i="9"/>
  <c r="R5" i="54"/>
  <c r="B48" i="63" s="1"/>
  <c r="K26" i="9"/>
  <c r="K25" i="9"/>
  <c r="Q37" i="83"/>
  <c r="O37" i="83"/>
  <c r="M37" i="83"/>
  <c r="P37" i="83"/>
  <c r="N37" i="83"/>
  <c r="F43" i="75"/>
  <c r="F7" i="76"/>
  <c r="M29" i="76"/>
  <c r="M29" i="75"/>
  <c r="F7" i="75"/>
  <c r="F43" i="76"/>
  <c r="P37" i="46" l="1"/>
  <c r="M37" i="73"/>
  <c r="O37" i="73"/>
  <c r="Q37" i="73"/>
  <c r="P37" i="73"/>
  <c r="M37" i="46"/>
  <c r="N37" i="46"/>
  <c r="Q37" i="46"/>
  <c r="E93" i="83"/>
  <c r="B91" i="83" s="1"/>
  <c r="C28" i="83" s="1"/>
  <c r="T12" i="83" s="1"/>
  <c r="V12" i="83" s="1"/>
  <c r="J64" i="40"/>
  <c r="I66" i="40"/>
  <c r="D6" i="68"/>
  <c r="U5" i="68"/>
  <c r="H71" i="39"/>
  <c r="I69" i="39"/>
  <c r="Q58" i="44"/>
  <c r="Q67" i="44"/>
  <c r="F70" i="75"/>
  <c r="F70" i="76"/>
  <c r="M7" i="75"/>
  <c r="J6" i="75" s="1"/>
  <c r="F49" i="75"/>
  <c r="C48" i="75" s="1"/>
  <c r="F49" i="76"/>
  <c r="C48" i="76" s="1"/>
  <c r="M7" i="76"/>
  <c r="J6" i="76" s="1"/>
  <c r="G42" i="73"/>
  <c r="I42" i="73" s="1"/>
  <c r="E42" i="73"/>
  <c r="AC7" i="35"/>
  <c r="V38" i="35" s="1"/>
  <c r="I38" i="35" s="1"/>
  <c r="W7" i="35"/>
  <c r="BA5" i="3"/>
  <c r="E27" i="6" s="1"/>
  <c r="AZ13" i="3"/>
  <c r="AZ5" i="3" s="1"/>
  <c r="G38" i="73"/>
  <c r="I38" i="73" s="1"/>
  <c r="E38" i="73"/>
  <c r="C48" i="33"/>
  <c r="C49" i="33"/>
  <c r="B3" i="33" s="1"/>
  <c r="B2" i="33" s="1"/>
  <c r="AC11" i="34"/>
  <c r="W11" i="34"/>
  <c r="V49" i="34"/>
  <c r="I49" i="34" s="1"/>
  <c r="D26" i="83"/>
  <c r="N13" i="85" s="1"/>
  <c r="P13" i="85" s="1"/>
  <c r="P15" i="85" s="1"/>
  <c r="G5" i="3"/>
  <c r="B3" i="3" s="1"/>
  <c r="E13" i="3" s="1"/>
  <c r="H46" i="36"/>
  <c r="U7" i="35"/>
  <c r="AB7" i="35"/>
  <c r="T38" i="35" s="1"/>
  <c r="G38" i="35" s="1"/>
  <c r="G39" i="73"/>
  <c r="I39" i="73" s="1"/>
  <c r="E39" i="73"/>
  <c r="I123" i="83"/>
  <c r="J123" i="83" s="1"/>
  <c r="K123" i="83" s="1"/>
  <c r="L123" i="83" s="1"/>
  <c r="M123" i="83" s="1"/>
  <c r="B123" i="83"/>
  <c r="C123" i="83" s="1"/>
  <c r="I122" i="83"/>
  <c r="J122" i="83" s="1"/>
  <c r="K122" i="83" s="1"/>
  <c r="L122" i="83" s="1"/>
  <c r="M122" i="83" s="1"/>
  <c r="B122" i="83"/>
  <c r="C122" i="83" s="1"/>
  <c r="I121" i="83"/>
  <c r="J121" i="83" s="1"/>
  <c r="K121" i="83" s="1"/>
  <c r="L121" i="83" s="1"/>
  <c r="M121" i="83" s="1"/>
  <c r="B121" i="83"/>
  <c r="C121" i="83" s="1"/>
  <c r="I120" i="83"/>
  <c r="J120" i="83" s="1"/>
  <c r="K120" i="83" s="1"/>
  <c r="L120" i="83" s="1"/>
  <c r="M120" i="83" s="1"/>
  <c r="B120" i="83"/>
  <c r="C120" i="83" s="1"/>
  <c r="I119" i="83"/>
  <c r="J119" i="83" s="1"/>
  <c r="K119" i="83" s="1"/>
  <c r="L119" i="83" s="1"/>
  <c r="M119" i="83" s="1"/>
  <c r="B119" i="83"/>
  <c r="C119" i="83" s="1"/>
  <c r="D117" i="83"/>
  <c r="D122" i="83"/>
  <c r="E122" i="83" s="1"/>
  <c r="F122" i="83" s="1"/>
  <c r="D123" i="83"/>
  <c r="E123" i="83" s="1"/>
  <c r="F123" i="83" s="1"/>
  <c r="G123" i="83" s="1"/>
  <c r="H123" i="83" s="1"/>
  <c r="G122" i="83"/>
  <c r="H122" i="83" s="1"/>
  <c r="D121" i="83"/>
  <c r="E121" i="83" s="1"/>
  <c r="F121" i="83" s="1"/>
  <c r="G121" i="83" s="1"/>
  <c r="H121" i="83" s="1"/>
  <c r="D120" i="83"/>
  <c r="E120" i="83" s="1"/>
  <c r="F120" i="83" s="1"/>
  <c r="G120" i="83" s="1"/>
  <c r="H120" i="83" s="1"/>
  <c r="D119" i="83"/>
  <c r="E119" i="83" s="1"/>
  <c r="F119" i="83" s="1"/>
  <c r="G119" i="83" s="1"/>
  <c r="H119" i="83" s="1"/>
  <c r="D26" i="46"/>
  <c r="C25" i="46" s="1"/>
  <c r="B121" i="46"/>
  <c r="C121" i="46" s="1"/>
  <c r="B120" i="46"/>
  <c r="C120" i="46" s="1"/>
  <c r="D119" i="46"/>
  <c r="E119" i="46" s="1"/>
  <c r="F119" i="46" s="1"/>
  <c r="G119" i="46" s="1"/>
  <c r="H119" i="46" s="1"/>
  <c r="D122" i="46"/>
  <c r="E122" i="46" s="1"/>
  <c r="F122" i="46" s="1"/>
  <c r="D121" i="46"/>
  <c r="E121" i="46" s="1"/>
  <c r="F121" i="46" s="1"/>
  <c r="G121" i="46" s="1"/>
  <c r="H121" i="46" s="1"/>
  <c r="I120" i="46"/>
  <c r="J120" i="46" s="1"/>
  <c r="K120" i="46" s="1"/>
  <c r="L120" i="46" s="1"/>
  <c r="M120" i="46" s="1"/>
  <c r="D117" i="46"/>
  <c r="B122" i="46"/>
  <c r="C122" i="46" s="1"/>
  <c r="G122" i="46"/>
  <c r="H122" i="46" s="1"/>
  <c r="D123" i="46"/>
  <c r="E123" i="46" s="1"/>
  <c r="F123" i="46" s="1"/>
  <c r="G123" i="46" s="1"/>
  <c r="H123" i="46" s="1"/>
  <c r="I123" i="46"/>
  <c r="J123" i="46" s="1"/>
  <c r="K123" i="46" s="1"/>
  <c r="L123" i="46" s="1"/>
  <c r="M123" i="46" s="1"/>
  <c r="I119" i="46"/>
  <c r="J119" i="46" s="1"/>
  <c r="K119" i="46" s="1"/>
  <c r="L119" i="46" s="1"/>
  <c r="M119" i="46" s="1"/>
  <c r="B123" i="46"/>
  <c r="C123" i="46" s="1"/>
  <c r="D120" i="46"/>
  <c r="E120" i="46" s="1"/>
  <c r="F120" i="46" s="1"/>
  <c r="G120" i="46" s="1"/>
  <c r="H120" i="46" s="1"/>
  <c r="I121" i="46"/>
  <c r="J121" i="46" s="1"/>
  <c r="K121" i="46" s="1"/>
  <c r="L121" i="46" s="1"/>
  <c r="M121" i="46" s="1"/>
  <c r="B119" i="46"/>
  <c r="C119" i="46" s="1"/>
  <c r="I122" i="46"/>
  <c r="J122" i="46" s="1"/>
  <c r="K122" i="46" s="1"/>
  <c r="L122" i="46" s="1"/>
  <c r="M122" i="46" s="1"/>
  <c r="E8" i="6"/>
  <c r="E10" i="6"/>
  <c r="E14" i="6"/>
  <c r="E11" i="6"/>
  <c r="E15" i="6"/>
  <c r="E12" i="6"/>
  <c r="E13" i="6"/>
  <c r="M6" i="1"/>
  <c r="K16" i="1"/>
  <c r="Q16" i="1"/>
  <c r="H16" i="1"/>
  <c r="AP16" i="1"/>
  <c r="F22" i="11" s="1"/>
  <c r="C22" i="11" s="1"/>
  <c r="C23" i="11" s="1"/>
  <c r="B2" i="11" s="1"/>
  <c r="G16" i="1"/>
  <c r="G41" i="73"/>
  <c r="I41" i="73" s="1"/>
  <c r="E41" i="73"/>
  <c r="C20" i="59"/>
  <c r="D21" i="59"/>
  <c r="T21" i="59"/>
  <c r="G37" i="73"/>
  <c r="I37" i="73" s="1"/>
  <c r="E37" i="73"/>
  <c r="E53" i="33"/>
  <c r="F53" i="33" s="1"/>
  <c r="E52" i="33"/>
  <c r="F52" i="33" s="1"/>
  <c r="AA11" i="34"/>
  <c r="R49" i="34" s="1"/>
  <c r="S11" i="34"/>
  <c r="AB11" i="34"/>
  <c r="T49" i="34" s="1"/>
  <c r="G49" i="34" s="1"/>
  <c r="U11" i="34"/>
  <c r="I122" i="73"/>
  <c r="J122" i="73" s="1"/>
  <c r="K122" i="73" s="1"/>
  <c r="L122" i="73" s="1"/>
  <c r="M122" i="73" s="1"/>
  <c r="I120" i="73"/>
  <c r="J120" i="73" s="1"/>
  <c r="K120" i="73" s="1"/>
  <c r="L120" i="73" s="1"/>
  <c r="M120" i="73" s="1"/>
  <c r="D117" i="73"/>
  <c r="B123" i="73"/>
  <c r="C123" i="73" s="1"/>
  <c r="D122" i="73"/>
  <c r="E122" i="73" s="1"/>
  <c r="F122" i="73" s="1"/>
  <c r="B121" i="73"/>
  <c r="C121" i="73" s="1"/>
  <c r="D120" i="73"/>
  <c r="E120" i="73" s="1"/>
  <c r="F120" i="73" s="1"/>
  <c r="G120" i="73" s="1"/>
  <c r="H120" i="73" s="1"/>
  <c r="B119" i="73"/>
  <c r="C119" i="73" s="1"/>
  <c r="G122" i="73"/>
  <c r="H122" i="73" s="1"/>
  <c r="I119" i="73"/>
  <c r="J119" i="73" s="1"/>
  <c r="K119" i="73" s="1"/>
  <c r="L119" i="73" s="1"/>
  <c r="M119" i="73" s="1"/>
  <c r="B122" i="73"/>
  <c r="C122" i="73" s="1"/>
  <c r="D119" i="73"/>
  <c r="E119" i="73" s="1"/>
  <c r="F119" i="73" s="1"/>
  <c r="G119" i="73" s="1"/>
  <c r="H119" i="73" s="1"/>
  <c r="I123" i="73"/>
  <c r="J123" i="73" s="1"/>
  <c r="K123" i="73" s="1"/>
  <c r="L123" i="73" s="1"/>
  <c r="M123" i="73" s="1"/>
  <c r="I121" i="73"/>
  <c r="J121" i="73" s="1"/>
  <c r="K121" i="73" s="1"/>
  <c r="L121" i="73" s="1"/>
  <c r="M121" i="73" s="1"/>
  <c r="D123" i="73"/>
  <c r="E123" i="73" s="1"/>
  <c r="F123" i="73" s="1"/>
  <c r="G123" i="73" s="1"/>
  <c r="H123" i="73" s="1"/>
  <c r="D121" i="73"/>
  <c r="E121" i="73" s="1"/>
  <c r="F121" i="73" s="1"/>
  <c r="G121" i="73" s="1"/>
  <c r="H121" i="73" s="1"/>
  <c r="B120" i="73"/>
  <c r="C120" i="73" s="1"/>
  <c r="D26" i="73"/>
  <c r="C25" i="73" s="1"/>
  <c r="F7" i="35"/>
  <c r="C103" i="9"/>
  <c r="C90" i="9"/>
  <c r="C111" i="9"/>
  <c r="C104" i="9" s="1"/>
  <c r="C82" i="9"/>
  <c r="C81" i="9" s="1"/>
  <c r="C85" i="9" s="1"/>
  <c r="C86" i="9" s="1"/>
  <c r="D72" i="9" s="1"/>
  <c r="D71" i="9"/>
  <c r="D73" i="9"/>
  <c r="N73" i="9" s="1"/>
  <c r="C96" i="9"/>
  <c r="C91" i="9" s="1"/>
  <c r="D70" i="9"/>
  <c r="C16" i="75"/>
  <c r="C16" i="76"/>
  <c r="C40" i="83" l="1"/>
  <c r="E40" i="83" s="1"/>
  <c r="T4" i="83"/>
  <c r="V4" i="83" s="1"/>
  <c r="T13" i="83"/>
  <c r="V13" i="83" s="1"/>
  <c r="T16" i="83"/>
  <c r="V16" i="83" s="1"/>
  <c r="C13" i="85"/>
  <c r="T15" i="83"/>
  <c r="V15" i="83" s="1"/>
  <c r="T3" i="83"/>
  <c r="V3" i="83" s="1"/>
  <c r="C38" i="83"/>
  <c r="G38" i="83" s="1"/>
  <c r="I38" i="83" s="1"/>
  <c r="T11" i="83"/>
  <c r="V11" i="83" s="1"/>
  <c r="T2" i="83"/>
  <c r="V2" i="83" s="1"/>
  <c r="T7" i="83"/>
  <c r="V7" i="83" s="1"/>
  <c r="T10" i="83"/>
  <c r="V10" i="83" s="1"/>
  <c r="C42" i="83"/>
  <c r="C33" i="83"/>
  <c r="C10" i="85" s="1"/>
  <c r="C37" i="83"/>
  <c r="T8" i="83"/>
  <c r="V8" i="83" s="1"/>
  <c r="C39" i="83"/>
  <c r="E39" i="83" s="1"/>
  <c r="T6" i="83"/>
  <c r="V6" i="83" s="1"/>
  <c r="T5" i="83"/>
  <c r="V5" i="83" s="1"/>
  <c r="T14" i="83"/>
  <c r="V14" i="83" s="1"/>
  <c r="T9" i="83"/>
  <c r="V9" i="83" s="1"/>
  <c r="D18" i="68"/>
  <c r="D9" i="68"/>
  <c r="D15" i="68"/>
  <c r="C23" i="68"/>
  <c r="D16" i="68"/>
  <c r="D17" i="68"/>
  <c r="D10" i="68"/>
  <c r="J66" i="40"/>
  <c r="K64" i="40"/>
  <c r="J69" i="39"/>
  <c r="I71" i="39"/>
  <c r="AA7" i="35"/>
  <c r="R38" i="35" s="1"/>
  <c r="S7" i="35"/>
  <c r="E38" i="83"/>
  <c r="O6" i="1"/>
  <c r="O16" i="1" s="1"/>
  <c r="M16" i="1"/>
  <c r="E58" i="40"/>
  <c r="E63" i="39"/>
  <c r="E62" i="39"/>
  <c r="E57" i="40"/>
  <c r="H5" i="78"/>
  <c r="J5" i="78" s="1"/>
  <c r="C33" i="73"/>
  <c r="J12" i="39"/>
  <c r="H12" i="39"/>
  <c r="F12" i="39"/>
  <c r="J12" i="40"/>
  <c r="H12" i="40"/>
  <c r="F12" i="40"/>
  <c r="E59" i="40"/>
  <c r="E64" i="39"/>
  <c r="E66" i="39"/>
  <c r="E61" i="40"/>
  <c r="E65" i="39"/>
  <c r="E60" i="40"/>
  <c r="E53" i="40"/>
  <c r="F27" i="6"/>
  <c r="F31" i="6" s="1"/>
  <c r="E58" i="39"/>
  <c r="E16" i="6"/>
  <c r="H4" i="78"/>
  <c r="J4" i="78" s="1"/>
  <c r="C33" i="46"/>
  <c r="G43" i="35"/>
  <c r="H43" i="35" s="1"/>
  <c r="G42" i="35"/>
  <c r="H42" i="35" s="1"/>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Y6" i="3"/>
  <c r="AR6" i="3"/>
  <c r="E390" i="3"/>
  <c r="E187" i="3"/>
  <c r="E199" i="3"/>
  <c r="E435" i="3"/>
  <c r="E218" i="3"/>
  <c r="E110" i="3"/>
  <c r="E174" i="3"/>
  <c r="E98" i="3"/>
  <c r="E398" i="3"/>
  <c r="E190" i="3"/>
  <c r="E420" i="3"/>
  <c r="E233" i="3"/>
  <c r="E203" i="3"/>
  <c r="E402" i="3"/>
  <c r="E172" i="3"/>
  <c r="E255" i="3"/>
  <c r="E417" i="3"/>
  <c r="E145" i="3"/>
  <c r="E279" i="3"/>
  <c r="E34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158" i="3"/>
  <c r="E253" i="3"/>
  <c r="E54" i="3"/>
  <c r="E213" i="3"/>
  <c r="E397" i="3"/>
  <c r="E47" i="3"/>
  <c r="E184" i="3"/>
  <c r="E473" i="3"/>
  <c r="E232" i="3"/>
  <c r="E189" i="3"/>
  <c r="E507" i="3"/>
  <c r="E275" i="3"/>
  <c r="E467" i="3"/>
  <c r="E67" i="3"/>
  <c r="E214" i="3"/>
  <c r="E486" i="3"/>
  <c r="E543" i="3"/>
  <c r="E264" i="3"/>
  <c r="E369" i="3"/>
  <c r="V6" i="3"/>
  <c r="E466" i="3"/>
  <c r="E65" i="3"/>
  <c r="E51" i="3"/>
  <c r="E513" i="3"/>
  <c r="E198" i="3"/>
  <c r="E345" i="3"/>
  <c r="E281" i="3"/>
  <c r="E72" i="3"/>
  <c r="E290" i="3"/>
  <c r="E440" i="3"/>
  <c r="AF6" i="3"/>
  <c r="E331" i="3"/>
  <c r="E40" i="3"/>
  <c r="E362" i="3"/>
  <c r="E559" i="3"/>
  <c r="E150" i="3"/>
  <c r="E228" i="3"/>
  <c r="E314" i="3"/>
  <c r="E324" i="3"/>
  <c r="E502" i="3"/>
  <c r="E334" i="3"/>
  <c r="E353" i="3"/>
  <c r="E50" i="3"/>
  <c r="E236" i="3"/>
  <c r="E474" i="3"/>
  <c r="E171" i="3"/>
  <c r="E354" i="3"/>
  <c r="E531" i="3"/>
  <c r="E495" i="3"/>
  <c r="E344" i="3"/>
  <c r="E335" i="3"/>
  <c r="E366" i="3"/>
  <c r="E330" i="3"/>
  <c r="E350" i="3"/>
  <c r="E496" i="3"/>
  <c r="E352" i="3"/>
  <c r="E138" i="3"/>
  <c r="E519" i="3"/>
  <c r="E252" i="3"/>
  <c r="E544" i="3"/>
  <c r="E523" i="3"/>
  <c r="E86" i="3"/>
  <c r="E68" i="3"/>
  <c r="E135" i="3"/>
  <c r="E147" i="3"/>
  <c r="E22" i="3"/>
  <c r="E439" i="3"/>
  <c r="E459" i="3"/>
  <c r="E117" i="3"/>
  <c r="E231" i="3"/>
  <c r="E528" i="3"/>
  <c r="E470" i="3"/>
  <c r="E349" i="3"/>
  <c r="E186" i="3"/>
  <c r="E311" i="3"/>
  <c r="E263" i="3"/>
  <c r="E424" i="3"/>
  <c r="E82" i="3"/>
  <c r="E164" i="3"/>
  <c r="E99" i="3"/>
  <c r="E262" i="3"/>
  <c r="E101" i="3"/>
  <c r="E325" i="3"/>
  <c r="E396" i="3"/>
  <c r="E216" i="3"/>
  <c r="E392" i="3"/>
  <c r="E373" i="3"/>
  <c r="E360" i="3"/>
  <c r="T6" i="3"/>
  <c r="E144" i="3"/>
  <c r="E219" i="3"/>
  <c r="E506" i="3"/>
  <c r="E571" i="3"/>
  <c r="E497" i="3"/>
  <c r="E566" i="3"/>
  <c r="E553" i="3"/>
  <c r="E273" i="3"/>
  <c r="E563" i="3"/>
  <c r="E112" i="3"/>
  <c r="E268" i="3"/>
  <c r="E175" i="3"/>
  <c r="E565" i="3"/>
  <c r="E503" i="3"/>
  <c r="AO6" i="3"/>
  <c r="E475" i="3"/>
  <c r="E421" i="3"/>
  <c r="E206" i="3"/>
  <c r="E132" i="3"/>
  <c r="E333" i="3"/>
  <c r="E91" i="3"/>
  <c r="E115" i="3"/>
  <c r="E359" i="3"/>
  <c r="E195" i="3"/>
  <c r="E391" i="3"/>
  <c r="E321" i="3"/>
  <c r="E127" i="3"/>
  <c r="E266" i="3"/>
  <c r="E215" i="3"/>
  <c r="E548" i="3"/>
  <c r="Z6" i="3"/>
  <c r="E454" i="3"/>
  <c r="E520" i="3"/>
  <c r="AK6" i="3"/>
  <c r="E411" i="3"/>
  <c r="E41" i="3"/>
  <c r="E418" i="3"/>
  <c r="E92" i="3"/>
  <c r="E414" i="3"/>
  <c r="E202" i="3"/>
  <c r="E131" i="3"/>
  <c r="E304" i="3"/>
  <c r="E165" i="3"/>
  <c r="E404" i="3"/>
  <c r="E30" i="3"/>
  <c r="E441" i="3"/>
  <c r="E367" i="3"/>
  <c r="E415" i="3"/>
  <c r="E80" i="3"/>
  <c r="E28" i="3"/>
  <c r="E141" i="3"/>
  <c r="E168" i="3"/>
  <c r="E34" i="3"/>
  <c r="E407" i="3"/>
  <c r="E550" i="3"/>
  <c r="E23" i="3"/>
  <c r="E265" i="3"/>
  <c r="AM6" i="3"/>
  <c r="E395" i="3"/>
  <c r="E280" i="3"/>
  <c r="E270" i="3"/>
  <c r="E157" i="3"/>
  <c r="E161" i="3"/>
  <c r="E492" i="3"/>
  <c r="E295" i="3"/>
  <c r="E89" i="3"/>
  <c r="E201" i="3"/>
  <c r="E170" i="3"/>
  <c r="E274" i="3"/>
  <c r="E32" i="3"/>
  <c r="E547" i="3"/>
  <c r="E447" i="3"/>
  <c r="E33" i="3"/>
  <c r="Q6" i="3"/>
  <c r="E119" i="3"/>
  <c r="E500" i="3"/>
  <c r="E97" i="3"/>
  <c r="AE6" i="3"/>
  <c r="E289" i="3"/>
  <c r="E535" i="3"/>
  <c r="E381" i="3"/>
  <c r="E104" i="3"/>
  <c r="E387" i="3"/>
  <c r="E125" i="3"/>
  <c r="P6" i="3"/>
  <c r="AP6" i="3"/>
  <c r="E70" i="3"/>
  <c r="E151" i="3"/>
  <c r="E53" i="3"/>
  <c r="W6" i="3"/>
  <c r="E113" i="3"/>
  <c r="E425" i="3"/>
  <c r="E257" i="3"/>
  <c r="E166" i="3"/>
  <c r="O6" i="3"/>
  <c r="E204" i="3"/>
  <c r="E207" i="3"/>
  <c r="E449" i="3"/>
  <c r="E196" i="3"/>
  <c r="E259" i="3"/>
  <c r="E308" i="3"/>
  <c r="E78" i="3"/>
  <c r="E225" i="3"/>
  <c r="E490" i="3"/>
  <c r="E63" i="3"/>
  <c r="E422" i="3"/>
  <c r="E560" i="3"/>
  <c r="E261" i="3"/>
  <c r="E107" i="3"/>
  <c r="E393" i="3"/>
  <c r="E480" i="3"/>
  <c r="E517"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S6" i="3"/>
  <c r="E511" i="3"/>
  <c r="E377" i="3"/>
  <c r="E358" i="3"/>
  <c r="E20" i="3"/>
  <c r="E337" i="3"/>
  <c r="E537" i="3"/>
  <c r="E545" i="3"/>
  <c r="N6" i="3"/>
  <c r="E37" i="3"/>
  <c r="L6" i="3"/>
  <c r="E116" i="3"/>
  <c r="E465" i="3"/>
  <c r="E243" i="3"/>
  <c r="E416" i="3"/>
  <c r="E96" i="3"/>
  <c r="E160" i="3"/>
  <c r="E242" i="3"/>
  <c r="E133" i="3"/>
  <c r="E87" i="3"/>
  <c r="E458" i="3"/>
  <c r="E29" i="3"/>
  <c r="E256" i="3"/>
  <c r="E491" i="3"/>
  <c r="E319" i="3"/>
  <c r="E456" i="3"/>
  <c r="AJ6" i="3"/>
  <c r="E15" i="3"/>
  <c r="E56" i="3"/>
  <c r="E208" i="3"/>
  <c r="E483" i="3"/>
  <c r="E340" i="3"/>
  <c r="E130" i="3"/>
  <c r="E328" i="3"/>
  <c r="E346" i="3"/>
  <c r="E557" i="3"/>
  <c r="E192" i="3"/>
  <c r="E348" i="3"/>
  <c r="E394" i="3"/>
  <c r="E282" i="3"/>
  <c r="E375" i="3"/>
  <c r="E83" i="3"/>
  <c r="E222" i="3"/>
  <c r="E430" i="3"/>
  <c r="E77" i="3"/>
  <c r="E552" i="3"/>
  <c r="E286" i="3"/>
  <c r="E320" i="3"/>
  <c r="E284" i="3"/>
  <c r="E181" i="3"/>
  <c r="E338" i="3"/>
  <c r="E518" i="3"/>
  <c r="E515" i="3"/>
  <c r="E341" i="3"/>
  <c r="E318" i="3"/>
  <c r="E413" i="3"/>
  <c r="E241" i="3"/>
  <c r="E446" i="3"/>
  <c r="E437" i="3"/>
  <c r="E221" i="3"/>
  <c r="E31" i="3"/>
  <c r="AA6" i="3"/>
  <c r="E299" i="3"/>
  <c r="E103" i="3"/>
  <c r="E62" i="3"/>
  <c r="E230" i="3"/>
  <c r="E250" i="3"/>
  <c r="E408" i="3"/>
  <c r="E44" i="3"/>
  <c r="E237" i="3"/>
  <c r="E100" i="3"/>
  <c r="E223" i="3"/>
  <c r="E399" i="3"/>
  <c r="E317" i="3"/>
  <c r="E179" i="3"/>
  <c r="E444" i="3"/>
  <c r="E561" i="3"/>
  <c r="E194" i="3"/>
  <c r="AN6" i="3"/>
  <c r="E464" i="3"/>
  <c r="E450" i="3"/>
  <c r="E249" i="3"/>
  <c r="E460" i="3"/>
  <c r="E463" i="3"/>
  <c r="E426" i="3"/>
  <c r="E75" i="3"/>
  <c r="J6" i="3"/>
  <c r="E438" i="3"/>
  <c r="E283" i="3"/>
  <c r="E49" i="3"/>
  <c r="E193" i="3"/>
  <c r="E534" i="3"/>
  <c r="R6" i="3"/>
  <c r="AH6" i="3"/>
  <c r="E84" i="3"/>
  <c r="E431" i="3"/>
  <c r="E38" i="3"/>
  <c r="E313" i="3"/>
  <c r="E405" i="3"/>
  <c r="E363" i="3"/>
  <c r="E79" i="3"/>
  <c r="E401" i="3"/>
  <c r="E272" i="3"/>
  <c r="E102" i="3"/>
  <c r="E25" i="3"/>
  <c r="E258" i="3"/>
  <c r="E479" i="3"/>
  <c r="E43" i="3"/>
  <c r="E276" i="3"/>
  <c r="E370" i="3"/>
  <c r="E526" i="3"/>
  <c r="E296" i="3"/>
  <c r="E423" i="3"/>
  <c r="E442" i="3"/>
  <c r="E129" i="3"/>
  <c r="E293" i="3"/>
  <c r="E111" i="3"/>
  <c r="E39" i="3"/>
  <c r="E288" i="3"/>
  <c r="E88" i="3"/>
  <c r="E220"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322" i="3"/>
  <c r="E17" i="3"/>
  <c r="E18" i="3"/>
  <c r="E509" i="3"/>
  <c r="E564" i="3"/>
  <c r="E472" i="3"/>
  <c r="E452" i="3"/>
  <c r="E462" i="3"/>
  <c r="E482" i="3"/>
  <c r="E533" i="3"/>
  <c r="E303" i="3"/>
  <c r="E429" i="3"/>
  <c r="E372" i="3"/>
  <c r="E154" i="3"/>
  <c r="E309" i="3"/>
  <c r="E477" i="3"/>
  <c r="E540" i="3"/>
  <c r="E134" i="3"/>
  <c r="AI6" i="3"/>
  <c r="E239" i="3"/>
  <c r="E234" i="3"/>
  <c r="E128" i="3"/>
  <c r="E176" i="3"/>
  <c r="E554" i="3"/>
  <c r="E525" i="3"/>
  <c r="K6" i="3"/>
  <c r="E569" i="3"/>
  <c r="E546" i="3"/>
  <c r="E251" i="3"/>
  <c r="E122" i="3"/>
  <c r="E485" i="3"/>
  <c r="E532" i="3"/>
  <c r="E521" i="3"/>
  <c r="E461" i="3"/>
  <c r="E155" i="3"/>
  <c r="E541" i="3"/>
  <c r="E476" i="3"/>
  <c r="E114" i="3"/>
  <c r="E93" i="3"/>
  <c r="E55" i="3"/>
  <c r="E570" i="3"/>
  <c r="E409" i="3"/>
  <c r="E124" i="3"/>
  <c r="E388" i="3"/>
  <c r="E146" i="3"/>
  <c r="E434" i="3"/>
  <c r="E57" i="3"/>
  <c r="E183" i="3"/>
  <c r="E45" i="3"/>
  <c r="E42" i="3"/>
  <c r="E269" i="3"/>
  <c r="E562" i="3"/>
  <c r="E167" i="3"/>
  <c r="E494" i="3"/>
  <c r="E254" i="3"/>
  <c r="E316" i="3"/>
  <c r="E380" i="3"/>
  <c r="M6" i="3"/>
  <c r="E69" i="3"/>
  <c r="E152" i="3"/>
  <c r="E46" i="3"/>
  <c r="E457" i="3"/>
  <c r="X6" i="3"/>
  <c r="AD6" i="3"/>
  <c r="E327" i="3"/>
  <c r="E200" i="3"/>
  <c r="E389" i="3"/>
  <c r="E143" i="3"/>
  <c r="E471" i="3"/>
  <c r="E238" i="3"/>
  <c r="E36" i="3"/>
  <c r="E428" i="3"/>
  <c r="E374" i="3"/>
  <c r="E205" i="3"/>
  <c r="E478" i="3"/>
  <c r="E357" i="3"/>
  <c r="AS6" i="3"/>
  <c r="E383" i="3"/>
  <c r="E443" i="3"/>
  <c r="E297" i="3"/>
  <c r="E59" i="3"/>
  <c r="E209" i="3"/>
  <c r="E149" i="3"/>
  <c r="E549" i="3"/>
  <c r="I3" i="6"/>
  <c r="E292" i="3"/>
  <c r="E60" i="3"/>
  <c r="E178" i="3"/>
  <c r="E48" i="3"/>
  <c r="E455" i="3"/>
  <c r="E156" i="3"/>
  <c r="E542" i="3"/>
  <c r="E536" i="3"/>
  <c r="E489" i="3"/>
  <c r="I6" i="3"/>
  <c r="G41" i="83"/>
  <c r="I41" i="83" s="1"/>
  <c r="E41" i="83"/>
  <c r="I53" i="34"/>
  <c r="J53" i="34" s="1"/>
  <c r="G37" i="83"/>
  <c r="I37" i="83" s="1"/>
  <c r="E37" i="83"/>
  <c r="K23" i="6"/>
  <c r="M23" i="6" s="1"/>
  <c r="I23" i="6" s="1"/>
  <c r="S23" i="6" s="1"/>
  <c r="E31" i="6"/>
  <c r="K24" i="6"/>
  <c r="M24" i="6" s="1"/>
  <c r="I24" i="6" s="1"/>
  <c r="S24" i="6" s="1"/>
  <c r="K20" i="6"/>
  <c r="M20" i="6" s="1"/>
  <c r="I20" i="6" s="1"/>
  <c r="S20" i="6" s="1"/>
  <c r="K22" i="6"/>
  <c r="M22" i="6" s="1"/>
  <c r="I22" i="6" s="1"/>
  <c r="S22" i="6" s="1"/>
  <c r="K21" i="6"/>
  <c r="M21" i="6" s="1"/>
  <c r="I21" i="6" s="1"/>
  <c r="S21" i="6" s="1"/>
  <c r="K26" i="6"/>
  <c r="M26" i="6" s="1"/>
  <c r="I26" i="6" s="1"/>
  <c r="S26" i="6" s="1"/>
  <c r="K25" i="6"/>
  <c r="M25" i="6" s="1"/>
  <c r="I25" i="6" s="1"/>
  <c r="S25" i="6" s="1"/>
  <c r="K19" i="6"/>
  <c r="I42" i="35"/>
  <c r="J42" i="35" s="1"/>
  <c r="J18" i="76"/>
  <c r="J19" i="76"/>
  <c r="J5" i="76"/>
  <c r="C60" i="75"/>
  <c r="C47" i="75"/>
  <c r="G54" i="34"/>
  <c r="H54" i="34" s="1"/>
  <c r="G53" i="34"/>
  <c r="H53" i="34" s="1"/>
  <c r="R50" i="34"/>
  <c r="E49" i="34"/>
  <c r="D20" i="59"/>
  <c r="C19" i="59"/>
  <c r="I46" i="36"/>
  <c r="J46" i="36" s="1"/>
  <c r="K46" i="36" s="1"/>
  <c r="L46" i="36" s="1"/>
  <c r="M46" i="36" s="1"/>
  <c r="N46" i="36" s="1"/>
  <c r="O46" i="36" s="1"/>
  <c r="F7" i="36" s="1"/>
  <c r="G42" i="83"/>
  <c r="I42" i="83" s="1"/>
  <c r="E42" i="83"/>
  <c r="C34" i="83"/>
  <c r="E34" i="83" s="1"/>
  <c r="E3" i="6"/>
  <c r="AY6" i="3"/>
  <c r="C60" i="76"/>
  <c r="C47" i="76"/>
  <c r="J19" i="75"/>
  <c r="J18" i="75"/>
  <c r="J5" i="75"/>
  <c r="C113" i="9"/>
  <c r="C114" i="9" s="1"/>
  <c r="E114" i="9" s="1"/>
  <c r="E115" i="9" s="1"/>
  <c r="C97" i="9"/>
  <c r="G40" i="83" l="1"/>
  <c r="I40" i="83" s="1"/>
  <c r="G39" i="83"/>
  <c r="I39" i="83" s="1"/>
  <c r="E33" i="83"/>
  <c r="J71" i="39"/>
  <c r="K69" i="39"/>
  <c r="C29" i="68"/>
  <c r="D23" i="68"/>
  <c r="D7" i="68"/>
  <c r="C26" i="68" s="1"/>
  <c r="C32" i="68" s="1"/>
  <c r="C38" i="68" s="1"/>
  <c r="C39" i="68" s="1"/>
  <c r="J7" i="36"/>
  <c r="H6" i="3"/>
  <c r="L64" i="40"/>
  <c r="K66" i="40"/>
  <c r="D11" i="68"/>
  <c r="E11" i="68" s="1"/>
  <c r="E7" i="68" s="1"/>
  <c r="C27" i="68" s="1"/>
  <c r="C59" i="76"/>
  <c r="C65" i="76"/>
  <c r="D3" i="6"/>
  <c r="AY53" i="3"/>
  <c r="AY427" i="3"/>
  <c r="AY116" i="3"/>
  <c r="AY81" i="3"/>
  <c r="AY336" i="3"/>
  <c r="AY293" i="3"/>
  <c r="AY111" i="3"/>
  <c r="AY268" i="3"/>
  <c r="AY171" i="3"/>
  <c r="AY41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383" i="3"/>
  <c r="AY256" i="3"/>
  <c r="AY21" i="3"/>
  <c r="AY314" i="3"/>
  <c r="AY367" i="3"/>
  <c r="AY485" i="3"/>
  <c r="AY399" i="3"/>
  <c r="AY174" i="3"/>
  <c r="AY328" i="3"/>
  <c r="AY71" i="3"/>
  <c r="AY195" i="3"/>
  <c r="AY363" i="3"/>
  <c r="AY547" i="3"/>
  <c r="AY110" i="3"/>
  <c r="AY554" i="3"/>
  <c r="AY212" i="3"/>
  <c r="AY353" i="3"/>
  <c r="AY419" i="3"/>
  <c r="AY301" i="3"/>
  <c r="AY482" i="3"/>
  <c r="AY69" i="3"/>
  <c r="AY170" i="3"/>
  <c r="AY342" i="3"/>
  <c r="AY411" i="3"/>
  <c r="AY510" i="3"/>
  <c r="BT6" i="3"/>
  <c r="AY565" i="3"/>
  <c r="AY553" i="3"/>
  <c r="AY90" i="3"/>
  <c r="AY344" i="3"/>
  <c r="AY190" i="3"/>
  <c r="AY401" i="3"/>
  <c r="AY545" i="3"/>
  <c r="AY455" i="3"/>
  <c r="AY487" i="3"/>
  <c r="AY539" i="3"/>
  <c r="BB6" i="3"/>
  <c r="AY338" i="3"/>
  <c r="AY243" i="3"/>
  <c r="AY466" i="3"/>
  <c r="AY441" i="3"/>
  <c r="AY97" i="3"/>
  <c r="AY77" i="3"/>
  <c r="AY57" i="3"/>
  <c r="AY349" i="3"/>
  <c r="AY149" i="3"/>
  <c r="AY463" i="3"/>
  <c r="AY372" i="3"/>
  <c r="AY376" i="3"/>
  <c r="AY450" i="3"/>
  <c r="AY412" i="3"/>
  <c r="AY330" i="3"/>
  <c r="AY191" i="3"/>
  <c r="AY414" i="3"/>
  <c r="AY227" i="3"/>
  <c r="AY266" i="3"/>
  <c r="AY193" i="3"/>
  <c r="BL6" i="3"/>
  <c r="AY472" i="3"/>
  <c r="AY131" i="3"/>
  <c r="AY453" i="3"/>
  <c r="AY151" i="3"/>
  <c r="AY523" i="3"/>
  <c r="AY517" i="3"/>
  <c r="AY536" i="3"/>
  <c r="AY94" i="3"/>
  <c r="AY462" i="3"/>
  <c r="AY102" i="3"/>
  <c r="AY533" i="3"/>
  <c r="AY470" i="3"/>
  <c r="AY347" i="3"/>
  <c r="AY19" i="3"/>
  <c r="AY231" i="3"/>
  <c r="AY263" i="3"/>
  <c r="AY469" i="3"/>
  <c r="AY270" i="3"/>
  <c r="AY334" i="3"/>
  <c r="AY93" i="3"/>
  <c r="AY434" i="3"/>
  <c r="AY478" i="3"/>
  <c r="AY534" i="3"/>
  <c r="AY567" i="3"/>
  <c r="AY404" i="3"/>
  <c r="AY497" i="3"/>
  <c r="AY220" i="3"/>
  <c r="AY15" i="3"/>
  <c r="AY385" i="3"/>
  <c r="AY287" i="3"/>
  <c r="AY242" i="3"/>
  <c r="AY489" i="3"/>
  <c r="AY458" i="3"/>
  <c r="AY500" i="3"/>
  <c r="AY32" i="3"/>
  <c r="AY166" i="3"/>
  <c r="AY409" i="3"/>
  <c r="AY320" i="3"/>
  <c r="AY335" i="3"/>
  <c r="AY92" i="3"/>
  <c r="AY278" i="3"/>
  <c r="AY464" i="3"/>
  <c r="AY39" i="3"/>
  <c r="AY361" i="3"/>
  <c r="AY104"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87" i="3"/>
  <c r="AY142" i="3"/>
  <c r="AY144" i="3"/>
  <c r="AY232" i="3"/>
  <c r="AY49" i="3"/>
  <c r="AY326" i="3"/>
  <c r="AY294" i="3"/>
  <c r="AY269" i="3"/>
  <c r="AY302" i="3"/>
  <c r="AY457" i="3"/>
  <c r="AY543" i="3"/>
  <c r="AY13" i="3"/>
  <c r="AY556" i="3"/>
  <c r="AY38" i="3"/>
  <c r="AY424" i="3"/>
  <c r="AY378" i="3"/>
  <c r="BD6" i="3"/>
  <c r="AY248" i="3"/>
  <c r="AY329" i="3"/>
  <c r="AY249" i="3"/>
  <c r="BQ6" i="3"/>
  <c r="AY452" i="3"/>
  <c r="AY477" i="3"/>
  <c r="AY439" i="3"/>
  <c r="AY541" i="3"/>
  <c r="AY473" i="3"/>
  <c r="AY306" i="3"/>
  <c r="AY59" i="3"/>
  <c r="AY237" i="3"/>
  <c r="AY61" i="3"/>
  <c r="AY48" i="3"/>
  <c r="AY391" i="3"/>
  <c r="AY454" i="3"/>
  <c r="AY403" i="3"/>
  <c r="AY362" i="3"/>
  <c r="AY125" i="3"/>
  <c r="AY512" i="3"/>
  <c r="AY410" i="3"/>
  <c r="AY192" i="3"/>
  <c r="AY436" i="3"/>
  <c r="AY84" i="3"/>
  <c r="AY357" i="3"/>
  <c r="AY563" i="3"/>
  <c r="AY505" i="3"/>
  <c r="AY540" i="3"/>
  <c r="AY222" i="3"/>
  <c r="AY186" i="3"/>
  <c r="AY66" i="3"/>
  <c r="AY461" i="3"/>
  <c r="AY140" i="3"/>
  <c r="AY407" i="3"/>
  <c r="AY127" i="3"/>
  <c r="AY29" i="3"/>
  <c r="AY259" i="3"/>
  <c r="AY430" i="3"/>
  <c r="AY445" i="3"/>
  <c r="AY525" i="3"/>
  <c r="AY16" i="3"/>
  <c r="AY168" i="3"/>
  <c r="AY324" i="3"/>
  <c r="AY291" i="3"/>
  <c r="AY129" i="3"/>
  <c r="AY486" i="3"/>
  <c r="AY67" i="3"/>
  <c r="AY159" i="3"/>
  <c r="AY105" i="3"/>
  <c r="AY47" i="3"/>
  <c r="AY31" i="3"/>
  <c r="AY234" i="3"/>
  <c r="AY317" i="3"/>
  <c r="AY402" i="3"/>
  <c r="AY181" i="3"/>
  <c r="AY343" i="3"/>
  <c r="AY65" i="3"/>
  <c r="AY265" i="3"/>
  <c r="AY350" i="3"/>
  <c r="AY50" i="3"/>
  <c r="AY346" i="3"/>
  <c r="AY161" i="3"/>
  <c r="AY101" i="3"/>
  <c r="AY305" i="3"/>
  <c r="AY429" i="3"/>
  <c r="AY43" i="3"/>
  <c r="AY501" i="3"/>
  <c r="AY481" i="3"/>
  <c r="AY36" i="3"/>
  <c r="AY333" i="3"/>
  <c r="AY117" i="3"/>
  <c r="AY123" i="3"/>
  <c r="AY337" i="3"/>
  <c r="AY341" i="3"/>
  <c r="AY76" i="3"/>
  <c r="AY465" i="3"/>
  <c r="AY86" i="3"/>
  <c r="AY428" i="3"/>
  <c r="AY42" i="3"/>
  <c r="AY218" i="3"/>
  <c r="AY392" i="3"/>
  <c r="AY356" i="3"/>
  <c r="AY288" i="3"/>
  <c r="AY147" i="3"/>
  <c r="AY162" i="3"/>
  <c r="AY562" i="3"/>
  <c r="AY303" i="3"/>
  <c r="AY204" i="3"/>
  <c r="AY216" i="3"/>
  <c r="AY28" i="3"/>
  <c r="AY311" i="3"/>
  <c r="AY257" i="3"/>
  <c r="AY254" i="3"/>
  <c r="AY359" i="3"/>
  <c r="AY437" i="3"/>
  <c r="AY493" i="3"/>
  <c r="AY273" i="3"/>
  <c r="AY64" i="3"/>
  <c r="AY158" i="3"/>
  <c r="AY443" i="3"/>
  <c r="AY219" i="3"/>
  <c r="AY148" i="3"/>
  <c r="BA6" i="3"/>
  <c r="AY446" i="3"/>
  <c r="AY211" i="3"/>
  <c r="AY221" i="3"/>
  <c r="AY217" i="3"/>
  <c r="AY548" i="3"/>
  <c r="AY124" i="3"/>
  <c r="AY229" i="3"/>
  <c r="AY316" i="3"/>
  <c r="AY456" i="3"/>
  <c r="AY247" i="3"/>
  <c r="AY78" i="3"/>
  <c r="AY375" i="3"/>
  <c r="AY506" i="3"/>
  <c r="AY475" i="3"/>
  <c r="AY395" i="3"/>
  <c r="AY490" i="3"/>
  <c r="AY377" i="3"/>
  <c r="AY260" i="3"/>
  <c r="AY566" i="3"/>
  <c r="AY54" i="3"/>
  <c r="AY134" i="3"/>
  <c r="AY165" i="3"/>
  <c r="AY354" i="3"/>
  <c r="AY529" i="3"/>
  <c r="AY438" i="3"/>
  <c r="AY368" i="3"/>
  <c r="AY244" i="3"/>
  <c r="AY351" i="3"/>
  <c r="AY440" i="3"/>
  <c r="AY339" i="3"/>
  <c r="AY571" i="3"/>
  <c r="AY251" i="3"/>
  <c r="AY426" i="3"/>
  <c r="AY491" i="3"/>
  <c r="AY366" i="3"/>
  <c r="AY85" i="3"/>
  <c r="AY137" i="3"/>
  <c r="AY480" i="3"/>
  <c r="AY223" i="3"/>
  <c r="AY267" i="3"/>
  <c r="AY502" i="3"/>
  <c r="AY564" i="3"/>
  <c r="AY79" i="3"/>
  <c r="AY474" i="3"/>
  <c r="AY198" i="3"/>
  <c r="AY262" i="3"/>
  <c r="AY379" i="3"/>
  <c r="AY62" i="3"/>
  <c r="AY307" i="3"/>
  <c r="AY449" i="3"/>
  <c r="AY304" i="3"/>
  <c r="AY14" i="3"/>
  <c r="AY145" i="3"/>
  <c r="AY520" i="3"/>
  <c r="AY370" i="3"/>
  <c r="BJ6" i="3"/>
  <c r="AY51" i="3"/>
  <c r="AY89" i="3"/>
  <c r="AY345" i="3"/>
  <c r="AY300" i="3"/>
  <c r="AY177" i="3"/>
  <c r="AY331" i="3"/>
  <c r="AY289" i="3"/>
  <c r="AY557" i="3"/>
  <c r="AY327" i="3"/>
  <c r="BR6" i="3"/>
  <c r="AY492" i="3"/>
  <c r="AY417" i="3"/>
  <c r="AY152" i="3"/>
  <c r="AY239" i="3"/>
  <c r="AY138" i="3"/>
  <c r="AY369" i="3"/>
  <c r="AY35" i="3"/>
  <c r="AY315" i="3"/>
  <c r="AY106" i="3"/>
  <c r="AY37" i="3"/>
  <c r="AY95" i="3"/>
  <c r="AY45" i="3"/>
  <c r="AY384" i="3"/>
  <c r="AY202" i="3"/>
  <c r="AY398" i="3"/>
  <c r="AY348" i="3"/>
  <c r="AY241" i="3"/>
  <c r="AY542" i="3"/>
  <c r="AY555" i="3"/>
  <c r="AY308" i="3"/>
  <c r="AY52" i="3"/>
  <c r="AY537" i="3"/>
  <c r="AY448" i="3"/>
  <c r="AY178" i="3"/>
  <c r="AY389" i="3"/>
  <c r="BC6" i="3"/>
  <c r="AY274" i="3"/>
  <c r="AY558" i="3"/>
  <c r="AY27" i="3"/>
  <c r="AY96" i="3"/>
  <c r="AY225" i="3"/>
  <c r="AY292" i="3"/>
  <c r="AY167" i="3"/>
  <c r="AY33" i="3"/>
  <c r="AY173" i="3"/>
  <c r="AY215" i="3"/>
  <c r="AY499" i="3"/>
  <c r="AY298" i="3"/>
  <c r="AY313" i="3"/>
  <c r="AY387" i="3"/>
  <c r="AY276" i="3"/>
  <c r="AY68" i="3"/>
  <c r="AY484" i="3"/>
  <c r="BF6" i="3"/>
  <c r="AY519" i="3"/>
  <c r="AY552" i="3"/>
  <c r="AY319" i="3"/>
  <c r="AY207" i="3"/>
  <c r="AY386" i="3"/>
  <c r="AY295" i="3"/>
  <c r="AY422" i="3"/>
  <c r="AY549" i="3"/>
  <c r="AY58" i="3"/>
  <c r="AY100" i="3"/>
  <c r="AY118" i="3"/>
  <c r="AY416" i="3"/>
  <c r="AY250" i="3"/>
  <c r="AY141" i="3"/>
  <c r="AY459" i="3"/>
  <c r="AY400" i="3"/>
  <c r="AY272" i="3"/>
  <c r="AY442" i="3"/>
  <c r="AY99" i="3"/>
  <c r="AY246" i="3"/>
  <c r="AY374" i="3"/>
  <c r="AY25" i="3"/>
  <c r="AY321" i="3"/>
  <c r="AY431" i="3"/>
  <c r="AY34" i="3"/>
  <c r="AY176" i="3"/>
  <c r="AY318" i="3"/>
  <c r="AY22" i="3"/>
  <c r="BI6" i="3"/>
  <c r="AY432" i="3"/>
  <c r="AY172" i="3"/>
  <c r="AY394" i="3"/>
  <c r="AY544" i="3"/>
  <c r="AY494" i="3"/>
  <c r="AY290" i="3"/>
  <c r="AY569" i="3"/>
  <c r="AY283" i="3"/>
  <c r="AY396" i="3"/>
  <c r="AY26" i="3"/>
  <c r="AY214" i="3"/>
  <c r="AY279" i="3"/>
  <c r="AY271" i="3"/>
  <c r="AY75" i="3"/>
  <c r="AY245" i="3"/>
  <c r="AY112" i="3"/>
  <c r="AY20" i="3"/>
  <c r="AY153" i="3"/>
  <c r="AY559" i="3"/>
  <c r="AY240" i="3"/>
  <c r="AY281" i="3"/>
  <c r="AY393" i="3"/>
  <c r="AY297" i="3"/>
  <c r="AY252" i="3"/>
  <c r="AY228" i="3"/>
  <c r="AY568" i="3"/>
  <c r="AY312" i="3"/>
  <c r="BG6" i="3"/>
  <c r="AY255" i="3"/>
  <c r="AY121" i="3"/>
  <c r="AY476" i="3"/>
  <c r="AY200" i="3"/>
  <c r="AY531" i="3"/>
  <c r="AY199" i="3"/>
  <c r="AY63" i="3"/>
  <c r="AY495" i="3"/>
  <c r="AY213" i="3"/>
  <c r="AY532" i="3"/>
  <c r="AY284" i="3"/>
  <c r="AY496" i="3"/>
  <c r="AY98" i="3"/>
  <c r="AY352" i="3"/>
  <c r="AY471" i="3"/>
  <c r="BP6" i="3"/>
  <c r="AY358" i="3"/>
  <c r="AY235" i="3"/>
  <c r="AY433" i="3"/>
  <c r="AY509" i="3"/>
  <c r="AY296" i="3"/>
  <c r="AY373" i="3"/>
  <c r="AY530" i="3"/>
  <c r="AY73" i="3"/>
  <c r="AY397" i="3"/>
  <c r="AY135" i="3"/>
  <c r="AY155" i="3"/>
  <c r="AY201" i="3"/>
  <c r="AY275" i="3"/>
  <c r="AY120" i="3"/>
  <c r="BN6" i="3"/>
  <c r="AY233" i="3"/>
  <c r="AY184" i="3"/>
  <c r="AY535" i="3"/>
  <c r="AY511" i="3"/>
  <c r="AY332" i="3"/>
  <c r="AY119" i="3"/>
  <c r="AY513" i="3"/>
  <c r="AY524" i="3"/>
  <c r="AY164" i="3"/>
  <c r="AY130" i="3"/>
  <c r="AY418" i="3"/>
  <c r="AY538" i="3"/>
  <c r="AY285" i="3"/>
  <c r="AY355" i="3"/>
  <c r="AY163" i="3"/>
  <c r="AY546" i="3"/>
  <c r="AY107" i="3"/>
  <c r="AY323" i="3"/>
  <c r="AY154" i="3"/>
  <c r="AY187" i="3"/>
  <c r="AY194" i="3"/>
  <c r="AY146" i="3"/>
  <c r="AY88" i="3"/>
  <c r="AY203" i="3"/>
  <c r="AY83" i="3"/>
  <c r="AY277" i="3"/>
  <c r="AY425" i="3"/>
  <c r="AY286" i="3"/>
  <c r="AY169" i="3"/>
  <c r="AY72" i="3"/>
  <c r="AY30" i="3"/>
  <c r="AY382" i="3"/>
  <c r="AY143" i="3"/>
  <c r="AY236" i="3"/>
  <c r="AY109" i="3"/>
  <c r="AY136" i="3"/>
  <c r="AY381" i="3"/>
  <c r="AY550" i="3"/>
  <c r="AY122" i="3"/>
  <c r="AY91" i="3"/>
  <c r="AY114" i="3"/>
  <c r="AY156" i="3"/>
  <c r="AY160" i="3"/>
  <c r="AY206" i="3"/>
  <c r="AY360" i="3"/>
  <c r="AY180" i="3"/>
  <c r="AY551" i="3"/>
  <c r="AY522" i="3"/>
  <c r="AY23" i="3"/>
  <c r="AY507" i="3"/>
  <c r="AY514" i="3"/>
  <c r="AY421" i="3"/>
  <c r="AY56" i="3"/>
  <c r="AY113" i="3"/>
  <c r="AY133" i="3"/>
  <c r="AY17" i="3"/>
  <c r="AY390" i="3"/>
  <c r="AY325" i="3"/>
  <c r="AY527" i="3"/>
  <c r="AY498" i="3"/>
  <c r="AY365" i="3"/>
  <c r="AY224" i="3"/>
  <c r="AY253" i="3"/>
  <c r="AY258" i="3"/>
  <c r="AY74" i="3"/>
  <c r="AY80" i="3"/>
  <c r="AY179" i="3"/>
  <c r="AY126" i="3"/>
  <c r="AY209" i="3"/>
  <c r="AY55" i="3"/>
  <c r="AY560" i="3"/>
  <c r="AY310" i="3"/>
  <c r="AY226" i="3"/>
  <c r="AY340" i="3"/>
  <c r="AY405" i="3"/>
  <c r="AY572" i="3"/>
  <c r="AY103" i="3"/>
  <c r="AY408" i="3"/>
  <c r="AY183" i="3"/>
  <c r="AY197" i="3"/>
  <c r="BH6" i="3"/>
  <c r="AY526" i="3"/>
  <c r="AY309" i="3"/>
  <c r="AY44" i="3"/>
  <c r="AY561" i="3"/>
  <c r="AY406" i="3"/>
  <c r="AY150" i="3"/>
  <c r="AY280" i="3"/>
  <c r="BS6" i="3"/>
  <c r="AY282" i="3"/>
  <c r="AY24" i="3"/>
  <c r="AY515" i="3"/>
  <c r="AY46" i="3"/>
  <c r="AY371" i="3"/>
  <c r="AY380" i="3"/>
  <c r="AC7" i="36"/>
  <c r="V36" i="36" s="1"/>
  <c r="I36" i="36" s="1"/>
  <c r="W7" i="36"/>
  <c r="C18" i="59"/>
  <c r="D19" i="59"/>
  <c r="E54" i="34"/>
  <c r="F54" i="34" s="1"/>
  <c r="E53" i="34"/>
  <c r="F53" i="34" s="1"/>
  <c r="C65" i="75"/>
  <c r="C59" i="75"/>
  <c r="J26" i="76"/>
  <c r="J29" i="76" s="1"/>
  <c r="J24" i="76"/>
  <c r="C30" i="83"/>
  <c r="B2" i="83" s="1"/>
  <c r="J26" i="75"/>
  <c r="J29" i="75" s="1"/>
  <c r="J24" i="75"/>
  <c r="G19" i="83"/>
  <c r="E19" i="83" s="1"/>
  <c r="G17" i="83" s="1"/>
  <c r="D46" i="9"/>
  <c r="E6" i="6"/>
  <c r="D13" i="11" s="1"/>
  <c r="C13" i="11" s="1"/>
  <c r="D45" i="9"/>
  <c r="D44" i="9"/>
  <c r="L38" i="9"/>
  <c r="C21" i="4"/>
  <c r="O5" i="54" s="1"/>
  <c r="B45" i="63" s="1"/>
  <c r="C33" i="9"/>
  <c r="S7" i="36"/>
  <c r="AA7" i="36"/>
  <c r="R36" i="36" s="1"/>
  <c r="C49" i="34"/>
  <c r="U6" i="1" s="1"/>
  <c r="C50" i="34"/>
  <c r="B3" i="34" s="1"/>
  <c r="B2" i="34" s="1"/>
  <c r="M19" i="6"/>
  <c r="K27" i="6"/>
  <c r="S6" i="1"/>
  <c r="I54" i="34"/>
  <c r="J54" i="34" s="1"/>
  <c r="C31" i="83"/>
  <c r="AC6" i="3"/>
  <c r="K4" i="78"/>
  <c r="B17" i="78"/>
  <c r="U12" i="40"/>
  <c r="AB12" i="40"/>
  <c r="AA12" i="39"/>
  <c r="S12" i="39"/>
  <c r="AC12" i="39"/>
  <c r="W12" i="39"/>
  <c r="C34" i="73"/>
  <c r="E34" i="73" s="1"/>
  <c r="C31" i="73" s="1"/>
  <c r="E33" i="73"/>
  <c r="C30" i="73" s="1"/>
  <c r="B2" i="73" s="1"/>
  <c r="N16" i="1"/>
  <c r="L16" i="1"/>
  <c r="B3" i="11"/>
  <c r="R39" i="35"/>
  <c r="E38" i="35"/>
  <c r="E33" i="46"/>
  <c r="C30" i="46" s="1"/>
  <c r="B2" i="46" s="1"/>
  <c r="C34" i="46"/>
  <c r="E34" i="46" s="1"/>
  <c r="C31" i="46" s="1"/>
  <c r="AA12" i="40"/>
  <c r="S12" i="40"/>
  <c r="AC12" i="40"/>
  <c r="W12" i="40"/>
  <c r="U12" i="39"/>
  <c r="AB12" i="39"/>
  <c r="B18" i="78"/>
  <c r="K5" i="78"/>
  <c r="P6" i="1"/>
  <c r="H7" i="36"/>
  <c r="C115" i="9"/>
  <c r="D76" i="9" s="1"/>
  <c r="D74" i="9" s="1"/>
  <c r="N74" i="9" s="1"/>
  <c r="O77" i="9" s="1"/>
  <c r="O78" i="9" s="1"/>
  <c r="C98" i="9"/>
  <c r="E98" i="9" s="1"/>
  <c r="E99" i="9" s="1"/>
  <c r="C99" i="9"/>
  <c r="C17" i="76"/>
  <c r="C17" i="75"/>
  <c r="D22" i="74"/>
  <c r="D16" i="43"/>
  <c r="D16" i="74"/>
  <c r="F6" i="75"/>
  <c r="F6" i="76"/>
  <c r="E6" i="3" l="1"/>
  <c r="L66" i="40"/>
  <c r="M64" i="40"/>
  <c r="L69" i="39"/>
  <c r="K71" i="39"/>
  <c r="D29" i="68"/>
  <c r="D38" i="68"/>
  <c r="D39" i="68" s="1"/>
  <c r="D26" i="68"/>
  <c r="D32" i="68" s="1"/>
  <c r="E23" i="68"/>
  <c r="Q77" i="9"/>
  <c r="C16" i="74"/>
  <c r="D19" i="74"/>
  <c r="C19" i="74" s="1"/>
  <c r="C16" i="43"/>
  <c r="C22" i="74"/>
  <c r="C20" i="74" s="1"/>
  <c r="C6" i="76"/>
  <c r="C6" i="75"/>
  <c r="P16" i="1"/>
  <c r="E43" i="35"/>
  <c r="F43" i="35" s="1"/>
  <c r="E42" i="35"/>
  <c r="F42" i="35" s="1"/>
  <c r="I43" i="35"/>
  <c r="J43" i="35" s="1"/>
  <c r="B3" i="73"/>
  <c r="E36" i="36"/>
  <c r="D42" i="9"/>
  <c r="Q5" i="54" s="1"/>
  <c r="B47" i="63" s="1"/>
  <c r="N38" i="9"/>
  <c r="K28" i="9" s="1"/>
  <c r="B3" i="83"/>
  <c r="D19" i="6"/>
  <c r="F1" i="83"/>
  <c r="D4" i="83" s="1"/>
  <c r="F1" i="73"/>
  <c r="D4" i="73" s="1"/>
  <c r="F1" i="46"/>
  <c r="D22" i="6"/>
  <c r="E62" i="40"/>
  <c r="D11" i="6"/>
  <c r="D14" i="6"/>
  <c r="E44" i="9"/>
  <c r="D25" i="6"/>
  <c r="F46" i="9"/>
  <c r="D26" i="6"/>
  <c r="D10" i="6"/>
  <c r="D12" i="6"/>
  <c r="H20" i="6"/>
  <c r="R20" i="6" s="1"/>
  <c r="D23" i="6"/>
  <c r="F45" i="9"/>
  <c r="C22" i="4"/>
  <c r="D9" i="6"/>
  <c r="H22" i="6"/>
  <c r="D15" i="6"/>
  <c r="D13" i="6"/>
  <c r="D29" i="6"/>
  <c r="F44" i="9"/>
  <c r="H21" i="6"/>
  <c r="R21" i="6" s="1"/>
  <c r="E46" i="9"/>
  <c r="H25" i="6"/>
  <c r="D6" i="6"/>
  <c r="D8" i="6"/>
  <c r="D16" i="6" s="1"/>
  <c r="K38" i="9"/>
  <c r="E45" i="9"/>
  <c r="E67" i="39"/>
  <c r="D5" i="6"/>
  <c r="H24" i="6"/>
  <c r="H26" i="6"/>
  <c r="D28" i="6"/>
  <c r="D24" i="6"/>
  <c r="R24" i="6" s="1"/>
  <c r="H23" i="6"/>
  <c r="G22" i="9"/>
  <c r="C34" i="9"/>
  <c r="C35" i="9"/>
  <c r="F42" i="9" s="1"/>
  <c r="B4" i="11"/>
  <c r="B5" i="11"/>
  <c r="U7" i="36"/>
  <c r="AB7" i="36"/>
  <c r="T36" i="36" s="1"/>
  <c r="G36" i="36" s="1"/>
  <c r="B4" i="46"/>
  <c r="B3" i="46"/>
  <c r="D4" i="46"/>
  <c r="C38" i="35"/>
  <c r="C39" i="35"/>
  <c r="B3" i="35" s="1"/>
  <c r="B2" i="35" s="1"/>
  <c r="S16" i="1"/>
  <c r="I19" i="6"/>
  <c r="M27" i="6"/>
  <c r="D18" i="59"/>
  <c r="C17" i="59"/>
  <c r="I41" i="36"/>
  <c r="J41" i="36" s="1"/>
  <c r="I40" i="36"/>
  <c r="J40" i="36" s="1"/>
  <c r="O79" i="9"/>
  <c r="O80" i="9" s="1"/>
  <c r="R22" i="6" l="1"/>
  <c r="B4" i="83"/>
  <c r="M69" i="39"/>
  <c r="L71" i="39"/>
  <c r="E38" i="68"/>
  <c r="E39" i="68" s="1"/>
  <c r="C40" i="68" s="1"/>
  <c r="E26" i="68"/>
  <c r="E32" i="68" s="1"/>
  <c r="E29" i="68"/>
  <c r="N64" i="40"/>
  <c r="N66" i="40" s="1"/>
  <c r="M66" i="40"/>
  <c r="O81" i="9"/>
  <c r="I27" i="6"/>
  <c r="S19" i="6"/>
  <c r="S27" i="6" s="1"/>
  <c r="T8" i="1"/>
  <c r="T7" i="1"/>
  <c r="T10" i="1"/>
  <c r="T11" i="1"/>
  <c r="T9" i="1"/>
  <c r="T13" i="1"/>
  <c r="T12" i="1"/>
  <c r="G41" i="36"/>
  <c r="H41" i="36" s="1"/>
  <c r="G40" i="36"/>
  <c r="H40" i="36" s="1"/>
  <c r="M38" i="9"/>
  <c r="K27" i="9" s="1"/>
  <c r="E42" i="9"/>
  <c r="P5" i="54" s="1"/>
  <c r="B46" i="63" s="1"/>
  <c r="D27" i="6"/>
  <c r="E40" i="36"/>
  <c r="F40" i="36" s="1"/>
  <c r="E41" i="36"/>
  <c r="F41" i="36" s="1"/>
  <c r="B4" i="73"/>
  <c r="C10" i="76"/>
  <c r="C5" i="76" s="1"/>
  <c r="C38" i="76" s="1"/>
  <c r="C32" i="76"/>
  <c r="C33" i="76"/>
  <c r="D17" i="59"/>
  <c r="T17" i="59"/>
  <c r="C16" i="59"/>
  <c r="T6" i="1"/>
  <c r="D30" i="6"/>
  <c r="A6" i="64"/>
  <c r="A20" i="64"/>
  <c r="N5" i="54"/>
  <c r="B43" i="63" s="1"/>
  <c r="A20" i="51"/>
  <c r="B15" i="63" s="1"/>
  <c r="A6" i="51"/>
  <c r="B7" i="63" s="1"/>
  <c r="R23" i="6"/>
  <c r="R26" i="6"/>
  <c r="R25" i="6"/>
  <c r="H19" i="6"/>
  <c r="H27" i="6" s="1"/>
  <c r="R37" i="36"/>
  <c r="C32" i="75"/>
  <c r="C33" i="75"/>
  <c r="C10" i="75"/>
  <c r="C5" i="75" s="1"/>
  <c r="C38" i="75" s="1"/>
  <c r="C16" i="44"/>
  <c r="C14" i="76"/>
  <c r="C13" i="74"/>
  <c r="C14" i="75"/>
  <c r="C13" i="43"/>
  <c r="J9" i="40" l="1"/>
  <c r="F9" i="40"/>
  <c r="H9" i="40"/>
  <c r="C41" i="68"/>
  <c r="B2" i="68"/>
  <c r="B3" i="68" s="1"/>
  <c r="M71" i="39"/>
  <c r="N69" i="39"/>
  <c r="N71" i="39" s="1"/>
  <c r="C15" i="75"/>
  <c r="C18" i="75"/>
  <c r="C14" i="43"/>
  <c r="C17" i="43"/>
  <c r="C18" i="76"/>
  <c r="C15" i="76"/>
  <c r="C17" i="74"/>
  <c r="C14" i="74"/>
  <c r="C17" i="44"/>
  <c r="C20" i="44"/>
  <c r="T16" i="1"/>
  <c r="R19" i="6"/>
  <c r="C37" i="36"/>
  <c r="B3" i="36" s="1"/>
  <c r="B2" i="36" s="1"/>
  <c r="C36" i="36"/>
  <c r="D16" i="59"/>
  <c r="C15" i="59"/>
  <c r="D31" i="6"/>
  <c r="S9" i="40" l="1"/>
  <c r="AA9" i="40"/>
  <c r="R44" i="40" s="1"/>
  <c r="F9" i="39"/>
  <c r="J9" i="39"/>
  <c r="H9" i="39"/>
  <c r="U9" i="40"/>
  <c r="AB9" i="40"/>
  <c r="T44" i="40" s="1"/>
  <c r="G44" i="40" s="1"/>
  <c r="AC9" i="40"/>
  <c r="V44" i="40" s="1"/>
  <c r="I44" i="40" s="1"/>
  <c r="W9" i="40"/>
  <c r="C19" i="75"/>
  <c r="C20" i="75" s="1"/>
  <c r="C26" i="75" s="1"/>
  <c r="C21" i="44"/>
  <c r="C22" i="44" s="1"/>
  <c r="C25" i="44" s="1"/>
  <c r="C19" i="76"/>
  <c r="C20" i="76" s="1"/>
  <c r="C23" i="76" s="1"/>
  <c r="C18" i="43"/>
  <c r="C19" i="43" s="1"/>
  <c r="C21" i="43" s="1"/>
  <c r="C18" i="74"/>
  <c r="C23" i="74" s="1"/>
  <c r="I5" i="6"/>
  <c r="I6" i="6"/>
  <c r="D15" i="59"/>
  <c r="C14" i="59"/>
  <c r="R6" i="1"/>
  <c r="R27" i="6"/>
  <c r="M21" i="75"/>
  <c r="M21" i="76"/>
  <c r="F35" i="75"/>
  <c r="F35" i="76"/>
  <c r="G49" i="40" l="1"/>
  <c r="H49" i="40" s="1"/>
  <c r="G48" i="40"/>
  <c r="H48" i="40" s="1"/>
  <c r="AB9" i="39"/>
  <c r="T49" i="39" s="1"/>
  <c r="G49" i="39" s="1"/>
  <c r="U9" i="39"/>
  <c r="AA9" i="39"/>
  <c r="R49" i="39" s="1"/>
  <c r="S9" i="39"/>
  <c r="I48" i="40"/>
  <c r="J48" i="40" s="1"/>
  <c r="AC9" i="39"/>
  <c r="V49" i="39" s="1"/>
  <c r="I49" i="39" s="1"/>
  <c r="W9" i="39"/>
  <c r="E44" i="40"/>
  <c r="R45" i="40"/>
  <c r="C20" i="43"/>
  <c r="C23" i="43" s="1"/>
  <c r="C27" i="43" s="1"/>
  <c r="B2" i="43" s="1"/>
  <c r="C34" i="76"/>
  <c r="C31" i="76" s="1"/>
  <c r="F62" i="76"/>
  <c r="C61" i="76" s="1"/>
  <c r="C58" i="76" s="1"/>
  <c r="J20" i="76"/>
  <c r="J17" i="76" s="1"/>
  <c r="J20" i="75"/>
  <c r="J17" i="75" s="1"/>
  <c r="C34" i="75"/>
  <c r="C31" i="75" s="1"/>
  <c r="F62" i="75"/>
  <c r="C61" i="75" s="1"/>
  <c r="C58" i="75" s="1"/>
  <c r="R16" i="1"/>
  <c r="C23" i="75"/>
  <c r="C29" i="75" s="1"/>
  <c r="C26" i="76"/>
  <c r="C29" i="76" s="1"/>
  <c r="C28" i="44"/>
  <c r="C31" i="44" s="1"/>
  <c r="C13" i="59"/>
  <c r="D14" i="59"/>
  <c r="B3" i="43"/>
  <c r="B5" i="43"/>
  <c r="E49" i="40" l="1"/>
  <c r="F49" i="40" s="1"/>
  <c r="E48" i="40"/>
  <c r="F48" i="40" s="1"/>
  <c r="I53" i="39"/>
  <c r="J53" i="39" s="1"/>
  <c r="R50" i="39"/>
  <c r="E49" i="39"/>
  <c r="G53" i="39"/>
  <c r="H53" i="39" s="1"/>
  <c r="G54" i="39"/>
  <c r="H54" i="39" s="1"/>
  <c r="C44" i="40"/>
  <c r="C45" i="40"/>
  <c r="I49" i="40"/>
  <c r="J49" i="40" s="1"/>
  <c r="T13" i="59"/>
  <c r="D13" i="59"/>
  <c r="C12" i="59"/>
  <c r="C13" i="76"/>
  <c r="C36" i="76"/>
  <c r="C56" i="76"/>
  <c r="C63" i="76" s="1"/>
  <c r="J14" i="76"/>
  <c r="Q50" i="76"/>
  <c r="C38" i="44"/>
  <c r="J16" i="44"/>
  <c r="Q51" i="44"/>
  <c r="C15" i="44"/>
  <c r="Q50" i="75"/>
  <c r="C36" i="75"/>
  <c r="J14" i="75"/>
  <c r="C56" i="75"/>
  <c r="C63" i="75" s="1"/>
  <c r="C13" i="75"/>
  <c r="B4" i="43"/>
  <c r="E53" i="39" l="1"/>
  <c r="F53" i="39" s="1"/>
  <c r="E54" i="39"/>
  <c r="F54" i="39" s="1"/>
  <c r="B54" i="40"/>
  <c r="F54" i="40" s="1"/>
  <c r="B57" i="40"/>
  <c r="F57" i="40" s="1"/>
  <c r="B53" i="40"/>
  <c r="F53" i="40" s="1"/>
  <c r="F62" i="40"/>
  <c r="B2" i="40" s="1"/>
  <c r="B55" i="40"/>
  <c r="F55" i="40" s="1"/>
  <c r="B59" i="40"/>
  <c r="F59" i="40" s="1"/>
  <c r="B56" i="40"/>
  <c r="F56" i="40" s="1"/>
  <c r="B60" i="40"/>
  <c r="F60" i="40" s="1"/>
  <c r="B58" i="40"/>
  <c r="F58" i="40" s="1"/>
  <c r="B61" i="40"/>
  <c r="F61" i="40" s="1"/>
  <c r="C49" i="39"/>
  <c r="C50" i="39"/>
  <c r="I54" i="39"/>
  <c r="J54" i="39" s="1"/>
  <c r="J15" i="44"/>
  <c r="J25" i="44" s="1"/>
  <c r="J24" i="44"/>
  <c r="J22" i="76"/>
  <c r="J13" i="76"/>
  <c r="J23" i="76" s="1"/>
  <c r="D12" i="59"/>
  <c r="C11" i="59"/>
  <c r="Q71" i="75"/>
  <c r="J35" i="75"/>
  <c r="C55" i="75"/>
  <c r="C64" i="75" s="1"/>
  <c r="C57" i="75" s="1"/>
  <c r="C66" i="75" s="1"/>
  <c r="C67" i="75" s="1"/>
  <c r="C37" i="75"/>
  <c r="C30" i="75" s="1"/>
  <c r="C39" i="75" s="1"/>
  <c r="J13" i="75"/>
  <c r="J23" i="75" s="1"/>
  <c r="J22" i="75"/>
  <c r="C55" i="76"/>
  <c r="C64" i="76" s="1"/>
  <c r="C57" i="76" s="1"/>
  <c r="C66" i="76" s="1"/>
  <c r="C67" i="76" s="1"/>
  <c r="C37" i="76"/>
  <c r="C30" i="76" s="1"/>
  <c r="C39" i="76" s="1"/>
  <c r="Q71" i="76"/>
  <c r="J35" i="76"/>
  <c r="Q72" i="44"/>
  <c r="C39" i="44"/>
  <c r="C32" i="44" s="1"/>
  <c r="C42" i="44" s="1"/>
  <c r="C43" i="44"/>
  <c r="J39" i="76" l="1"/>
  <c r="J40" i="76" s="1"/>
  <c r="B65" i="39"/>
  <c r="F65" i="39" s="1"/>
  <c r="B63" i="39"/>
  <c r="F63" i="39" s="1"/>
  <c r="B61" i="39"/>
  <c r="F61" i="39" s="1"/>
  <c r="B66" i="39"/>
  <c r="F66" i="39" s="1"/>
  <c r="B60" i="39"/>
  <c r="F60" i="39" s="1"/>
  <c r="B59" i="39"/>
  <c r="F59" i="39" s="1"/>
  <c r="B58" i="39"/>
  <c r="F58" i="39" s="1"/>
  <c r="F67" i="39"/>
  <c r="B2" i="39" s="1"/>
  <c r="B62" i="39"/>
  <c r="F62" i="39" s="1"/>
  <c r="B64" i="39"/>
  <c r="F64" i="39" s="1"/>
  <c r="B3" i="40"/>
  <c r="B5" i="40"/>
  <c r="B4" i="40"/>
  <c r="J18" i="44"/>
  <c r="J27" i="44" s="1"/>
  <c r="C70" i="76"/>
  <c r="C40" i="75"/>
  <c r="C46" i="75" s="1"/>
  <c r="Q70" i="75"/>
  <c r="Q69" i="75" s="1"/>
  <c r="J39" i="75"/>
  <c r="J40" i="75" s="1"/>
  <c r="C10" i="59"/>
  <c r="D11" i="59"/>
  <c r="C70" i="75"/>
  <c r="Q70" i="76"/>
  <c r="Q69" i="76" s="1"/>
  <c r="C40" i="76"/>
  <c r="J16" i="75"/>
  <c r="J25" i="75" s="1"/>
  <c r="J16" i="76"/>
  <c r="J25" i="76" s="1"/>
  <c r="C44" i="44"/>
  <c r="C45" i="44" s="1"/>
  <c r="Q71" i="44"/>
  <c r="Q70" i="44" s="1"/>
  <c r="L51" i="75"/>
  <c r="L51" i="76"/>
  <c r="B4" i="39" l="1"/>
  <c r="B3" i="39"/>
  <c r="B5" i="39"/>
  <c r="Q68" i="76"/>
  <c r="Q68" i="75"/>
  <c r="C10" i="74"/>
  <c r="C6" i="74" s="1"/>
  <c r="Q66" i="76"/>
  <c r="Q76" i="76" s="1"/>
  <c r="B2" i="76"/>
  <c r="B3" i="76" s="1"/>
  <c r="Q48" i="76"/>
  <c r="Q54" i="76" s="1"/>
  <c r="Q57" i="76"/>
  <c r="Q63" i="76" s="1"/>
  <c r="C43" i="76"/>
  <c r="B10" i="78" s="1"/>
  <c r="I10" i="78" s="1"/>
  <c r="J42" i="76"/>
  <c r="J43" i="76" s="1"/>
  <c r="L52" i="44"/>
  <c r="B2" i="44"/>
  <c r="C46" i="76"/>
  <c r="D10" i="59"/>
  <c r="C9" i="59"/>
  <c r="C10" i="12"/>
  <c r="C6" i="12" s="1"/>
  <c r="C24" i="12" s="1"/>
  <c r="Q48" i="75"/>
  <c r="Q54" i="75" s="1"/>
  <c r="C43" i="75"/>
  <c r="B9" i="78" s="1"/>
  <c r="I9" i="78" s="1"/>
  <c r="Q66" i="75"/>
  <c r="Q76" i="75" s="1"/>
  <c r="Q57" i="75"/>
  <c r="Q63" i="75" s="1"/>
  <c r="B2" i="75"/>
  <c r="B3" i="75" s="1"/>
  <c r="J42" i="75"/>
  <c r="J43" i="75" s="1"/>
  <c r="C35" i="12" l="1"/>
  <c r="C33" i="12" s="1"/>
  <c r="C28" i="12"/>
  <c r="C26" i="12" s="1"/>
  <c r="C31" i="12" s="1"/>
  <c r="C30" i="12" s="1"/>
  <c r="B3" i="44"/>
  <c r="B5" i="44"/>
  <c r="B4" i="44"/>
  <c r="C24" i="74"/>
  <c r="C8" i="59"/>
  <c r="D9" i="59"/>
  <c r="T9" i="59"/>
  <c r="L58" i="44"/>
  <c r="L61" i="44" s="1"/>
  <c r="Q69" i="44"/>
  <c r="C36" i="12" l="1"/>
  <c r="B2" i="12" s="1"/>
  <c r="D8" i="59"/>
  <c r="C7" i="59"/>
  <c r="C35" i="74"/>
  <c r="C33" i="74" s="1"/>
  <c r="C28" i="74"/>
  <c r="C26" i="74" s="1"/>
  <c r="C31" i="74" s="1"/>
  <c r="C30" i="74" s="1"/>
  <c r="Q59" i="44"/>
  <c r="Q64" i="44" s="1"/>
  <c r="Q68" i="44"/>
  <c r="Q77" i="44" s="1"/>
  <c r="B4" i="12"/>
  <c r="B3" i="12"/>
  <c r="C36" i="74" l="1"/>
  <c r="B2" i="74" s="1"/>
  <c r="J9" i="78"/>
  <c r="D7" i="59"/>
  <c r="C6" i="59"/>
  <c r="B5" i="12"/>
  <c r="B3" i="74"/>
  <c r="B5" i="74"/>
  <c r="C11" i="85" l="1"/>
  <c r="G10" i="85" s="1"/>
  <c r="J10" i="78"/>
  <c r="C5" i="59"/>
  <c r="D6" i="59"/>
  <c r="D17" i="78"/>
  <c r="K9" i="78"/>
  <c r="B4" i="74"/>
  <c r="B25" i="78" l="1"/>
  <c r="C25" i="78" s="1"/>
  <c r="J17" i="78"/>
  <c r="D25" i="78"/>
  <c r="E25" i="78" s="1"/>
  <c r="T5" i="59"/>
  <c r="D5" i="59"/>
  <c r="M24" i="73"/>
  <c r="M24" i="83"/>
  <c r="M24" i="46"/>
  <c r="C26" i="85"/>
  <c r="E25" i="85" s="1"/>
  <c r="F25" i="85" s="1"/>
  <c r="C14" i="85"/>
  <c r="E13" i="85" s="1"/>
  <c r="C20" i="85"/>
  <c r="E19" i="85" s="1"/>
  <c r="F19" i="85" s="1"/>
  <c r="E10" i="85"/>
  <c r="F10" i="85" s="1"/>
  <c r="K10" i="78"/>
  <c r="D18" i="78"/>
  <c r="K17" i="78" l="1"/>
  <c r="I17" i="78"/>
  <c r="D26" i="78"/>
  <c r="E26" i="78" s="1"/>
  <c r="B26" i="78"/>
  <c r="C26" i="78" s="1"/>
  <c r="J18" i="78"/>
  <c r="F13" i="85"/>
  <c r="D39" i="85" s="1"/>
  <c r="D32" i="85"/>
  <c r="F32" i="85" s="1"/>
  <c r="F33" i="85" s="1"/>
  <c r="F34" i="85" s="1"/>
  <c r="D14" i="66" s="1"/>
  <c r="F39" i="85" l="1"/>
  <c r="F40" i="85" s="1"/>
  <c r="F41" i="85" s="1"/>
  <c r="D46" i="85"/>
  <c r="F46" i="85" s="1"/>
  <c r="F47" i="85" s="1"/>
  <c r="F48" i="85" s="1"/>
  <c r="F14" i="66"/>
  <c r="E14" i="66"/>
  <c r="B5" i="66"/>
  <c r="I18" i="78"/>
  <c r="I19" i="78" s="1"/>
  <c r="K18" i="78"/>
  <c r="L18" i="78" s="1"/>
  <c r="D5" i="66" l="1"/>
  <c r="C5" i="66"/>
  <c r="I20" i="78"/>
  <c r="I22"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100-000002000000}">
      <text>
        <r>
          <rPr>
            <sz val="11"/>
            <color indexed="81"/>
            <rFont val="宋体"/>
            <family val="3"/>
            <charset val="134"/>
          </rPr>
          <t xml:space="preserve">录入层数，将对应的结果录入至左侧相应层的楼层修正系数单元格中
</t>
        </r>
      </text>
    </comment>
    <comment ref="Z9" authorId="0" shapeId="0" xr:uid="{00000000-0006-0000-11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1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1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1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1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1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1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1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1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1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1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1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100-00000F000000}">
      <text>
        <r>
          <rPr>
            <sz val="12"/>
            <color indexed="81"/>
            <rFont val="宋体"/>
            <family val="3"/>
            <charset val="134"/>
          </rPr>
          <t>1.05~1.1</t>
        </r>
        <r>
          <rPr>
            <sz val="9"/>
            <color indexed="81"/>
            <rFont val="宋体"/>
            <family val="3"/>
            <charset val="134"/>
          </rPr>
          <t xml:space="preserve">
</t>
        </r>
      </text>
    </comment>
    <comment ref="E16" authorId="1" shapeId="0" xr:uid="{00000000-0006-0000-11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1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100-000012000000}">
      <text>
        <r>
          <rPr>
            <b/>
            <sz val="16"/>
            <color indexed="81"/>
            <rFont val="宋体"/>
            <family val="3"/>
            <charset val="134"/>
          </rPr>
          <t>工业选“中心城区”</t>
        </r>
      </text>
    </comment>
    <comment ref="B35" authorId="3" shapeId="0" xr:uid="{00000000-0006-0000-11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100-000014000000}">
      <text>
        <r>
          <rPr>
            <sz val="10"/>
            <color indexed="81"/>
            <rFont val="宋体"/>
            <family val="3"/>
            <charset val="134"/>
          </rPr>
          <t xml:space="preserve">需在此处填写剩余土地年限
</t>
        </r>
      </text>
    </comment>
    <comment ref="C112" authorId="0" shapeId="0" xr:uid="{00000000-0006-0000-11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1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1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1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1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1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1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1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1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1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1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1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1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200-000002000000}">
      <text>
        <r>
          <rPr>
            <sz val="11"/>
            <color indexed="81"/>
            <rFont val="宋体"/>
            <family val="3"/>
            <charset val="134"/>
          </rPr>
          <t xml:space="preserve">录入层数，将对应的结果录入至左侧相应层的楼层修正系数单元格中
</t>
        </r>
      </text>
    </comment>
    <comment ref="Z9" authorId="0" shapeId="0" xr:uid="{00000000-0006-0000-12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2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2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2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2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2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2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2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2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2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2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2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200-00000F000000}">
      <text>
        <r>
          <rPr>
            <sz val="12"/>
            <color indexed="81"/>
            <rFont val="宋体"/>
            <family val="3"/>
            <charset val="134"/>
          </rPr>
          <t>1.05~1.1</t>
        </r>
        <r>
          <rPr>
            <sz val="9"/>
            <color indexed="81"/>
            <rFont val="宋体"/>
            <family val="3"/>
            <charset val="134"/>
          </rPr>
          <t xml:space="preserve">
</t>
        </r>
      </text>
    </comment>
    <comment ref="E16" authorId="1" shapeId="0" xr:uid="{00000000-0006-0000-12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2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200-000012000000}">
      <text>
        <r>
          <rPr>
            <b/>
            <sz val="16"/>
            <color indexed="81"/>
            <rFont val="宋体"/>
            <family val="3"/>
            <charset val="134"/>
          </rPr>
          <t>工业选“中心城区”</t>
        </r>
      </text>
    </comment>
    <comment ref="B35" authorId="3" shapeId="0" xr:uid="{00000000-0006-0000-12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200-000014000000}">
      <text>
        <r>
          <rPr>
            <sz val="10"/>
            <color indexed="81"/>
            <rFont val="宋体"/>
            <family val="3"/>
            <charset val="134"/>
          </rPr>
          <t xml:space="preserve">需在此处填写剩余土地年限
</t>
        </r>
      </text>
    </comment>
    <comment ref="C112" authorId="0" shapeId="0" xr:uid="{00000000-0006-0000-12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2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2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2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2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2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2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2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2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2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2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2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2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诗霖</author>
  </authors>
  <commentList>
    <comment ref="E22" authorId="0" shapeId="0" xr:uid="{00000000-0006-0000-1400-000001000000}">
      <text>
        <r>
          <rPr>
            <b/>
            <sz val="11"/>
            <color indexed="81"/>
            <rFont val="ＭＳ Ｐゴシック"/>
            <family val="2"/>
            <charset val="128"/>
          </rPr>
          <t>诗霖:</t>
        </r>
        <r>
          <rPr>
            <sz val="11"/>
            <color indexed="81"/>
            <rFont val="ＭＳ Ｐゴシック"/>
            <family val="2"/>
            <charset val="128"/>
          </rPr>
          <t xml:space="preserve">
内部员工食堂及厨房+物业用房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7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9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D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D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D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100-000004000000}">
      <text>
        <r>
          <rPr>
            <b/>
            <sz val="12"/>
            <color indexed="81"/>
            <rFont val="宋体"/>
            <family val="3"/>
            <charset val="134"/>
          </rPr>
          <t>所属项目品质或
物业管理</t>
        </r>
      </text>
    </comment>
    <comment ref="B90" authorId="0" shapeId="0" xr:uid="{00000000-0006-0000-3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200-000004000000}">
      <text>
        <r>
          <rPr>
            <b/>
            <sz val="12"/>
            <color indexed="81"/>
            <rFont val="宋体"/>
            <family val="3"/>
            <charset val="134"/>
          </rPr>
          <t>所属项目品质或
物业管理</t>
        </r>
      </text>
    </comment>
    <comment ref="B86" authorId="0" shapeId="0" xr:uid="{00000000-0006-0000-3200-000005000000}">
      <text>
        <r>
          <rPr>
            <b/>
            <sz val="12"/>
            <color indexed="81"/>
            <rFont val="宋体"/>
            <family val="3"/>
            <charset val="134"/>
          </rPr>
          <t>所属项目品质</t>
        </r>
      </text>
    </comment>
    <comment ref="B89" authorId="0" shapeId="0" xr:uid="{00000000-0006-0000-3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<sst xmlns="http://schemas.openxmlformats.org/spreadsheetml/2006/main" count="8968" uniqueCount="3414">
  <si>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</si>
  <si>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</si>
  <si>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</si>
  <si>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</si>
  <si>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</si>
  <si>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</si>
  <si>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</si>
  <si>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</si>
  <si>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</si>
  <si>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</si>
  <si>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</si>
  <si>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</si>
  <si>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</si>
  <si>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</si>
  <si>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</si>
  <si>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</si>
  <si>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</si>
  <si>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</si>
  <si>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</si>
  <si>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</si>
  <si>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</si>
  <si>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</si>
  <si>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</si>
  <si>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</si>
  <si>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</si>
  <si>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</si>
  <si>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</si>
  <si>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</si>
  <si>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</si>
  <si>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</si>
  <si>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</si>
  <si>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</si>
  <si>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</si>
  <si>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</si>
  <si>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</si>
  <si>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</si>
  <si>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</si>
  <si>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</si>
  <si>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</si>
  <si>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</si>
  <si>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</si>
  <si>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</si>
  <si>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</si>
  <si>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</si>
  <si>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</si>
  <si>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</si>
  <si>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</si>
  <si>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</si>
  <si>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</si>
  <si>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</si>
  <si>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</si>
  <si>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</si>
  <si>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</si>
  <si>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</si>
  <si>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</si>
  <si>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</si>
  <si>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</si>
  <si>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</si>
  <si>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</si>
  <si>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</si>
  <si>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</si>
  <si>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</si>
  <si>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</si>
  <si>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</si>
  <si>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</si>
  <si>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</si>
  <si>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</si>
  <si>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</si>
  <si>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</si>
  <si>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</si>
  <si>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</si>
  <si>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</si>
  <si>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</si>
  <si>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</si>
  <si>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</si>
  <si>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</si>
  <si>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</si>
  <si>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</si>
  <si>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</si>
  <si>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</si>
  <si>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</si>
  <si>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</si>
  <si>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</si>
  <si>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</si>
  <si>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</si>
  <si>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</si>
  <si>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</si>
  <si>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</si>
  <si>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</si>
  <si>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</si>
  <si>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</si>
  <si>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</si>
  <si>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</si>
  <si>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</si>
  <si>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</si>
  <si>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</si>
  <si>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</si>
  <si>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</si>
  <si>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</si>
  <si>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</si>
  <si>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</si>
  <si>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</si>
  <si>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</si>
  <si>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</si>
  <si>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</si>
  <si>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</si>
  <si>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</si>
  <si>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</si>
  <si>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</si>
  <si>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</si>
  <si>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</si>
  <si>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</si>
  <si>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</si>
  <si>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</si>
  <si>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</si>
  <si>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</si>
  <si>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</si>
  <si>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</si>
  <si>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</si>
  <si>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</si>
  <si>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</si>
  <si>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</si>
  <si>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</si>
  <si>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</si>
  <si>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</si>
  <si>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</si>
  <si>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</si>
  <si>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</si>
  <si>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</si>
  <si>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</si>
  <si>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</si>
  <si>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</si>
  <si>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</si>
  <si>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</si>
  <si>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</si>
  <si>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</si>
  <si>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</si>
  <si>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</si>
  <si>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</si>
  <si>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</si>
  <si>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</si>
  <si>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</si>
  <si>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</si>
  <si>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</si>
  <si>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</si>
  <si>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</si>
  <si>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</si>
  <si>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</si>
  <si>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</si>
  <si>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</si>
  <si>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</si>
  <si>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</si>
  <si>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</si>
  <si>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</si>
  <si>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</si>
  <si>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</si>
  <si>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</si>
  <si>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</si>
  <si>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</si>
  <si>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</si>
  <si>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</si>
  <si>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</si>
  <si>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</si>
  <si>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</si>
  <si>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</si>
  <si>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</si>
  <si>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</si>
  <si>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</si>
  <si>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</si>
  <si>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</si>
  <si>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</si>
  <si>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</si>
  <si>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</si>
  <si>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</si>
  <si>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</si>
  <si>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</si>
  <si>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</si>
  <si>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</si>
  <si>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</si>
  <si>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</si>
  <si>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</si>
  <si>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</si>
  <si>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</si>
  <si>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</si>
  <si>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</si>
  <si>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</si>
  <si>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</si>
  <si>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</si>
  <si>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</si>
  <si>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</si>
  <si>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</si>
  <si>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</si>
  <si>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</si>
  <si>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</si>
  <si>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</si>
  <si>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</si>
  <si>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</si>
  <si>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</si>
  <si>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</si>
  <si>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</si>
  <si>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</si>
  <si>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</si>
  <si>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</si>
  <si>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</si>
  <si>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</si>
  <si>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</si>
  <si>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</si>
  <si>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</si>
  <si>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</si>
  <si>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</si>
  <si>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</si>
  <si>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</si>
  <si>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</si>
  <si>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</si>
  <si>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</si>
  <si>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</si>
  <si>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</si>
  <si>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</si>
  <si>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</si>
  <si>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</si>
  <si>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</si>
  <si>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</si>
  <si>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</si>
  <si>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</si>
  <si>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</si>
  <si>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</si>
  <si>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</si>
  <si>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</si>
  <si>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</si>
  <si>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</si>
  <si>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</si>
  <si>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</si>
  <si>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</si>
  <si>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</si>
  <si>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</si>
  <si>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</si>
  <si>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</si>
  <si>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</si>
  <si>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</si>
  <si>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</si>
  <si>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</si>
  <si>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</si>
  <si>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</si>
  <si>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</si>
  <si>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</si>
  <si>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</si>
  <si>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</si>
  <si>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</si>
  <si>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</si>
  <si>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</si>
  <si>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</si>
  <si>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</si>
  <si>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</si>
  <si>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</si>
  <si>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</si>
  <si>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</si>
  <si>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</si>
  <si>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</si>
  <si>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</si>
  <si>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</si>
  <si>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</si>
  <si>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</si>
  <si>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</si>
  <si>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</si>
  <si>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</si>
  <si>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</si>
  <si>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</si>
  <si>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</si>
  <si>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</si>
  <si>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</si>
  <si>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</si>
  <si>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</si>
  <si>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</si>
  <si>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</si>
  <si>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</si>
  <si>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</si>
  <si>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</si>
  <si>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</si>
  <si>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</si>
  <si>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</si>
  <si>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</si>
  <si>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</si>
  <si>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</si>
  <si>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</si>
  <si>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</si>
  <si>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</si>
  <si>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</si>
  <si>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</si>
  <si>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</si>
  <si>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</si>
  <si>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</si>
  <si>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</si>
  <si>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</si>
  <si>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</si>
  <si>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</si>
  <si>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</si>
  <si>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</si>
  <si>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</si>
  <si>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</si>
  <si>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</si>
  <si>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</si>
  <si>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</si>
  <si>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</si>
  <si>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</si>
  <si>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</si>
  <si>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</si>
  <si>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</si>
  <si>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</si>
  <si>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</si>
  <si>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</si>
  <si>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</si>
  <si>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</si>
  <si>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</si>
  <si>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</si>
  <si>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</si>
  <si>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</si>
  <si>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</si>
  <si>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</si>
  <si>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</si>
  <si>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</si>
  <si>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</si>
  <si>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</si>
  <si>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</si>
  <si>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</si>
  <si>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</si>
  <si>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</si>
  <si>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</si>
  <si>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</si>
  <si>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</si>
  <si>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</si>
  <si>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</si>
  <si>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</si>
  <si>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</si>
  <si>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</si>
  <si>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</si>
  <si>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</si>
  <si>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</si>
  <si>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</si>
  <si>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</si>
  <si>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</si>
  <si>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</si>
  <si>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</si>
  <si>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</si>
  <si>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</si>
  <si>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</si>
  <si>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</si>
  <si>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</si>
  <si>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</si>
  <si>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</si>
  <si>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</si>
  <si>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</si>
  <si>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</si>
  <si>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</si>
  <si>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</si>
  <si>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</si>
  <si>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</si>
  <si>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</si>
  <si>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</si>
  <si>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</si>
  <si>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</si>
  <si>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</si>
  <si>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</si>
  <si>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</si>
  <si>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</si>
  <si>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</si>
  <si>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</si>
  <si>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</si>
  <si>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</si>
  <si>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</si>
  <si>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</si>
  <si>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</si>
  <si>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</si>
  <si>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</si>
  <si>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</si>
  <si>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</si>
  <si>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</si>
  <si>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</si>
  <si>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</si>
  <si>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</si>
  <si>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</si>
  <si>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</si>
  <si>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</si>
  <si>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</si>
  <si>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</si>
  <si>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</si>
  <si>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</si>
  <si>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</si>
  <si>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</si>
  <si>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</si>
  <si>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</si>
  <si>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</si>
  <si>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</si>
  <si>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</si>
  <si>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</si>
  <si>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</si>
  <si>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</si>
  <si>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</si>
  <si>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</si>
  <si>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</si>
  <si>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</si>
  <si>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</si>
  <si>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</si>
  <si>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</si>
  <si>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</si>
  <si>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</si>
  <si>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</si>
  <si>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</si>
  <si>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</si>
  <si>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</si>
  <si>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</si>
  <si>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</si>
  <si>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</si>
  <si>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</si>
  <si>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</si>
  <si>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</si>
  <si>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</si>
  <si>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</si>
  <si>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</si>
  <si>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</si>
  <si>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</si>
  <si>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</si>
  <si>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</si>
  <si>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</si>
  <si>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</si>
  <si>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</si>
  <si>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</si>
  <si>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</si>
  <si>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</si>
  <si>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</si>
  <si>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</si>
  <si>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</si>
  <si>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</si>
  <si>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</si>
  <si>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</si>
  <si>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</si>
  <si>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</si>
  <si>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</si>
  <si>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</si>
  <si>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</si>
  <si>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</si>
  <si>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</si>
  <si>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</si>
  <si>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</si>
  <si>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</si>
  <si>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</si>
  <si>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</si>
  <si>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</si>
  <si>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</si>
  <si>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</si>
  <si>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</si>
  <si>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</si>
  <si>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</si>
  <si>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</si>
  <si>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</si>
  <si>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</si>
  <si>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</si>
  <si>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</si>
  <si>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</si>
  <si>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</si>
  <si>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</si>
  <si>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</si>
  <si>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</si>
  <si>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</si>
  <si>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</si>
  <si>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</si>
  <si>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</si>
  <si>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</si>
  <si>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</si>
  <si>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</si>
  <si>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</si>
  <si>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</si>
  <si>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</si>
  <si>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</si>
  <si>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</si>
  <si>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</si>
  <si>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</si>
  <si>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</si>
  <si>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</si>
  <si>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</si>
  <si>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</si>
  <si>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</si>
  <si>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</si>
  <si>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</si>
  <si>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</si>
  <si>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</si>
  <si>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</si>
  <si>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</si>
  <si>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</si>
  <si>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</si>
  <si>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</si>
  <si>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</si>
  <si>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</si>
  <si>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</si>
  <si>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</si>
  <si>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</si>
  <si>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</si>
  <si>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</si>
  <si>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</si>
  <si>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</si>
  <si>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</si>
  <si>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</si>
  <si>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</si>
  <si>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</si>
  <si>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</si>
  <si>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</si>
  <si>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</si>
  <si>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</si>
  <si>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</si>
  <si>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</si>
  <si>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</si>
  <si>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</si>
  <si>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</si>
  <si>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</si>
  <si>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</si>
  <si>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</si>
  <si>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</si>
  <si>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</si>
  <si>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</si>
  <si>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</si>
  <si>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</si>
  <si>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</si>
  <si>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</si>
  <si>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</si>
  <si>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</si>
  <si>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</si>
  <si>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</si>
  <si>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</si>
  <si>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</si>
  <si>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</si>
  <si>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</si>
  <si>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</si>
  <si>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</si>
  <si>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</si>
  <si>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</si>
  <si>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</si>
  <si>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</si>
  <si>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</si>
  <si>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</si>
  <si>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</si>
  <si>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</si>
  <si>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</si>
  <si>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</si>
  <si>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</si>
  <si>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</si>
  <si>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</si>
  <si>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</si>
  <si>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</si>
  <si>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</si>
  <si>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</si>
  <si>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</si>
  <si>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</si>
  <si>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</si>
  <si>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</si>
  <si>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</si>
  <si>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</si>
  <si>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</si>
  <si>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</si>
  <si>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</si>
  <si>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</si>
  <si>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</si>
  <si>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</si>
  <si>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</si>
  <si>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</si>
  <si>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</si>
  <si>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</si>
  <si>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</si>
  <si>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</si>
  <si>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</si>
  <si>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</si>
  <si>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</si>
  <si>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</si>
  <si>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</si>
  <si>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</si>
  <si>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</si>
  <si>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</si>
  <si>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</si>
  <si>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</si>
  <si>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</si>
  <si>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</si>
  <si>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</si>
  <si>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</si>
  <si>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</si>
  <si>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</si>
  <si>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</si>
  <si>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</si>
  <si>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</si>
  <si>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</si>
  <si>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</si>
  <si>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</si>
  <si>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</si>
  <si>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</si>
  <si>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</si>
  <si>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</si>
  <si>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</si>
  <si>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</si>
  <si>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</si>
  <si>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</si>
  <si>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</si>
  <si>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</si>
  <si>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</si>
  <si>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</si>
  <si>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</si>
  <si>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</si>
  <si>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</si>
  <si>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</si>
  <si>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</si>
  <si>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</si>
  <si>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</si>
  <si>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</si>
  <si>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</si>
  <si>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</si>
  <si>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</si>
  <si>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</si>
  <si>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</si>
  <si>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</si>
  <si>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</si>
  <si>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</si>
  <si>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</si>
  <si>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</si>
  <si>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</si>
  <si>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</si>
  <si>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</si>
  <si>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</si>
  <si>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</si>
  <si>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</si>
  <si>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</si>
  <si>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</si>
  <si>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</si>
  <si>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</si>
  <si>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</si>
  <si>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</si>
  <si>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</si>
  <si>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</si>
  <si>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</si>
  <si>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</si>
  <si>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</si>
  <si>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</si>
  <si>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</si>
  <si>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</si>
  <si>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</si>
  <si>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</si>
  <si>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</si>
  <si>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</si>
  <si>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</si>
  <si>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</si>
  <si>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</si>
  <si>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</si>
  <si>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</si>
  <si>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</si>
  <si>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</si>
  <si>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</si>
  <si>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</si>
  <si>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</si>
  <si>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</si>
  <si>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</si>
  <si>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</si>
  <si>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</si>
  <si>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</si>
  <si>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</si>
  <si>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</si>
  <si>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</si>
  <si>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</si>
  <si>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</si>
  <si>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</si>
  <si>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</si>
  <si>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</si>
  <si>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</si>
  <si>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</si>
  <si>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</si>
  <si>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</si>
  <si>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</si>
  <si>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</si>
  <si>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</si>
  <si>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</si>
  <si>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</si>
  <si>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</si>
  <si>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</si>
  <si>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</si>
  <si>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</si>
  <si>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</si>
  <si>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</si>
  <si>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</si>
  <si>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</si>
  <si>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</si>
  <si>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</si>
  <si>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</si>
  <si>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</si>
  <si>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</si>
  <si>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</si>
  <si>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</si>
  <si>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</si>
  <si>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</si>
  <si>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</si>
  <si>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</si>
  <si>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</si>
  <si>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</si>
  <si>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</si>
  <si>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</si>
  <si>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</si>
  <si>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</si>
  <si>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</si>
  <si>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</si>
  <si>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</si>
  <si>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</si>
  <si>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</si>
  <si>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</si>
  <si>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</si>
  <si>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</si>
  <si>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</si>
  <si>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</si>
  <si>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</si>
  <si>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</si>
  <si>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</si>
  <si>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</si>
  <si>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</si>
  <si>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</si>
  <si>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</si>
  <si>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</si>
  <si>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</si>
  <si>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</si>
  <si>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</si>
  <si>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</si>
  <si>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</si>
  <si>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</si>
  <si>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</si>
  <si>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</si>
  <si>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</si>
  <si>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</si>
  <si>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</si>
  <si>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</si>
  <si>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</si>
  <si>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</si>
  <si>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</si>
  <si>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</si>
  <si>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</si>
  <si>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</si>
  <si>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</si>
  <si>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</si>
  <si>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</si>
  <si>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</si>
  <si>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</si>
  <si>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</si>
  <si>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</si>
  <si>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</si>
  <si>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</si>
  <si>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</si>
  <si>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</si>
  <si>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</si>
  <si>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</si>
  <si>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</si>
  <si>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</si>
  <si>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</si>
  <si>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</si>
  <si>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</si>
  <si>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</si>
  <si>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</si>
  <si>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</si>
  <si>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</si>
  <si>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</si>
  <si>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</si>
  <si>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</si>
  <si>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</si>
  <si>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</si>
  <si>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</si>
  <si>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</si>
  <si>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</si>
  <si>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</si>
  <si>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</si>
  <si>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</si>
  <si>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</si>
  <si>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</si>
  <si>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</si>
  <si>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</si>
  <si>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</si>
  <si>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</si>
  <si>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</si>
  <si>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</si>
  <si>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</si>
  <si>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</si>
  <si>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</si>
  <si>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</si>
  <si>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</si>
  <si>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</si>
  <si>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</si>
  <si>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</si>
  <si>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</si>
  <si>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</si>
  <si>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</si>
  <si>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</si>
  <si>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</si>
  <si>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</si>
  <si>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</si>
  <si>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</si>
  <si>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</si>
  <si>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</si>
  <si>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</si>
  <si>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</si>
  <si>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</si>
  <si>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</si>
  <si>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</si>
  <si>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</si>
  <si>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</si>
  <si>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</si>
  <si>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</si>
  <si>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</si>
  <si>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</si>
  <si>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</si>
  <si>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</si>
  <si>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</si>
  <si>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</si>
  <si>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</si>
  <si>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</si>
  <si>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</si>
  <si>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</si>
  <si>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</si>
  <si>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</si>
  <si>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</si>
  <si>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</si>
  <si>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</si>
  <si>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</si>
  <si>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</si>
  <si>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</si>
  <si>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</si>
  <si>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</si>
  <si>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</si>
  <si>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</si>
  <si>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</si>
  <si>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</si>
  <si>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</si>
  <si>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</si>
  <si>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</si>
  <si>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</si>
  <si>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</si>
  <si>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</si>
  <si>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</si>
  <si>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</si>
  <si>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</si>
  <si>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</si>
  <si>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</si>
  <si>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</si>
  <si>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</si>
  <si>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</si>
  <si>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</si>
  <si>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</si>
  <si>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</si>
  <si>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</si>
  <si>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</si>
  <si>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</si>
  <si>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</si>
  <si>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</si>
  <si>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</si>
  <si>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</si>
  <si>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</si>
  <si>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</si>
  <si>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</si>
  <si>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</si>
  <si>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</si>
  <si>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</si>
  <si>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</si>
  <si>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</si>
  <si>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</si>
  <si>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</si>
  <si>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</si>
  <si>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</si>
  <si>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</si>
  <si>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</si>
  <si>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</si>
  <si>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</si>
  <si>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</si>
  <si>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</si>
  <si>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</si>
  <si>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</si>
  <si>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</si>
  <si>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</si>
  <si>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</si>
  <si>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</si>
  <si>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</si>
  <si>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</si>
  <si>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</si>
  <si>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</si>
  <si>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</si>
  <si>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</si>
  <si>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</si>
  <si>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</si>
  <si>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</si>
  <si>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</si>
  <si>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</si>
  <si>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</si>
  <si>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</si>
  <si>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</si>
  <si>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</si>
  <si>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</si>
  <si>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</si>
  <si>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</si>
  <si>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</si>
  <si>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</si>
  <si>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</si>
  <si>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</si>
  <si>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</si>
  <si>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</si>
  <si>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</si>
  <si>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</si>
  <si>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</si>
  <si>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</si>
  <si>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</si>
  <si>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</si>
  <si>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</si>
  <si>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</si>
  <si>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</si>
  <si>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</si>
  <si>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</si>
  <si>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</si>
  <si>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</si>
  <si>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</si>
  <si>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</si>
  <si>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</si>
  <si>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</si>
  <si>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</si>
  <si>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</si>
  <si>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</si>
  <si>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</si>
  <si>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</si>
  <si>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</si>
  <si>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</si>
  <si>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</si>
  <si>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</si>
  <si>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</si>
  <si>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</si>
  <si>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</si>
  <si>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</si>
  <si>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</si>
  <si>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</si>
  <si>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</si>
  <si>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</si>
  <si>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</si>
  <si>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</si>
  <si>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</si>
  <si>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</si>
  <si>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</si>
  <si>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</si>
  <si>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</si>
  <si>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</si>
  <si>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</si>
  <si>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</si>
  <si>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</si>
  <si>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</si>
  <si>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</si>
  <si>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</si>
  <si>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</si>
  <si>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</si>
  <si>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</si>
  <si>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</si>
  <si>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</si>
  <si>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</si>
  <si>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</si>
  <si>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</si>
  <si>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</si>
  <si>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</si>
  <si>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</si>
  <si>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</si>
  <si>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</si>
  <si>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</si>
  <si>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</si>
  <si>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</si>
  <si>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</si>
  <si>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</si>
  <si>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</si>
  <si>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</si>
  <si>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</si>
  <si>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</si>
  <si>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</si>
  <si>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</si>
  <si>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</si>
  <si>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</si>
  <si>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</si>
  <si>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</si>
  <si>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</si>
  <si>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</si>
  <si>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</si>
  <si>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</si>
  <si>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</si>
  <si>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</si>
  <si>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</si>
  <si>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</si>
  <si>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</si>
  <si>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</si>
  <si>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</si>
  <si>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</si>
  <si>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</si>
  <si>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</si>
  <si>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</si>
  <si>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</si>
  <si>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</si>
  <si>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</si>
  <si>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</si>
  <si>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</si>
  <si>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</si>
  <si>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</si>
  <si>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</si>
  <si>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</si>
  <si>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</si>
  <si>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</si>
  <si>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</si>
  <si>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</si>
  <si>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</si>
  <si>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</si>
  <si>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</si>
  <si>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</si>
  <si>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</si>
  <si>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</si>
  <si>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</si>
  <si>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</si>
  <si>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</si>
  <si>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</si>
  <si>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</si>
  <si>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</si>
  <si>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</si>
  <si>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</si>
  <si>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</si>
  <si>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</si>
  <si>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</si>
  <si>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</si>
  <si>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</si>
  <si>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</si>
  <si>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</si>
  <si>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</si>
  <si>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</si>
  <si>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</si>
  <si>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</si>
  <si>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</si>
  <si>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</si>
  <si>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</si>
  <si>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</si>
  <si>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</si>
  <si>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</si>
  <si>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</si>
  <si>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</si>
  <si>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</si>
  <si>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</si>
  <si>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</si>
  <si>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</si>
  <si>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</si>
  <si>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</si>
  <si>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</si>
  <si>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</si>
  <si>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</si>
  <si>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</si>
  <si>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</si>
  <si>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</si>
  <si>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</si>
  <si>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</si>
  <si>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</si>
  <si>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</si>
  <si>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</si>
  <si>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</si>
  <si>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</si>
  <si>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</si>
  <si>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</si>
  <si>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</si>
  <si>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</si>
  <si>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</si>
  <si>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</si>
  <si>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</si>
  <si>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</si>
  <si>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</si>
  <si>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</si>
  <si>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</si>
  <si>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</si>
  <si>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</si>
  <si>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</si>
  <si>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</si>
  <si>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</si>
  <si>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</si>
  <si>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</si>
  <si>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</si>
  <si>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</si>
  <si>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</si>
  <si>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</si>
  <si>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</si>
  <si>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</si>
  <si>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</si>
  <si>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</si>
  <si>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</si>
  <si>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</si>
  <si>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</si>
  <si>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</si>
  <si>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</si>
  <si>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</si>
  <si>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</si>
  <si>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</si>
  <si>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</si>
  <si>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</si>
  <si>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</si>
  <si>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</si>
  <si>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</si>
  <si>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</si>
  <si>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</si>
  <si>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</si>
  <si>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</si>
  <si>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</si>
  <si>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</si>
  <si>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</si>
  <si>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</si>
  <si>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</si>
  <si>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</si>
  <si>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</si>
  <si>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</si>
  <si>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</si>
  <si>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</si>
  <si>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</si>
  <si>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</si>
  <si>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</si>
  <si>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</si>
  <si>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</si>
  <si>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</si>
  <si>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</si>
  <si>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</si>
  <si>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</si>
  <si>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</si>
  <si>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</si>
  <si>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</si>
  <si>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</si>
  <si>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</si>
  <si>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</si>
  <si>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</si>
  <si>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</si>
  <si>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</si>
  <si>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</si>
  <si>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</si>
  <si>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</si>
  <si>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</si>
  <si>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</si>
  <si>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</si>
  <si>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</si>
  <si>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</si>
  <si>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</si>
  <si>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</si>
  <si>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</si>
  <si>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</si>
  <si>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</si>
  <si>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</si>
  <si>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</si>
  <si>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</si>
  <si>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</si>
  <si>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</si>
  <si>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</si>
  <si>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</si>
  <si>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</si>
  <si>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</si>
  <si>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</si>
  <si>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</si>
  <si>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</si>
  <si>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</si>
  <si>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</si>
  <si>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</si>
  <si>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</si>
  <si>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</si>
  <si>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</si>
  <si>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</si>
  <si>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</si>
  <si>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</si>
  <si>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</si>
  <si>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</si>
  <si>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</si>
  <si>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</si>
  <si>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</si>
  <si>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</si>
  <si>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</si>
  <si>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</si>
  <si>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</si>
  <si>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</si>
  <si>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</si>
  <si>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</si>
  <si>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</si>
  <si>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</si>
  <si>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</si>
  <si>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</si>
  <si>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</si>
  <si>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</si>
  <si>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</si>
  <si>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</si>
  <si>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</si>
  <si>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</si>
  <si>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</si>
  <si>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</si>
  <si>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</si>
  <si>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</si>
  <si>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</si>
  <si>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</si>
  <si>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</si>
  <si>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</si>
  <si>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</si>
  <si>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</si>
  <si>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</si>
  <si>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</si>
  <si>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</si>
  <si>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</si>
  <si>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</si>
  <si>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</si>
  <si>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</si>
  <si>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</si>
  <si>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</si>
  <si>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</si>
  <si>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</si>
  <si>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</si>
  <si>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</si>
  <si>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</si>
  <si>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</si>
  <si>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</si>
  <si>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</si>
  <si>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</si>
  <si>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</si>
  <si>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</si>
  <si>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</si>
  <si>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</si>
  <si>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</si>
  <si>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</si>
  <si>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</si>
  <si>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</si>
  <si>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</si>
  <si>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</si>
  <si>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</si>
  <si>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</si>
  <si>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</si>
  <si>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</si>
  <si>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</si>
  <si>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</si>
  <si>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</si>
  <si>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</si>
  <si>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</si>
  <si>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</si>
  <si>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</si>
  <si>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</si>
  <si>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</si>
  <si>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</si>
  <si>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</si>
  <si>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</si>
  <si>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</si>
  <si>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</si>
  <si>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</si>
  <si>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</si>
  <si>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</si>
  <si>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</si>
  <si>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</si>
  <si>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</si>
  <si>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</si>
  <si>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</si>
  <si>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</si>
  <si>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</si>
  <si>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</si>
  <si>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</si>
  <si>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</si>
  <si>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</si>
  <si>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</si>
  <si>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</si>
  <si>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</si>
  <si>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</si>
  <si>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</si>
  <si>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</si>
  <si>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</si>
  <si>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</si>
  <si>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</si>
  <si>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</si>
  <si>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</si>
  <si>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</si>
  <si>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</si>
  <si>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</si>
  <si>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</si>
  <si>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</si>
  <si>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</si>
  <si>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</si>
  <si>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</si>
  <si>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</si>
  <si>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</si>
  <si>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</si>
  <si>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</si>
  <si>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</si>
  <si>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</si>
  <si>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</si>
  <si>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</si>
  <si>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</si>
  <si>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</si>
  <si>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</si>
  <si>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</si>
  <si>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</si>
  <si>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</si>
  <si>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</si>
  <si>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</si>
  <si>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</si>
  <si>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</si>
  <si>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</si>
  <si>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</si>
  <si>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</si>
  <si>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</si>
  <si>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</si>
  <si>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</si>
  <si>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</si>
  <si>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</si>
  <si>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</si>
  <si>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</si>
  <si>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</si>
  <si>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</si>
  <si>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</si>
  <si>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</si>
  <si>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</si>
  <si>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</si>
  <si>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</si>
  <si>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</si>
  <si>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</si>
  <si>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</si>
  <si>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</si>
  <si>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</si>
  <si>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</si>
  <si>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</si>
  <si>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</si>
  <si>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</si>
  <si>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</si>
  <si>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</si>
  <si>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</si>
  <si>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</si>
  <si>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</si>
  <si>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</si>
  <si>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</si>
  <si>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</si>
  <si>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</si>
  <si>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</si>
  <si>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</si>
  <si>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</si>
  <si>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</si>
  <si>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</si>
  <si>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</si>
  <si>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</si>
  <si>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</si>
  <si>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</si>
  <si>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</si>
  <si>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</si>
  <si>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</si>
  <si>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</si>
  <si>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</si>
  <si>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</si>
  <si>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</si>
  <si>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</si>
  <si>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</si>
  <si>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</si>
  <si>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</si>
  <si>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</si>
  <si>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</si>
  <si>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</si>
  <si>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</si>
  <si>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</si>
  <si>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</si>
  <si>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</si>
  <si>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</si>
  <si>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</si>
  <si>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</si>
  <si>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</si>
  <si>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</si>
  <si>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</si>
  <si>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</si>
  <si>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</si>
  <si>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</si>
  <si>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</si>
  <si>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</si>
  <si>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</si>
  <si>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</si>
  <si>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</si>
  <si>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</si>
  <si>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</si>
  <si>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</si>
  <si>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</si>
  <si>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</si>
  <si>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</si>
  <si>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</si>
  <si>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</si>
  <si>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</si>
  <si>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</si>
  <si>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</si>
  <si>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</si>
  <si>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</si>
  <si>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</si>
  <si>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</si>
  <si>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</si>
  <si>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</si>
  <si>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</si>
  <si>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</si>
  <si>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</si>
  <si>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</si>
  <si>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</si>
  <si>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</si>
  <si>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</si>
  <si>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</si>
  <si>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</si>
  <si>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</si>
  <si>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</si>
  <si>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</si>
  <si>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</si>
  <si>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</si>
  <si>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</si>
  <si>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</si>
  <si>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</si>
  <si>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</si>
  <si>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</si>
  <si>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</si>
  <si>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</si>
  <si>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</si>
  <si>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</si>
  <si>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</si>
  <si>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</si>
  <si>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</si>
  <si>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</si>
  <si>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</si>
  <si>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</si>
  <si>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</si>
  <si>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</si>
  <si>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</si>
  <si>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</si>
  <si>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</si>
  <si>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</si>
  <si>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</si>
  <si>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</si>
  <si>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</si>
  <si>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</si>
  <si>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</si>
  <si>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</si>
  <si>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</si>
  <si>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</si>
  <si>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</si>
  <si>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</si>
  <si>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</si>
  <si>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</si>
  <si>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</si>
  <si>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</si>
  <si>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</si>
  <si>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</si>
  <si>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</si>
  <si>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</si>
  <si>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</si>
  <si>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</si>
  <si>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</si>
  <si>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</si>
  <si>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</si>
  <si>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</si>
  <si>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</si>
  <si>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</si>
  <si>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</si>
  <si>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</si>
  <si>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</si>
  <si>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</si>
  <si>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</si>
  <si>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</si>
  <si>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</si>
  <si>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</si>
  <si>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</si>
  <si>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</si>
  <si>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</si>
  <si>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</si>
  <si>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</si>
  <si>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</si>
  <si>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</si>
  <si>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</si>
  <si>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</si>
  <si>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</si>
  <si>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</si>
  <si>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</si>
  <si>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</si>
  <si>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</si>
  <si>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</si>
  <si>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</si>
  <si>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</si>
  <si>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</si>
  <si>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</si>
  <si>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</si>
  <si>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</si>
  <si>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</si>
  <si>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</si>
  <si>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</si>
  <si>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</si>
  <si>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</si>
  <si>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</si>
  <si>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</si>
  <si>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</si>
  <si>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</si>
  <si>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</si>
  <si>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</si>
  <si>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</si>
  <si>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</si>
  <si>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</si>
  <si>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</si>
  <si>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</si>
  <si>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</si>
  <si>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</si>
  <si>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</si>
  <si>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</si>
  <si>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</si>
  <si>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</si>
  <si>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</si>
  <si>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</si>
  <si>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</si>
  <si>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</si>
  <si>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</si>
  <si>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</si>
  <si>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</si>
  <si>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</si>
  <si>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</si>
  <si>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</si>
  <si>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</si>
  <si>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</si>
  <si>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</si>
  <si>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</si>
  <si>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</si>
  <si>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</si>
  <si>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</si>
  <si>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</si>
  <si>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</si>
  <si>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</si>
  <si>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</si>
  <si>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</si>
  <si>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</si>
  <si>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</si>
  <si>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</si>
  <si>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</si>
  <si>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</si>
  <si>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</si>
  <si>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</si>
  <si>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</si>
  <si>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</si>
  <si>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</si>
  <si>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</si>
  <si>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</si>
  <si>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</si>
  <si>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</si>
  <si>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</si>
  <si>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</si>
  <si>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</si>
  <si>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</si>
  <si>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</si>
  <si>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</si>
  <si>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</si>
  <si>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</si>
  <si>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</si>
  <si>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</si>
  <si>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</si>
  <si>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</si>
  <si>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</si>
  <si>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</si>
  <si>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</si>
  <si>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</si>
  <si>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</si>
  <si>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</si>
  <si>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</si>
  <si>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</si>
  <si>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</si>
  <si>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</si>
  <si>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</si>
  <si>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</si>
  <si>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</si>
  <si>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</si>
  <si>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</si>
  <si>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</si>
  <si>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</si>
  <si>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</si>
  <si>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</si>
  <si>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</si>
  <si>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</si>
  <si>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</si>
  <si>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</si>
  <si>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</si>
  <si>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</si>
  <si>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</si>
  <si>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</si>
  <si>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</si>
  <si>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</si>
  <si>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</si>
  <si>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</si>
  <si>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</si>
  <si>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</si>
  <si>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</si>
  <si>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</si>
  <si>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</si>
  <si>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</si>
  <si>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</si>
  <si>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</si>
  <si>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</si>
  <si>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</si>
  <si>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</si>
  <si>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</si>
  <si>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</si>
  <si>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</si>
  <si>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</si>
  <si>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</si>
  <si>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</si>
  <si>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</si>
  <si>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</si>
  <si>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</si>
  <si>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</si>
  <si>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</si>
  <si>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</si>
  <si>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</si>
  <si>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</si>
  <si>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</si>
  <si>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</si>
  <si>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</si>
  <si>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</si>
  <si>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</si>
  <si>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</si>
  <si>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</si>
  <si>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</si>
  <si>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</si>
  <si>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</si>
  <si>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</si>
  <si>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</si>
  <si>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</si>
  <si>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</si>
  <si>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</si>
  <si>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</si>
  <si>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</si>
  <si>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</si>
  <si>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</si>
  <si>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</si>
  <si>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</si>
  <si>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</si>
  <si>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</si>
  <si>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</si>
  <si>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</si>
  <si>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</si>
  <si>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</si>
  <si>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</si>
  <si>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</si>
  <si>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</si>
  <si>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</si>
  <si>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</si>
  <si>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</si>
  <si>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</si>
  <si>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</si>
  <si>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</si>
  <si>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</si>
  <si>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</si>
  <si>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</si>
  <si>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</si>
  <si>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</si>
  <si>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</si>
  <si>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</si>
  <si>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</si>
  <si>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</si>
  <si>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</si>
  <si>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</si>
  <si>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</si>
  <si>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</si>
  <si>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</si>
  <si>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</si>
  <si>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</si>
  <si>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</si>
  <si>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</si>
  <si>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</si>
  <si>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</si>
  <si>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</si>
  <si>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</si>
  <si>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</si>
  <si>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</si>
  <si>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</si>
  <si>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</si>
  <si>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</si>
  <si>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</si>
  <si>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</si>
  <si>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</si>
  <si>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</si>
  <si>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</si>
  <si>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</si>
  <si>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</si>
  <si>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</si>
  <si>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</si>
  <si>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</si>
  <si>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</si>
  <si>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</si>
  <si>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</si>
  <si>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</si>
  <si>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</si>
  <si>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</si>
  <si>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</si>
  <si>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</si>
  <si>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</si>
  <si>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</si>
  <si>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</si>
  <si>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</si>
  <si>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</si>
  <si>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</si>
  <si>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</si>
  <si>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</si>
  <si>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</si>
  <si>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</si>
  <si>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</si>
  <si>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</si>
  <si>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</si>
  <si>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</si>
  <si>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</si>
  <si>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</si>
  <si>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</si>
  <si>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</si>
  <si>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</si>
  <si>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</si>
  <si>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</si>
  <si>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</si>
  <si>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</si>
  <si>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</si>
  <si>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</si>
  <si>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</si>
  <si>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</si>
  <si>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</si>
  <si>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</si>
  <si>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</si>
  <si>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</si>
  <si>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</si>
  <si>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</si>
  <si>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</si>
  <si>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</si>
  <si>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</si>
  <si>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</si>
  <si>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</si>
  <si>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</si>
  <si>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</si>
  <si>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</si>
  <si>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</si>
  <si>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</si>
  <si>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</si>
  <si>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</si>
  <si>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</si>
  <si>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</si>
  <si>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</si>
  <si>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</si>
  <si>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</si>
  <si>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</si>
  <si>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</si>
  <si>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</si>
  <si>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</si>
  <si>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</si>
  <si>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</si>
  <si>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</si>
  <si>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</si>
  <si>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</si>
  <si>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</si>
  <si>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</si>
  <si>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</si>
  <si>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</si>
  <si>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</si>
  <si>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</si>
  <si>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</si>
  <si>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</si>
  <si>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</si>
  <si>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</si>
  <si>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</si>
  <si>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</si>
  <si>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</si>
  <si>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</si>
  <si>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</si>
  <si>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</si>
  <si>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</si>
  <si>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</si>
  <si>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</si>
  <si>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</si>
  <si>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</si>
  <si>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</si>
  <si>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</si>
  <si>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</si>
  <si>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</si>
  <si>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</si>
  <si>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</si>
  <si>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</si>
  <si>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</si>
  <si>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</si>
  <si>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</si>
  <si>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</si>
  <si>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</si>
  <si>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</si>
  <si>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</si>
  <si>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</si>
  <si>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</si>
  <si>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</si>
  <si>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</si>
  <si>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</si>
  <si>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</si>
  <si>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</si>
  <si>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</si>
  <si>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</si>
  <si>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</si>
  <si>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</si>
  <si>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</si>
  <si>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</si>
  <si>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</si>
  <si>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</si>
  <si>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</si>
  <si>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</si>
  <si>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</si>
  <si>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</si>
  <si>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</si>
  <si>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</si>
  <si>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</si>
  <si>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</si>
  <si>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</si>
  <si>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</si>
  <si>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</si>
  <si>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</si>
  <si>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</si>
  <si>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</si>
  <si>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</si>
  <si>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</si>
  <si>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</si>
  <si>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</si>
  <si>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</si>
  <si>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</si>
  <si>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</si>
  <si>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</si>
  <si>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</si>
  <si>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</si>
  <si>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</si>
  <si>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</si>
  <si>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</si>
  <si>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</si>
  <si>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</si>
  <si>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</si>
  <si>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</si>
  <si>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</si>
  <si>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</si>
  <si>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</si>
  <si>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</si>
  <si>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</si>
  <si>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</si>
  <si>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</si>
  <si>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</si>
  <si>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</si>
  <si>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</si>
  <si>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</si>
  <si>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</si>
  <si>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</si>
  <si>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</si>
  <si>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</si>
  <si>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</si>
  <si>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</si>
  <si>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</si>
  <si>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</si>
  <si>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</si>
  <si>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</si>
  <si>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</si>
  <si>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</si>
  <si>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</si>
  <si>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</si>
  <si>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</si>
  <si>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</si>
  <si>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</si>
  <si>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</si>
  <si>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</si>
  <si>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</si>
  <si>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</si>
  <si>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</si>
  <si>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</si>
  <si>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</si>
  <si>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</si>
  <si>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</si>
  <si>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</si>
  <si>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</si>
  <si>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</si>
  <si>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</si>
  <si>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</si>
  <si>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</si>
  <si>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</si>
  <si>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</si>
  <si>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</si>
  <si>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</si>
  <si>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</si>
  <si>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</si>
  <si>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</si>
  <si>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</si>
  <si>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</si>
  <si>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</si>
  <si>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</si>
  <si>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</si>
  <si>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</si>
  <si>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</si>
  <si>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</si>
  <si>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</si>
  <si>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</si>
  <si>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</si>
  <si>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</si>
  <si>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</si>
  <si>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</si>
  <si>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</si>
  <si>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</si>
  <si>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</si>
  <si>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</si>
  <si>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</si>
  <si>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</si>
  <si>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</si>
  <si>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</si>
  <si>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</si>
  <si>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</si>
  <si>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</si>
  <si>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</si>
  <si>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</si>
  <si>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</si>
  <si>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</si>
  <si>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</si>
  <si>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</si>
  <si>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</si>
  <si>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</si>
  <si>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</si>
  <si>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</si>
  <si>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</si>
  <si>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</si>
  <si>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</si>
  <si>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</si>
  <si>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</si>
  <si>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</si>
  <si>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</si>
  <si>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</si>
  <si>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</si>
  <si>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</si>
  <si>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</si>
  <si>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</si>
  <si>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</si>
  <si>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</si>
  <si>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</si>
  <si>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</si>
  <si>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</si>
  <si>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</si>
  <si>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</si>
  <si>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</si>
  <si>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</si>
  <si>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</si>
  <si>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</si>
  <si>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</si>
  <si>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</si>
  <si>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</si>
  <si>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</si>
  <si>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</si>
  <si>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</si>
  <si>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</si>
  <si>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</si>
  <si>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</si>
  <si>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</si>
  <si>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</si>
  <si>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</si>
  <si>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</si>
  <si>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</si>
  <si>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</si>
  <si>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</si>
  <si>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</si>
  <si>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</si>
  <si>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</si>
  <si>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</si>
  <si>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</si>
  <si>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</si>
  <si>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</si>
  <si>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</si>
  <si>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</si>
  <si>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</si>
  <si>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</si>
  <si>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</si>
  <si>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</si>
  <si>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</si>
  <si>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</si>
  <si>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</si>
  <si>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</si>
  <si>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</si>
  <si>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</si>
  <si>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</si>
  <si>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</si>
  <si>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</si>
  <si>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</si>
  <si>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</si>
  <si>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</si>
  <si>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</si>
  <si>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</si>
  <si>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</si>
  <si>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</si>
  <si>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</si>
  <si>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</si>
  <si>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</si>
  <si>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</si>
  <si>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</si>
  <si>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</si>
  <si>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</si>
  <si>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</si>
  <si>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</si>
  <si>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</si>
  <si>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</si>
  <si>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</si>
  <si>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</si>
  <si>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</si>
  <si>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</si>
  <si>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</si>
  <si>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</si>
  <si>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</si>
  <si>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</si>
  <si>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</si>
  <si>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</si>
  <si>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</si>
  <si>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</si>
  <si>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</si>
  <si>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</si>
  <si>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</si>
  <si>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</si>
  <si>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</si>
  <si>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</si>
  <si>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</si>
  <si>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</si>
  <si>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</si>
  <si>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</si>
  <si>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</si>
  <si>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</si>
  <si>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</si>
  <si>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</si>
  <si>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</si>
  <si>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</si>
  <si>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</si>
  <si>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</si>
  <si>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</si>
  <si>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</si>
  <si>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</si>
  <si>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</si>
  <si>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</si>
  <si>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</si>
  <si>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</si>
  <si>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</si>
  <si>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</si>
  <si>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</si>
  <si>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</si>
  <si>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</si>
  <si>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</si>
  <si>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</si>
  <si>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</si>
  <si>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</si>
  <si>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</si>
  <si>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</si>
  <si>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</si>
  <si>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</si>
  <si>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</si>
  <si>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</si>
  <si>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</si>
  <si>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</si>
  <si>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</si>
  <si>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</si>
  <si>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</si>
  <si>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</si>
  <si>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</si>
  <si>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</si>
  <si>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</si>
  <si>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</si>
  <si>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</si>
  <si>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</si>
  <si>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</si>
  <si>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</si>
  <si>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</si>
  <si>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</si>
  <si>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</si>
  <si>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</si>
  <si>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</si>
  <si>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</si>
  <si>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</si>
  <si>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</si>
  <si>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</si>
  <si>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</si>
  <si>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</si>
  <si>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</si>
  <si>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</si>
  <si>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</si>
  <si>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</si>
  <si>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</si>
  <si>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</si>
  <si>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</si>
  <si>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</si>
  <si>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</si>
  <si>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</si>
  <si>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</si>
  <si>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</si>
  <si>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</si>
  <si>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</si>
  <si>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</si>
  <si>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</si>
  <si>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</si>
  <si>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</si>
  <si>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</si>
  <si>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</si>
  <si>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</si>
  <si>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</si>
  <si>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</si>
  <si>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</si>
  <si>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</si>
  <si>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</si>
  <si>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</si>
  <si>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</si>
  <si>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</si>
  <si>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</si>
  <si>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</si>
  <si>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</si>
  <si>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</si>
  <si>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</si>
  <si>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</si>
  <si>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</si>
  <si>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</si>
  <si>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</si>
  <si>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</si>
  <si>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</si>
  <si>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</si>
  <si>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</si>
  <si>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</si>
  <si>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</si>
  <si>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</si>
  <si>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</si>
  <si>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</si>
  <si>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</si>
  <si>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</si>
  <si>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</si>
  <si>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</si>
  <si>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</si>
  <si>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</si>
  <si>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</si>
  <si>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</si>
  <si>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</si>
  <si>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</si>
  <si>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</si>
  <si>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</si>
  <si>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</si>
  <si>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</si>
  <si>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</si>
  <si>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</si>
  <si>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</si>
  <si>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</si>
  <si>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</si>
  <si>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</si>
  <si>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</si>
  <si>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</si>
  <si>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</si>
  <si>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</si>
  <si>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</si>
  <si>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</si>
  <si>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</si>
  <si>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</si>
  <si>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</si>
  <si>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</si>
  <si>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</si>
  <si>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</si>
  <si>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</si>
  <si>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</si>
  <si>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</si>
  <si>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</si>
  <si>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</si>
  <si>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</si>
  <si>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</si>
  <si>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</si>
  <si>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</si>
  <si>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</si>
  <si>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</si>
  <si>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</si>
  <si>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</si>
  <si>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</si>
  <si>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</si>
  <si>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</si>
  <si>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</si>
  <si>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</si>
  <si>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</si>
  <si>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</si>
  <si>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</si>
  <si>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</si>
  <si>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</si>
  <si>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</si>
  <si>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</si>
  <si>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</si>
  <si>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</si>
  <si>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</si>
  <si>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</si>
  <si>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</si>
  <si>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</si>
  <si>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</si>
  <si>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</si>
  <si>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</si>
  <si>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</si>
  <si>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</si>
  <si>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</si>
  <si>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</si>
  <si>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</si>
  <si>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</si>
  <si>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</si>
  <si>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</si>
  <si>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</si>
  <si>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</si>
  <si>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</si>
  <si>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</si>
  <si>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</si>
  <si>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</si>
  <si>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</si>
  <si>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</si>
  <si>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</si>
  <si>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</si>
  <si>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</si>
  <si>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</si>
  <si>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</si>
  <si>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</si>
  <si>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</si>
  <si>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</si>
  <si>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</si>
  <si>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</si>
  <si>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</si>
  <si>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</si>
  <si>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</si>
  <si>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</si>
  <si>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</si>
  <si>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</si>
  <si>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</si>
  <si>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</si>
  <si>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</si>
  <si>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</si>
  <si>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</si>
  <si>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</si>
  <si>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</si>
  <si>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</si>
  <si>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</si>
  <si>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</si>
  <si>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</si>
  <si>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</si>
  <si>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</si>
  <si>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</si>
  <si>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</si>
  <si>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</si>
  <si>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</si>
  <si>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</si>
  <si>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</si>
  <si>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</si>
  <si>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</si>
  <si>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</si>
  <si>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</si>
  <si>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</si>
  <si>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</si>
  <si>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</si>
  <si>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</si>
  <si>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</si>
  <si>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</si>
  <si>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</si>
  <si>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</si>
  <si>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</si>
  <si>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</si>
  <si>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</si>
  <si>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</si>
  <si>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</si>
  <si>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</si>
  <si>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</si>
  <si>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</si>
  <si>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</si>
  <si>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</si>
  <si>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</si>
  <si>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</si>
  <si>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</si>
  <si>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</si>
  <si>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</si>
  <si>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</si>
  <si>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</si>
  <si>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</si>
  <si>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</si>
  <si>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</si>
  <si>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</si>
  <si>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</si>
  <si>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</si>
  <si>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</si>
  <si>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</si>
  <si>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</si>
  <si>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</si>
  <si>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</si>
  <si>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</si>
  <si>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</si>
  <si>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</si>
  <si>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</si>
  <si>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</si>
  <si>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</si>
  <si>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</si>
  <si>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</si>
  <si>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</si>
  <si>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</si>
  <si>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</si>
  <si>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</si>
  <si>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</si>
  <si>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</si>
  <si>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</si>
  <si>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</si>
  <si>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</si>
  <si>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</si>
  <si>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</si>
  <si>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</si>
  <si>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</si>
  <si>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</si>
  <si>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</si>
  <si>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</si>
  <si>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</si>
  <si>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</si>
  <si>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</si>
  <si>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</si>
  <si>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</si>
  <si>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</si>
  <si>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</si>
  <si>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</si>
  <si>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</si>
  <si>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</si>
  <si>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</si>
  <si>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</si>
  <si>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</si>
  <si>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</si>
  <si>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</si>
  <si>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</si>
  <si>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</si>
  <si>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</si>
  <si>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</si>
  <si>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</si>
  <si>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</si>
  <si>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</si>
  <si>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</si>
  <si>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</si>
  <si>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</si>
  <si>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</si>
  <si>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</si>
  <si>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</si>
  <si>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</si>
  <si>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</si>
  <si>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</si>
  <si>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</si>
  <si>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</si>
  <si>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</si>
  <si>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</si>
  <si>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</si>
  <si>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</si>
  <si>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</si>
  <si>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</si>
  <si>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</si>
  <si>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</si>
  <si>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</si>
  <si>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</si>
  <si>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</si>
  <si>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</si>
  <si>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</si>
  <si>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</si>
  <si>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</si>
  <si>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</si>
  <si>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</si>
  <si>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</si>
  <si>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</si>
  <si>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</si>
  <si>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</si>
  <si>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</si>
  <si>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</si>
  <si>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</si>
  <si>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</si>
  <si>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</si>
  <si>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</si>
  <si>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</si>
  <si>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</si>
  <si>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</si>
  <si>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</si>
  <si>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</si>
  <si>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</si>
  <si>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</si>
  <si>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</si>
  <si>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</si>
  <si>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</si>
  <si>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</si>
  <si>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</si>
  <si>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</si>
  <si>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</si>
  <si>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</si>
  <si>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</si>
  <si>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</si>
  <si>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</si>
  <si>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</si>
  <si>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</si>
  <si>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</si>
  <si>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</si>
  <si>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</si>
  <si>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</si>
  <si>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</si>
  <si>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</si>
  <si>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</si>
  <si>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</si>
  <si>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</si>
  <si>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</si>
  <si>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</si>
  <si>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</si>
  <si>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</si>
  <si>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</si>
  <si>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</si>
  <si>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</si>
  <si>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</si>
  <si>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</si>
  <si>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</si>
  <si>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</si>
  <si>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</si>
  <si>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</si>
  <si>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</si>
  <si>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</si>
  <si>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</si>
  <si>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</si>
  <si>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</si>
  <si>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</si>
  <si>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</si>
  <si>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</si>
  <si>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</si>
  <si>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</si>
  <si>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</si>
  <si>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</si>
  <si>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</si>
  <si>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</si>
  <si>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</si>
  <si>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</si>
  <si>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</si>
  <si>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</si>
  <si>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</si>
  <si>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</si>
  <si>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</si>
  <si>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</si>
  <si>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</si>
  <si>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</si>
  <si>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</si>
  <si>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</si>
  <si>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</si>
  <si>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</si>
  <si>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</si>
  <si>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</si>
  <si>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</si>
  <si>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</si>
  <si>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</si>
  <si>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</si>
  <si>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</si>
  <si>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</si>
  <si>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</si>
  <si>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</si>
  <si>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</si>
  <si>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</si>
  <si>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</si>
  <si>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</si>
  <si>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</si>
  <si>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</si>
  <si>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</si>
  <si>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</si>
  <si>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</si>
  <si>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</si>
  <si>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</si>
  <si>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</si>
  <si>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</si>
  <si>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</si>
  <si>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</si>
  <si>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</si>
  <si>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</si>
  <si>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</si>
  <si>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</si>
  <si>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</si>
  <si>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</si>
  <si>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</si>
  <si>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</si>
  <si>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</si>
  <si>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</si>
  <si>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</si>
  <si>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</si>
  <si>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</si>
  <si>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</si>
  <si>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</si>
  <si>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</si>
  <si>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</si>
  <si>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</si>
  <si>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</si>
  <si>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</si>
  <si>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</si>
  <si>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</si>
  <si>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</si>
  <si>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</si>
  <si>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</si>
  <si>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</si>
  <si>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</si>
  <si>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</si>
  <si>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</si>
  <si>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</si>
  <si>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</si>
  <si>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</si>
  <si>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</si>
  <si>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</si>
  <si>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</si>
  <si>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</si>
  <si>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</si>
  <si>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</si>
  <si>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</si>
  <si>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</si>
  <si>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</si>
  <si>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</si>
  <si>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</si>
  <si>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</si>
  <si>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</si>
  <si>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</si>
  <si>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</si>
  <si>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</si>
  <si>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</si>
  <si>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</si>
  <si>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</si>
  <si>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</si>
  <si>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</si>
  <si>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</si>
  <si>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</si>
  <si>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</si>
  <si>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</si>
  <si>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</si>
  <si>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</si>
  <si>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</si>
  <si>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</si>
  <si>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</si>
  <si>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</si>
  <si>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</si>
  <si>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</si>
  <si>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</si>
  <si>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</si>
  <si>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</si>
  <si>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</si>
  <si>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</si>
  <si>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</si>
  <si>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</si>
  <si>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</si>
  <si>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</si>
  <si>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</si>
  <si>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</si>
  <si>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</si>
  <si>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</si>
  <si>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</si>
  <si>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</si>
  <si>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</si>
  <si>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</si>
  <si>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</si>
  <si>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</si>
  <si>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</si>
  <si>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</si>
  <si>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</si>
  <si>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</si>
  <si>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</si>
  <si>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</si>
  <si>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</si>
  <si>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</si>
  <si>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</si>
  <si>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</si>
  <si>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</si>
  <si>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</si>
  <si>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</si>
  <si>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</si>
  <si>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</si>
  <si>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</si>
  <si>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</si>
  <si>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</si>
  <si>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</si>
  <si>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</si>
  <si>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</si>
  <si>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</si>
  <si>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</si>
  <si>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</si>
  <si>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</si>
  <si>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</si>
  <si>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</si>
  <si>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</si>
  <si>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</si>
  <si>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</si>
  <si>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</si>
  <si>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</si>
  <si>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</si>
  <si>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</si>
  <si>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</si>
  <si>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</si>
  <si>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</si>
  <si>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</si>
  <si>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</si>
  <si>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</si>
  <si>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</si>
  <si>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</si>
  <si>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</si>
  <si>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</si>
  <si>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</si>
  <si>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</si>
  <si>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</si>
  <si>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</si>
  <si>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</si>
  <si>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</si>
  <si>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</si>
  <si>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</si>
  <si>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</si>
  <si>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</si>
  <si>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</si>
  <si>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</si>
  <si>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</si>
  <si>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</si>
  <si>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</si>
  <si>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</si>
  <si>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</si>
  <si>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</si>
  <si>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</si>
  <si>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</si>
  <si>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</si>
  <si>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</si>
  <si>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</si>
  <si>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</si>
  <si>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</si>
  <si>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</si>
  <si>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</si>
  <si>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</si>
  <si>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</si>
  <si>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</si>
  <si>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</si>
  <si>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</si>
  <si>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</si>
  <si>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</si>
  <si>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</si>
  <si>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</si>
  <si>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</si>
  <si>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</si>
  <si>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</si>
  <si>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</si>
  <si>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</si>
  <si>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</si>
  <si>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</si>
  <si>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</si>
  <si>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</si>
  <si>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</si>
  <si>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</si>
  <si>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</si>
  <si>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</si>
  <si>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</si>
  <si>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</si>
  <si>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</si>
  <si>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</si>
  <si>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</si>
  <si>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</si>
  <si>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</si>
  <si>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</si>
  <si>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</si>
  <si>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</si>
  <si>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</si>
  <si>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</si>
  <si>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</si>
  <si>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</si>
  <si>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</si>
  <si>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</si>
  <si>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</si>
  <si>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</si>
  <si>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</si>
  <si>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</si>
  <si>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</si>
  <si>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</si>
  <si>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</si>
  <si>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</si>
  <si>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</si>
  <si>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</si>
  <si>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</si>
  <si>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</si>
  <si>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</si>
  <si>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</si>
  <si>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</si>
  <si>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</si>
  <si>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</si>
  <si>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</si>
  <si>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</si>
  <si>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</si>
  <si>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</si>
  <si>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</si>
  <si>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</si>
  <si>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</si>
  <si>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</si>
  <si>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</si>
  <si>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</si>
  <si>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</si>
  <si>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</si>
  <si>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</si>
  <si>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</si>
  <si>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</si>
  <si>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</si>
  <si>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</si>
  <si>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</si>
  <si>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</si>
  <si>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</si>
  <si>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</si>
  <si>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</si>
  <si>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</si>
  <si>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</si>
  <si>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</si>
  <si>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</si>
  <si>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</si>
  <si>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</si>
  <si>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</si>
  <si>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</si>
  <si>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</si>
  <si>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</si>
  <si>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</si>
  <si>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</si>
  <si>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</si>
  <si>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</si>
  <si>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</si>
  <si>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</si>
  <si>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</si>
  <si>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</si>
  <si>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</si>
  <si>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</si>
  <si>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</si>
  <si>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</si>
  <si>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</si>
  <si>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</si>
  <si>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</si>
  <si>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</si>
  <si>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</si>
  <si>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</si>
  <si>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</si>
  <si>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</si>
  <si>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</si>
  <si>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</si>
  <si>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</si>
  <si>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</si>
  <si>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</si>
  <si>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</si>
  <si>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</si>
  <si>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</si>
  <si>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</si>
  <si>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</si>
  <si>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</si>
  <si>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</si>
  <si>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</si>
  <si>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</si>
  <si>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</si>
  <si>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</si>
  <si>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</si>
  <si>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</si>
  <si>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</si>
  <si>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</si>
  <si>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</si>
  <si>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</si>
  <si>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</si>
  <si>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</si>
  <si>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</si>
  <si>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</si>
  <si>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</si>
  <si>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</si>
  <si>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</si>
  <si>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</si>
  <si>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</si>
  <si>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</si>
  <si>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</si>
  <si>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</si>
  <si>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</si>
  <si>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</si>
  <si>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</si>
  <si>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</si>
  <si>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</si>
  <si>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</si>
  <si>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</si>
  <si>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</si>
  <si>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</si>
  <si>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</si>
  <si>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</si>
  <si>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</si>
  <si>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</si>
  <si>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</si>
  <si>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</si>
  <si>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</si>
  <si>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</si>
  <si>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</si>
  <si>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</si>
  <si>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</si>
  <si>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</si>
  <si>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</si>
  <si>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</si>
  <si>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</si>
  <si>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</si>
  <si>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</si>
  <si>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</si>
  <si>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</si>
  <si>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</si>
  <si>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</si>
  <si>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</si>
  <si>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</si>
  <si>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</si>
  <si>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</si>
  <si>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</si>
  <si>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</si>
  <si>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</si>
  <si>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</si>
  <si>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</si>
  <si>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</si>
  <si>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</si>
  <si>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</si>
  <si>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</si>
  <si>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</si>
  <si>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</si>
  <si>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</si>
  <si>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</si>
  <si>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</si>
  <si>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</si>
  <si>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</si>
  <si>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</si>
  <si>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</si>
  <si>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</si>
  <si>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</si>
  <si>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</si>
  <si>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</si>
  <si>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</si>
  <si>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</si>
  <si>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</si>
  <si>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</si>
  <si>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</si>
  <si>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</si>
  <si>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</si>
  <si>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</si>
  <si>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</si>
  <si>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</si>
  <si>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</si>
  <si>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</si>
  <si>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</si>
  <si>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</si>
  <si>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</si>
  <si>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</si>
  <si>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</si>
  <si>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</si>
  <si>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</si>
  <si>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</si>
  <si>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</si>
  <si>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</si>
  <si>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</si>
  <si>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</si>
  <si>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</si>
  <si>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</si>
  <si>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</si>
  <si>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</si>
  <si>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</si>
  <si>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</si>
  <si>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</si>
  <si>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</si>
  <si>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</si>
  <si>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</si>
  <si>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</si>
  <si>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</si>
  <si>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</si>
  <si>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</si>
  <si>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</si>
  <si>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</si>
  <si>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</si>
  <si>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</si>
  <si>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</si>
  <si>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</si>
  <si>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</si>
  <si>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</si>
  <si>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</si>
  <si>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</si>
  <si>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</si>
  <si>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</si>
  <si>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</si>
  <si>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</si>
  <si>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</si>
  <si>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</si>
  <si>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</si>
  <si>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</si>
  <si>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</si>
  <si>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</si>
  <si>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</si>
  <si>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</si>
  <si>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</si>
  <si>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</si>
  <si>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</si>
  <si>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</si>
  <si>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</si>
  <si>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</si>
  <si>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</si>
  <si>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</si>
  <si>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</si>
  <si>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</si>
  <si>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</si>
  <si>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</si>
  <si>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</si>
  <si>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</si>
  <si>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</si>
  <si>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</si>
  <si>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</si>
  <si>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</si>
  <si>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</si>
  <si>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</si>
  <si>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</si>
  <si>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</si>
  <si>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</si>
  <si>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</si>
  <si>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</si>
  <si>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</si>
  <si>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</si>
  <si>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</si>
  <si>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</si>
  <si>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</si>
  <si>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</si>
  <si>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</si>
  <si>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</si>
  <si>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</si>
  <si>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</si>
  <si>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</si>
  <si>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</si>
  <si>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</si>
  <si>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</si>
  <si>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</si>
  <si>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</si>
  <si>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</si>
  <si>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</si>
  <si>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</si>
  <si>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</si>
  <si>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</si>
  <si>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</si>
  <si>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</si>
  <si>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</si>
  <si>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</si>
  <si>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</si>
  <si>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</si>
  <si>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</si>
  <si>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</si>
  <si>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</si>
  <si>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</si>
  <si>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</si>
  <si>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</si>
  <si>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</si>
  <si>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</si>
  <si>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</si>
  <si>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</si>
  <si>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</si>
  <si>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</si>
  <si>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</si>
  <si>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</si>
  <si>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</si>
  <si>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</si>
  <si>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</si>
  <si>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</si>
  <si>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</si>
  <si>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</si>
  <si>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</si>
  <si>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</si>
  <si>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</si>
  <si>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</si>
  <si>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</si>
  <si>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</si>
  <si>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</si>
  <si>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</si>
  <si>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</si>
  <si>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</si>
  <si>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</si>
  <si>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</si>
  <si>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</si>
  <si>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</si>
  <si>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</si>
  <si>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</si>
  <si>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</si>
  <si>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</si>
  <si>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</si>
  <si>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</si>
  <si>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</si>
  <si>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</si>
  <si>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</si>
  <si>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</si>
  <si>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</si>
  <si>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</si>
  <si>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</si>
  <si>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</si>
  <si>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</si>
  <si>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</si>
  <si>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</si>
  <si>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</si>
  <si>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</si>
  <si>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</si>
  <si>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</si>
  <si>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</si>
  <si>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</si>
  <si>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</si>
  <si>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</si>
  <si>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</si>
  <si>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</si>
  <si>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</si>
  <si>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</si>
  <si>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</si>
  <si>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</si>
  <si>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</si>
  <si>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</si>
  <si>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</si>
  <si>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</si>
  <si>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</si>
  <si>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</si>
  <si>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</si>
  <si>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</si>
  <si>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</si>
  <si>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</si>
  <si>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</si>
  <si>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</si>
  <si>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</si>
  <si>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</si>
  <si>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</si>
  <si>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</si>
  <si>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</si>
  <si>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</si>
  <si>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</si>
  <si>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</si>
  <si>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</si>
  <si>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</si>
  <si>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</si>
  <si>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</si>
  <si>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</si>
  <si>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</si>
  <si>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</si>
  <si>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</si>
  <si>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</si>
  <si>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</si>
  <si>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</si>
  <si>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</si>
  <si>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</si>
  <si>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</si>
  <si>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</si>
  <si>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</si>
  <si>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</si>
  <si>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</si>
  <si>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</si>
  <si>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</si>
  <si>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</si>
  <si>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</si>
  <si>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</si>
  <si>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</si>
  <si>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</si>
  <si>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</si>
  <si>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</si>
  <si>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</si>
  <si>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</si>
  <si>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</si>
  <si>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</si>
  <si>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</si>
  <si>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</si>
  <si>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</si>
  <si>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</si>
  <si>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</si>
  <si>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</si>
  <si>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</si>
  <si>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</si>
  <si>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</si>
  <si>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</si>
  <si>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</si>
  <si>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</si>
  <si>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</si>
  <si>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</si>
  <si>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</si>
  <si>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</si>
  <si>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</si>
  <si>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</si>
  <si>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</si>
  <si>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</si>
  <si>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</si>
  <si>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</si>
  <si>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</si>
  <si>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</si>
  <si>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</si>
  <si>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</si>
  <si>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</si>
  <si>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</si>
  <si>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</si>
  <si>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</si>
  <si>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</si>
  <si>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</si>
  <si>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</si>
  <si>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</si>
  <si>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</si>
  <si>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</si>
  <si>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</si>
  <si>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</si>
  <si>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</si>
  <si>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</si>
  <si>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</si>
  <si>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</si>
  <si>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</si>
  <si>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</si>
  <si>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</si>
  <si>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</si>
  <si>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</si>
  <si>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</si>
  <si>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</si>
  <si>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</si>
  <si>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</si>
  <si>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</si>
  <si>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</si>
  <si>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</si>
  <si>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</si>
  <si>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</si>
  <si>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</si>
  <si>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</si>
  <si>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</si>
  <si>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</si>
  <si>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</si>
  <si>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</si>
  <si>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</si>
  <si>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</si>
  <si>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</si>
  <si>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</si>
  <si>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</si>
  <si>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</si>
  <si>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</si>
  <si>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</si>
  <si>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</si>
  <si>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</si>
  <si>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</si>
  <si>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</si>
  <si>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</si>
  <si>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</si>
  <si>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</si>
  <si>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</si>
  <si>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</si>
  <si>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</si>
  <si>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</si>
  <si>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</si>
  <si>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</si>
  <si>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</si>
  <si>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</si>
  <si>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</si>
  <si>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</si>
  <si>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</si>
  <si>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</si>
  <si>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</si>
  <si>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</si>
  <si>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</si>
  <si>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</si>
  <si>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</si>
  <si>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</si>
  <si>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</si>
  <si>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</si>
  <si>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</si>
  <si>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</si>
  <si>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</si>
  <si>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</si>
  <si>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</si>
  <si>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</si>
  <si>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</si>
  <si>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</si>
  <si>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</si>
  <si>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</si>
  <si>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</si>
  <si>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</si>
  <si>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</si>
  <si>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</si>
  <si>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</si>
  <si>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</si>
  <si>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</si>
  <si>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</si>
  <si>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</si>
  <si>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</si>
  <si>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</si>
  <si>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</si>
  <si>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</si>
  <si>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</si>
  <si>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</si>
  <si>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</si>
  <si>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</si>
  <si>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</si>
  <si>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</si>
  <si>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</si>
  <si>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</si>
  <si>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</si>
  <si>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</si>
  <si>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</si>
  <si>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</si>
  <si>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</si>
  <si>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</si>
  <si>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</si>
  <si>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</si>
  <si>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</si>
  <si>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</si>
  <si>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</si>
  <si>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</si>
  <si>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</si>
  <si>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</si>
  <si>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</si>
  <si>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</si>
  <si>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</si>
  <si>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</si>
  <si>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合计</t>
  </si>
  <si>
    <t>地上</t>
  </si>
  <si>
    <t>是</t>
  </si>
  <si>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</si>
  <si>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</si>
  <si>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</si>
  <si>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</si>
  <si>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</si>
  <si>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</si>
  <si>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</si>
  <si>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</si>
  <si>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</si>
  <si>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</si>
  <si>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</si>
  <si>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</si>
  <si>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</si>
  <si>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</si>
  <si>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</si>
  <si>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</si>
  <si>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</si>
  <si>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</si>
  <si>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</si>
  <si>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</si>
  <si>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</si>
  <si>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</si>
  <si>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</si>
  <si>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</si>
  <si>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</si>
  <si>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</si>
  <si>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</si>
  <si>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</si>
  <si>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</si>
  <si>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</si>
  <si>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</si>
  <si>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</si>
  <si>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</si>
  <si>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</si>
  <si>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</si>
  <si>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</si>
  <si>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</si>
  <si>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</si>
  <si>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</si>
  <si>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</si>
  <si>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</si>
  <si>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</si>
  <si>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</si>
  <si>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</si>
  <si>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</si>
  <si>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</si>
  <si>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</si>
  <si>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</si>
  <si>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</si>
  <si>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</si>
  <si>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3" type="noConversion"/>
  </si>
  <si>
    <t>与级别开发程度不一致</t>
  </si>
  <si>
    <t>已部分缴纳</t>
  </si>
  <si>
    <t>使用面积（㎡）</t>
    <phoneticPr fontId="224" type="noConversion"/>
  </si>
  <si>
    <t>建筑面积（㎡）</t>
    <phoneticPr fontId="224" type="noConversion"/>
  </si>
  <si>
    <t>单价（元/㎡）</t>
    <phoneticPr fontId="224" type="noConversion"/>
  </si>
  <si>
    <t xml:space="preserve">炫立方 </t>
    <phoneticPr fontId="224" type="noConversion"/>
  </si>
  <si>
    <t>柚米国际社区</t>
    <phoneticPr fontId="224" type="noConversion"/>
  </si>
  <si>
    <t>长租公寓</t>
    <phoneticPr fontId="224" type="noConversion"/>
  </si>
  <si>
    <t>面积</t>
    <phoneticPr fontId="224" type="noConversion"/>
  </si>
  <si>
    <t>单价</t>
    <phoneticPr fontId="224" type="noConversion"/>
  </si>
  <si>
    <t>loft</t>
    <phoneticPr fontId="224" type="noConversion"/>
  </si>
  <si>
    <t>冠寓·北京新国展店</t>
    <phoneticPr fontId="224" type="noConversion"/>
  </si>
  <si>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</si>
  <si>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</si>
  <si>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</si>
  <si>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</si>
  <si>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</si>
  <si>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</si>
  <si>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</si>
  <si>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</si>
  <si>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</si>
  <si>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</si>
  <si>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</si>
  <si>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</si>
  <si>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</si>
  <si>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</si>
  <si>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</si>
  <si>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</si>
  <si>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</si>
  <si>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</si>
  <si>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</si>
  <si>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</si>
  <si>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</si>
  <si>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</si>
  <si>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</si>
  <si>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</si>
  <si>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</si>
  <si>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</si>
  <si>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r>
      <t>旭辉2</t>
    </r>
    <r>
      <rPr>
        <sz val="11"/>
        <color theme="1"/>
        <rFont val="宋体"/>
        <family val="3"/>
        <charset val="134"/>
        <scheme val="minor"/>
      </rPr>
      <t>6街区</t>
    </r>
    <phoneticPr fontId="224" type="noConversion"/>
  </si>
  <si>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</si>
  <si>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</si>
  <si>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</si>
  <si>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</si>
  <si>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</si>
  <si>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</si>
  <si>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</si>
  <si>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</si>
  <si>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</si>
  <si>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</si>
  <si>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</si>
  <si>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</si>
  <si>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</si>
  <si>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</si>
  <si>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</si>
  <si>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</si>
  <si>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</si>
  <si>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</si>
  <si>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</si>
  <si>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</si>
  <si>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</si>
  <si>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</si>
  <si>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</si>
  <si>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</si>
  <si>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</si>
  <si>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</si>
  <si>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</si>
  <si>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</si>
  <si>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</si>
  <si>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</si>
  <si>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</si>
  <si>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</si>
  <si>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</si>
  <si>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</si>
  <si>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</si>
  <si>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</si>
  <si>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</si>
  <si>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北京国门1号</t>
    <phoneticPr fontId="3" type="noConversion"/>
  </si>
  <si>
    <t>蓝山国际</t>
    <phoneticPr fontId="3" type="noConversion"/>
  </si>
  <si>
    <t>中粮祥云小镇</t>
    <phoneticPr fontId="3" type="noConversion"/>
  </si>
  <si>
    <t>出让合同</t>
    <rPh sb="0" eb="1">
      <t>chu rang he tong</t>
    </rPh>
    <phoneticPr fontId="224" type="noConversion"/>
  </si>
  <si>
    <t>竣工测绘成果</t>
    <rPh sb="0" eb="1">
      <t>jun gong</t>
    </rPh>
    <rPh sb="2" eb="3">
      <t>ce hui</t>
    </rPh>
    <rPh sb="4" eb="5">
      <t>cheng guo</t>
    </rPh>
    <phoneticPr fontId="224" type="noConversion"/>
  </si>
  <si>
    <t>土地面积</t>
    <rPh sb="0" eb="1">
      <t>tu di mian ji</t>
    </rPh>
    <phoneticPr fontId="224" type="noConversion"/>
  </si>
  <si>
    <t>位置</t>
    <phoneticPr fontId="281" type="noConversion"/>
  </si>
  <si>
    <t>用途</t>
    <phoneticPr fontId="281" type="noConversion"/>
  </si>
  <si>
    <t>调整前</t>
    <phoneticPr fontId="281" type="noConversion"/>
  </si>
  <si>
    <t>调整后</t>
    <phoneticPr fontId="281" type="noConversion"/>
  </si>
  <si>
    <t>调整规模</t>
    <phoneticPr fontId="281" type="noConversion"/>
  </si>
  <si>
    <t>调整比例</t>
    <rPh sb="0" eb="1">
      <t>tiao zheng</t>
    </rPh>
    <rPh sb="2" eb="3">
      <t>bi li</t>
    </rPh>
    <phoneticPr fontId="224" type="noConversion"/>
  </si>
  <si>
    <t>地上调低容积率、建筑面积减少、容积率大于1、地上部分出让价款不变</t>
    <phoneticPr fontId="224" type="noConversion"/>
  </si>
  <si>
    <t>地上</t>
    <phoneticPr fontId="281" type="noConversion"/>
  </si>
  <si>
    <t>出让</t>
    <phoneticPr fontId="281" type="noConversion"/>
  </si>
  <si>
    <t>综合实验楼</t>
    <rPh sb="0" eb="1">
      <t>zong he</t>
    </rPh>
    <rPh sb="2" eb="3">
      <t>shi yan</t>
    </rPh>
    <rPh sb="4" eb="5">
      <t>lou</t>
    </rPh>
    <phoneticPr fontId="224" type="noConversion"/>
  </si>
  <si>
    <t>综合实验厂房</t>
    <rPh sb="0" eb="1">
      <t>zong he</t>
    </rPh>
    <rPh sb="2" eb="3">
      <t>shi yan</t>
    </rPh>
    <rPh sb="4" eb="5">
      <t>chang fang</t>
    </rPh>
    <phoneticPr fontId="224" type="noConversion"/>
  </si>
  <si>
    <t>不出让</t>
    <phoneticPr fontId="281" type="noConversion"/>
  </si>
  <si>
    <t>人防</t>
    <rPh sb="0" eb="1">
      <t>ren fang</t>
    </rPh>
    <phoneticPr fontId="224" type="noConversion"/>
  </si>
  <si>
    <t>小计</t>
    <phoneticPr fontId="281" type="noConversion"/>
  </si>
  <si>
    <t>地下</t>
    <phoneticPr fontId="281" type="noConversion"/>
  </si>
  <si>
    <t>地下新增建筑面积，且大于10%，地价等于政府土地出让收益✖️新增建筑面积</t>
    <rPh sb="0" eb="1">
      <t>di xia</t>
    </rPh>
    <rPh sb="2" eb="3">
      <t>xin zeng</t>
    </rPh>
    <rPh sb="4" eb="5">
      <t>jian zhu mian ji</t>
    </rPh>
    <rPh sb="6" eb="7">
      <t>mian ji</t>
    </rPh>
    <rPh sb="9" eb="10">
      <t>qie</t>
    </rPh>
    <rPh sb="10" eb="11">
      <t>da yu</t>
    </rPh>
    <rPh sb="16" eb="17">
      <t>di jia</t>
    </rPh>
    <rPh sb="18" eb="19">
      <t>deng yu</t>
    </rPh>
    <rPh sb="20" eb="21">
      <t>zheng fu</t>
    </rPh>
    <rPh sb="22" eb="23">
      <t>tu di</t>
    </rPh>
    <rPh sb="24" eb="25">
      <t>chu rang</t>
    </rPh>
    <rPh sb="26" eb="27">
      <t>shou yi</t>
    </rPh>
    <rPh sb="30" eb="31">
      <t>xin zeng</t>
    </rPh>
    <rPh sb="32" eb="33">
      <t>jian zhu mian ji</t>
    </rPh>
    <phoneticPr fontId="224" type="noConversion"/>
  </si>
  <si>
    <t>非经营性用途</t>
    <phoneticPr fontId="281" type="noConversion"/>
  </si>
  <si>
    <t>合计</t>
    <phoneticPr fontId="281" type="noConversion"/>
  </si>
  <si>
    <t>规证</t>
    <rPh sb="0" eb="1">
      <t>gui zheng</t>
    </rPh>
    <rPh sb="1" eb="2">
      <t>zheng</t>
    </rPh>
    <phoneticPr fontId="224" type="noConversion"/>
  </si>
  <si>
    <t>容积率</t>
    <rPh sb="0" eb="1">
      <t>rong ji lü</t>
    </rPh>
    <phoneticPr fontId="224" type="noConversion"/>
  </si>
  <si>
    <t>规证附图地下总建筑面积</t>
    <rPh sb="0" eb="1">
      <t>gui zheng</t>
    </rPh>
    <rPh sb="1" eb="2">
      <t>zheng</t>
    </rPh>
    <rPh sb="2" eb="3">
      <t>fu tu</t>
    </rPh>
    <rPh sb="4" eb="5">
      <t>di xia</t>
    </rPh>
    <rPh sb="6" eb="7">
      <t>zong jian zhu</t>
    </rPh>
    <rPh sb="9" eb="10">
      <t>mian ji</t>
    </rPh>
    <phoneticPr fontId="224" type="noConversion"/>
  </si>
  <si>
    <t>调整后（竣工测绘）</t>
    <rPh sb="0" eb="1">
      <t>tiao zheng hou</t>
    </rPh>
    <rPh sb="4" eb="5">
      <t>jun gong</t>
    </rPh>
    <rPh sb="6" eb="7">
      <t>ce huoi</t>
    </rPh>
    <phoneticPr fontId="224" type="noConversion"/>
  </si>
  <si>
    <t>央产人防地下室</t>
    <phoneticPr fontId="224" type="noConversion"/>
  </si>
  <si>
    <t>人防出入口及走道</t>
    <rPh sb="0" eb="1">
      <t>ren fang</t>
    </rPh>
    <rPh sb="2" eb="3">
      <t>chu ru kou</t>
    </rPh>
    <rPh sb="5" eb="6">
      <t>ji</t>
    </rPh>
    <rPh sb="6" eb="7">
      <t>zou dao</t>
    </rPh>
    <phoneticPr fontId="224" type="noConversion"/>
  </si>
  <si>
    <t>地下人防工程（平时用途为汽车库）</t>
    <rPh sb="0" eb="1">
      <t>di xia</t>
    </rPh>
    <rPh sb="2" eb="3">
      <t>ren fang</t>
    </rPh>
    <rPh sb="4" eb="5">
      <t>gong cehng</t>
    </rPh>
    <rPh sb="7" eb="8">
      <t>ping shi</t>
    </rPh>
    <rPh sb="9" eb="10">
      <t>yong tu</t>
    </rPh>
    <rPh sb="11" eb="12">
      <t>wei</t>
    </rPh>
    <rPh sb="12" eb="13">
      <t>qi che</t>
    </rPh>
    <rPh sb="14" eb="15">
      <t>ku</t>
    </rPh>
    <phoneticPr fontId="224" type="noConversion"/>
  </si>
  <si>
    <t>小计</t>
    <rPh sb="0" eb="1">
      <t>xiao ji</t>
    </rPh>
    <rPh sb="1" eb="2">
      <t>ji suan</t>
    </rPh>
    <phoneticPr fontId="224" type="noConversion"/>
  </si>
  <si>
    <t>综合实验楼普通地下室</t>
    <phoneticPr fontId="224" type="noConversion"/>
  </si>
  <si>
    <t>内部员工食堂及厨房</t>
    <rPh sb="0" eb="1">
      <t>nei bu</t>
    </rPh>
    <rPh sb="2" eb="3">
      <t>yuan gong</t>
    </rPh>
    <rPh sb="4" eb="5">
      <t>shi tagn</t>
    </rPh>
    <rPh sb="6" eb="7">
      <t>ji</t>
    </rPh>
    <rPh sb="7" eb="8">
      <t>chu fang</t>
    </rPh>
    <phoneticPr fontId="224" type="noConversion"/>
  </si>
  <si>
    <t>物业用房</t>
    <rPh sb="0" eb="1">
      <t>wu ye yong fang</t>
    </rPh>
    <phoneticPr fontId="224" type="noConversion"/>
  </si>
  <si>
    <t>自行车库</t>
    <rPh sb="0" eb="1">
      <t>zi xing ceh ku</t>
    </rPh>
    <phoneticPr fontId="224" type="noConversion"/>
  </si>
  <si>
    <t>设备用房</t>
    <rPh sb="0" eb="1">
      <t>she bwi</t>
    </rPh>
    <rPh sb="2" eb="3">
      <t>yong fang</t>
    </rPh>
    <phoneticPr fontId="224" type="noConversion"/>
  </si>
  <si>
    <t>汽车坡道</t>
    <rPh sb="0" eb="1">
      <t>qi che</t>
    </rPh>
    <rPh sb="2" eb="3">
      <t>po dao</t>
    </rPh>
    <phoneticPr fontId="224" type="noConversion"/>
  </si>
  <si>
    <t>地下管沟</t>
    <rPh sb="0" eb="1">
      <t>di xia</t>
    </rPh>
    <rPh sb="2" eb="3">
      <t>guan gou</t>
    </rPh>
    <phoneticPr fontId="224" type="noConversion"/>
  </si>
  <si>
    <t>电缆夹层</t>
    <rPh sb="0" eb="1">
      <t>dian lan jia ceng</t>
    </rPh>
    <phoneticPr fontId="224" type="noConversion"/>
  </si>
  <si>
    <t>总计</t>
    <rPh sb="0" eb="1">
      <t>zong ji</t>
    </rPh>
    <phoneticPr fontId="224" type="noConversion"/>
  </si>
  <si>
    <t>-</t>
    <phoneticPr fontId="224" type="noConversion"/>
  </si>
  <si>
    <t>实测</t>
    <rPh sb="0" eb="1">
      <t>shi ji</t>
    </rPh>
    <rPh sb="1" eb="2">
      <t>ce hui</t>
    </rPh>
    <phoneticPr fontId="224" type="noConversion"/>
  </si>
  <si>
    <t>综合实验楼</t>
    <rPh sb="0" eb="1">
      <t>zong he</t>
    </rPh>
    <rPh sb="2" eb="3">
      <t>shi yan lou</t>
    </rPh>
    <phoneticPr fontId="224" type="noConversion"/>
  </si>
  <si>
    <t>综合实验厂房</t>
    <phoneticPr fontId="224" type="noConversion"/>
  </si>
  <si>
    <t>公共服务</t>
    <phoneticPr fontId="7" type="noConversion"/>
  </si>
  <si>
    <t>好</t>
  </si>
  <si>
    <r>
      <rPr>
        <sz val="11"/>
        <color theme="1"/>
        <rFont val="宋体"/>
        <family val="3"/>
        <charset val="134"/>
      </rPr>
      <t>不动产收益法</t>
    </r>
    <r>
      <rPr>
        <sz val="11"/>
        <color theme="1"/>
        <rFont val="Arial"/>
        <family val="2"/>
      </rPr>
      <t>-</t>
    </r>
    <r>
      <rPr>
        <sz val="11"/>
        <color theme="1"/>
        <rFont val="宋体"/>
        <family val="3"/>
        <charset val="134"/>
      </rPr>
      <t>科研</t>
    </r>
    <phoneticPr fontId="14" type="noConversion"/>
  </si>
  <si>
    <t>方法</t>
  </si>
  <si>
    <t>楼面熟地单价</t>
  </si>
  <si>
    <t>权重楼面熟地单价</t>
  </si>
  <si>
    <t>政府土地收益</t>
  </si>
  <si>
    <t>地上住宅（满年限、旧容积率）</t>
  </si>
  <si>
    <t>比较法</t>
  </si>
  <si>
    <t>地上商业（满年限、旧容积率）</t>
  </si>
  <si>
    <t>地下商业（-2）（剩余年限）</t>
  </si>
  <si>
    <t>地下仓储</t>
  </si>
  <si>
    <t>地下仓储-商业（剩余年限）</t>
  </si>
  <si>
    <t>地下车库</t>
  </si>
  <si>
    <t>不动产收益法-科研</t>
  </si>
  <si>
    <t>熟地价</t>
  </si>
  <si>
    <t>部位</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</si>
  <si>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</si>
  <si>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</si>
  <si>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t>地下</t>
  </si>
  <si>
    <t>需补缴地价</t>
  </si>
  <si>
    <t>政府土地出让收益楼面价（元/㎡）</t>
  </si>
  <si>
    <t>需补缴地价总价（万元）</t>
  </si>
  <si>
    <t>新增用途</t>
    <phoneticPr fontId="224" type="noConversion"/>
  </si>
  <si>
    <t>地上科研</t>
    <phoneticPr fontId="224" type="noConversion"/>
  </si>
  <si>
    <t>地下科研</t>
    <phoneticPr fontId="224" type="noConversion"/>
  </si>
  <si>
    <r>
      <t>新增面积（</t>
    </r>
    <r>
      <rPr>
        <sz val="11"/>
        <color rgb="FF000000"/>
        <rFont val="宋体"/>
        <family val="3"/>
        <charset val="134"/>
      </rPr>
      <t>㎡</t>
    </r>
    <r>
      <rPr>
        <sz val="11"/>
        <color rgb="FF000000"/>
        <rFont val="仿宋_GB2312"/>
        <family val="3"/>
        <charset val="134"/>
      </rPr>
      <t>）</t>
    </r>
    <phoneticPr fontId="224" type="noConversion"/>
  </si>
  <si>
    <t>新用途-地下科研</t>
    <phoneticPr fontId="224" type="noConversion"/>
  </si>
  <si>
    <t>市场比较法</t>
    <phoneticPr fontId="224" type="noConversion"/>
  </si>
  <si>
    <t>政府土地出让收益</t>
    <phoneticPr fontId="224" type="noConversion"/>
  </si>
  <si>
    <t>办公</t>
    <phoneticPr fontId="27" type="noConversion"/>
  </si>
  <si>
    <t>50</t>
    <phoneticPr fontId="27" type="noConversion"/>
  </si>
  <si>
    <t>5</t>
    <phoneticPr fontId="27" type="noConversion"/>
  </si>
  <si>
    <t>航港国际大厦</t>
    <phoneticPr fontId="3" type="noConversion"/>
  </si>
  <si>
    <t>精装修</t>
  </si>
  <si>
    <t>精装修</t>
    <phoneticPr fontId="27" type="noConversion"/>
  </si>
  <si>
    <t>普通装修</t>
    <phoneticPr fontId="27" type="noConversion"/>
  </si>
  <si>
    <t>简单装修</t>
    <phoneticPr fontId="27" type="noConversion"/>
  </si>
  <si>
    <t>毛坯</t>
    <phoneticPr fontId="27" type="noConversion"/>
  </si>
  <si>
    <t>科研办公楼</t>
  </si>
  <si>
    <t>科研办公楼</t>
    <phoneticPr fontId="27" type="noConversion"/>
  </si>
  <si>
    <t>钢混</t>
    <phoneticPr fontId="27" type="noConversion"/>
  </si>
  <si>
    <t>七通</t>
    <phoneticPr fontId="27" type="noConversion"/>
  </si>
  <si>
    <t>六通</t>
    <phoneticPr fontId="27" type="noConversion"/>
  </si>
  <si>
    <t>五通</t>
    <phoneticPr fontId="27" type="noConversion"/>
  </si>
  <si>
    <t>四通</t>
    <phoneticPr fontId="27" type="noConversion"/>
  </si>
  <si>
    <t>高区</t>
    <phoneticPr fontId="27" type="noConversion"/>
  </si>
  <si>
    <t>中区</t>
    <phoneticPr fontId="27" type="noConversion"/>
  </si>
  <si>
    <t>低区</t>
    <phoneticPr fontId="27" type="noConversion"/>
  </si>
  <si>
    <t>高顺云港新能科技园</t>
    <phoneticPr fontId="3" type="noConversion"/>
  </si>
  <si>
    <t>中国民航科学技术研究院</t>
    <phoneticPr fontId="3" type="noConversion"/>
  </si>
  <si>
    <t>MAX空港企业园</t>
    <phoneticPr fontId="3" type="noConversion"/>
  </si>
  <si>
    <t>科研办公</t>
  </si>
  <si>
    <t>科研办公</t>
    <phoneticPr fontId="27" type="noConversion"/>
  </si>
  <si>
    <t>基准地价级别楼面地价</t>
    <phoneticPr fontId="224" type="noConversion"/>
  </si>
  <si>
    <t>比例</t>
    <phoneticPr fontId="224" type="noConversion"/>
  </si>
  <si>
    <t>最低价</t>
    <phoneticPr fontId="224" type="noConversion"/>
  </si>
  <si>
    <t>政府土地出让收益总价</t>
    <phoneticPr fontId="224" type="noConversion"/>
  </si>
  <si>
    <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phoneticPr fontId="224" type="noConversion"/>
  </si>
  <si>
    <t>楼面熟地价</t>
  </si>
  <si>
    <t>地下科研</t>
  </si>
  <si>
    <t>VII-顺2</t>
    <phoneticPr fontId="224" type="noConversion"/>
  </si>
  <si>
    <t>所在级别基准地价</t>
    <phoneticPr fontId="224" type="noConversion"/>
  </si>
  <si>
    <t>租金</t>
    <phoneticPr fontId="27" type="noConversion"/>
  </si>
  <si>
    <t>用途</t>
    <phoneticPr fontId="224" type="noConversion"/>
  </si>
  <si>
    <t>期日</t>
    <phoneticPr fontId="224" type="noConversion"/>
  </si>
  <si>
    <t>年期</t>
    <phoneticPr fontId="224" type="noConversion"/>
  </si>
  <si>
    <t>容积率</t>
    <phoneticPr fontId="224" type="noConversion"/>
  </si>
  <si>
    <t>地下空间</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</si>
</sst>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
    <numFmt numFmtId="198" formatCode="[DBNum2][$-804]General"/>
  </numFmts>
  <fonts count="32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
      <b/>
      <sz val="11"/>
      <color theme="1"/>
      <name val="仿宋"/>
      <family val="3"/>
      <charset val="134"/>
    </font>
    <font>
      <sz val="11"/>
      <color theme="1"/>
      <name val="仿宋"/>
      <family val="3"/>
      <charset val="134"/>
    </font>
    <font>
      <sz val="11"/>
      <color theme="1"/>
      <name val="宋体"/>
      <family val="3"/>
      <charset val="134"/>
      <scheme val="minor"/>
    </font>
    <font>
      <sz val="11"/>
      <color rgb="FF000000"/>
      <name val="宋体"/>
      <family val="4"/>
      <charset val="134"/>
      <scheme val="minor"/>
    </font>
    <font>
      <sz val="11"/>
      <color rgb="FFFF0000"/>
      <name val="仿宋"/>
      <family val="3"/>
      <charset val="134"/>
    </font>
    <font>
      <b/>
      <sz val="11"/>
      <color indexed="81"/>
      <name val="ＭＳ Ｐゴシック"/>
      <family val="2"/>
      <charset val="128"/>
    </font>
    <font>
      <sz val="11"/>
      <color indexed="81"/>
      <name val="ＭＳ Ｐゴシック"/>
      <family val="2"/>
      <charset val="128"/>
    </font>
    <font>
      <b/>
      <sz val="10"/>
      <color theme="1"/>
      <name val="Adobe 黑体 Std R"/>
      <charset val="134"/>
    </font>
    <font>
      <sz val="10"/>
      <name val="宋体"/>
      <family val="3"/>
      <charset val="134"/>
      <scheme val="minor"/>
    </font>
    <font>
      <sz val="11"/>
      <color rgb="FF000000"/>
      <name val="仿宋_GB2312"/>
      <family val="3"/>
      <charset val="134"/>
    </font>
    <font>
      <sz val="11"/>
      <color rgb="FF000000"/>
      <name val="Arial"/>
      <family val="2"/>
    </font>
    <font>
      <sz val="11"/>
      <color rgb="FF000000"/>
      <name val="Batang"/>
      <family val="1"/>
      <charset val="129"/>
    </font>
    <font>
      <sz val="11"/>
      <color rgb="FF000000"/>
      <name val="宋体"/>
      <family val="3"/>
      <charset val="134"/>
    </font>
    <font>
      <b/>
      <sz val="12"/>
      <color rgb="FF000000"/>
      <name val="仿宋_GB2312"/>
      <family val="3"/>
      <charset val="134"/>
    </font>
    <font>
      <b/>
      <sz val="11"/>
      <color rgb="FF000000"/>
      <name val="宋体"/>
      <family val="3"/>
      <charset val="134"/>
    </font>
    <font>
      <b/>
      <sz val="9"/>
      <color rgb="FF000000"/>
      <name val="KaiTi"/>
      <family val="3"/>
      <charset val="134"/>
    </font>
    <font>
      <sz val="9"/>
      <color rgb="FF000000"/>
      <name val="KaiTi"/>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08" fillId="0" borderId="0" applyNumberFormat="0" applyFill="0" applyBorder="0" applyAlignment="0" applyProtection="0">
      <alignment vertical="center"/>
    </xf>
    <xf numFmtId="0" fontId="141" fillId="0" borderId="0">
      <alignment vertical="center"/>
    </xf>
    <xf numFmtId="198" fontId="311" fillId="0" borderId="0">
      <alignment vertical="center"/>
    </xf>
  </cellStyleXfs>
  <cellXfs count="4331">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4" fillId="0" borderId="172" xfId="17" applyFont="1" applyBorder="1" applyAlignment="1">
      <alignment horizontal="left" vertical="top" wrapText="1"/>
    </xf>
    <xf numFmtId="195" fontId="305" fillId="0" borderId="2" xfId="17" applyFont="1" applyBorder="1" applyAlignment="1">
      <alignment horizontal="center" vertical="center" wrapText="1"/>
    </xf>
    <xf numFmtId="195" fontId="304"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5" fillId="2" borderId="2" xfId="17" applyFont="1" applyFill="1" applyBorder="1" applyAlignment="1">
      <alignment horizontal="center" vertical="center" wrapText="1"/>
    </xf>
    <xf numFmtId="195" fontId="305" fillId="25" borderId="2" xfId="17" applyFont="1" applyFill="1" applyBorder="1" applyAlignment="1">
      <alignment horizontal="center" vertical="center" wrapText="1"/>
    </xf>
    <xf numFmtId="0" fontId="305" fillId="8" borderId="2" xfId="17" applyNumberFormat="1" applyFont="1" applyFill="1" applyBorder="1" applyAlignment="1">
      <alignment horizontal="center" vertical="center" wrapText="1"/>
    </xf>
    <xf numFmtId="196" fontId="305" fillId="8" borderId="2" xfId="17" applyNumberFormat="1" applyFont="1" applyFill="1" applyBorder="1" applyAlignment="1">
      <alignment horizontal="center" vertical="center"/>
    </xf>
    <xf numFmtId="178" fontId="305" fillId="8" borderId="2" xfId="17" applyNumberFormat="1" applyFont="1" applyFill="1" applyBorder="1" applyAlignment="1">
      <alignment horizontal="center" vertical="center"/>
    </xf>
    <xf numFmtId="178" fontId="305" fillId="2" borderId="2" xfId="17" applyNumberFormat="1" applyFont="1" applyFill="1" applyBorder="1" applyAlignment="1">
      <alignment horizontal="center" vertical="center"/>
    </xf>
    <xf numFmtId="1" fontId="305" fillId="25" borderId="2" xfId="17" applyNumberFormat="1" applyFont="1" applyFill="1" applyBorder="1" applyAlignment="1">
      <alignment horizontal="center" vertical="center"/>
    </xf>
    <xf numFmtId="195" fontId="190" fillId="8" borderId="0" xfId="17" applyFont="1" applyFill="1">
      <alignment vertical="center"/>
    </xf>
    <xf numFmtId="0" fontId="305" fillId="8" borderId="2" xfId="17" applyNumberFormat="1" applyFont="1" applyFill="1" applyBorder="1" applyAlignment="1">
      <alignment horizontal="center" vertical="center"/>
    </xf>
    <xf numFmtId="0" fontId="305" fillId="0" borderId="2" xfId="17" applyNumberFormat="1" applyFont="1" applyBorder="1" applyAlignment="1">
      <alignment horizontal="center" vertical="center"/>
    </xf>
    <xf numFmtId="0" fontId="305" fillId="0" borderId="2" xfId="17" applyNumberFormat="1" applyFont="1" applyBorder="1" applyAlignment="1">
      <alignment horizontal="center" vertical="center" wrapText="1"/>
    </xf>
    <xf numFmtId="195" fontId="304" fillId="26" borderId="172" xfId="17" applyFont="1" applyFill="1" applyBorder="1" applyAlignment="1">
      <alignment horizontal="left" vertical="top" wrapText="1"/>
    </xf>
    <xf numFmtId="195" fontId="305" fillId="26" borderId="2" xfId="17" applyFont="1" applyFill="1" applyBorder="1" applyAlignment="1">
      <alignment horizontal="center" vertical="center" wrapText="1"/>
    </xf>
    <xf numFmtId="178" fontId="305" fillId="8" borderId="2" xfId="17" applyNumberFormat="1" applyFont="1" applyFill="1" applyBorder="1" applyAlignment="1">
      <alignment horizontal="center" vertical="center" wrapText="1"/>
    </xf>
    <xf numFmtId="9" fontId="305" fillId="0" borderId="2" xfId="17" applyNumberFormat="1" applyFont="1" applyBorder="1" applyAlignment="1">
      <alignment horizontal="center" vertical="center"/>
    </xf>
    <xf numFmtId="178" fontId="305" fillId="0" borderId="2" xfId="17" applyNumberFormat="1" applyFont="1" applyBorder="1" applyAlignment="1">
      <alignment horizontal="center" vertical="center" wrapText="1"/>
    </xf>
    <xf numFmtId="182" fontId="305" fillId="0" borderId="2" xfId="17" applyNumberFormat="1" applyFont="1" applyBorder="1" applyAlignment="1">
      <alignment horizontal="center" vertical="center"/>
    </xf>
    <xf numFmtId="196" fontId="305" fillId="0" borderId="2" xfId="17" applyNumberFormat="1" applyFont="1" applyBorder="1" applyAlignment="1">
      <alignment horizontal="center" vertical="center"/>
    </xf>
    <xf numFmtId="186" fontId="305" fillId="0" borderId="2" xfId="17" applyNumberFormat="1" applyFont="1" applyBorder="1" applyAlignment="1">
      <alignment horizontal="center" vertical="center"/>
    </xf>
    <xf numFmtId="178" fontId="305"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5"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5" fillId="8" borderId="2" xfId="17" applyNumberFormat="1" applyFont="1" applyFill="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7" fillId="0" borderId="0" xfId="17" applyNumberFormat="1" applyFont="1">
      <alignment vertical="center"/>
    </xf>
    <xf numFmtId="0" fontId="306" fillId="0" borderId="0" xfId="17" applyNumberFormat="1" applyFont="1">
      <alignment vertical="center"/>
    </xf>
    <xf numFmtId="0" fontId="306" fillId="0" borderId="0" xfId="17" applyNumberFormat="1" applyFont="1" applyAlignment="1">
      <alignment horizontal="center" vertical="center"/>
    </xf>
    <xf numFmtId="0" fontId="0" fillId="0" borderId="0" xfId="0" applyAlignment="1">
      <alignment horizontal="center"/>
    </xf>
    <xf numFmtId="197" fontId="0" fillId="0" borderId="0" xfId="0" applyNumberFormat="1" applyAlignment="1"/>
    <xf numFmtId="0" fontId="141" fillId="0" borderId="0" xfId="0" applyFont="1" applyAlignment="1">
      <alignment vertical="center" wrapText="1"/>
    </xf>
    <xf numFmtId="0" fontId="308"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09" fillId="0" borderId="0" xfId="20" applyFont="1" applyAlignment="1">
      <alignment horizontal="center" vertical="center" wrapText="1"/>
    </xf>
    <xf numFmtId="0" fontId="309" fillId="6" borderId="0" xfId="20" applyFont="1" applyFill="1" applyAlignment="1">
      <alignment horizontal="center" vertical="center" wrapText="1"/>
    </xf>
    <xf numFmtId="2" fontId="309" fillId="6" borderId="0" xfId="20" applyNumberFormat="1" applyFont="1" applyFill="1" applyAlignment="1">
      <alignment horizontal="center" vertical="center" wrapText="1"/>
    </xf>
    <xf numFmtId="180" fontId="310" fillId="0" borderId="0" xfId="20" applyNumberFormat="1" applyFont="1" applyAlignment="1">
      <alignment horizontal="center" vertical="center" wrapText="1"/>
    </xf>
    <xf numFmtId="10" fontId="311" fillId="0" borderId="0" xfId="21" applyNumberFormat="1" applyAlignment="1">
      <alignment horizontal="center" vertical="center"/>
    </xf>
    <xf numFmtId="198" fontId="311" fillId="0" borderId="0" xfId="21" applyAlignment="1">
      <alignment horizontal="center" vertical="center"/>
    </xf>
    <xf numFmtId="177" fontId="311" fillId="0" borderId="0" xfId="21" applyNumberFormat="1" applyAlignment="1">
      <alignment horizontal="center" vertical="center"/>
    </xf>
    <xf numFmtId="2" fontId="309" fillId="0" borderId="0" xfId="20" applyNumberFormat="1" applyFont="1" applyAlignment="1">
      <alignment horizontal="center" vertical="center" wrapText="1"/>
    </xf>
    <xf numFmtId="0" fontId="310" fillId="0" borderId="2" xfId="20" applyFont="1" applyBorder="1" applyAlignment="1">
      <alignment horizontal="center" vertical="center" wrapText="1"/>
    </xf>
    <xf numFmtId="10" fontId="311" fillId="0" borderId="2" xfId="21" applyNumberFormat="1" applyBorder="1" applyAlignment="1">
      <alignment horizontal="center" vertical="center"/>
    </xf>
    <xf numFmtId="2" fontId="310" fillId="0" borderId="2" xfId="20" applyNumberFormat="1" applyFont="1" applyBorder="1" applyAlignment="1">
      <alignment horizontal="center" vertical="center" wrapText="1"/>
    </xf>
    <xf numFmtId="180" fontId="310" fillId="0" borderId="2" xfId="20" applyNumberFormat="1" applyFont="1" applyBorder="1" applyAlignment="1">
      <alignment horizontal="center" vertical="center" wrapText="1"/>
    </xf>
    <xf numFmtId="10" fontId="143" fillId="0" borderId="2" xfId="21" applyNumberFormat="1" applyFont="1" applyBorder="1" applyAlignment="1">
      <alignment horizontal="center" vertical="center"/>
    </xf>
    <xf numFmtId="2" fontId="309" fillId="0" borderId="2" xfId="20" applyNumberFormat="1" applyFont="1" applyBorder="1" applyAlignment="1">
      <alignment horizontal="center" vertical="center" wrapText="1"/>
    </xf>
    <xf numFmtId="2" fontId="313" fillId="27" borderId="2" xfId="20" applyNumberFormat="1" applyFont="1" applyFill="1" applyBorder="1" applyAlignment="1">
      <alignment horizontal="center" vertical="center" wrapText="1"/>
    </xf>
    <xf numFmtId="180" fontId="313" fillId="27" borderId="2" xfId="20" applyNumberFormat="1" applyFont="1" applyFill="1" applyBorder="1" applyAlignment="1">
      <alignment horizontal="center" vertical="center" wrapText="1"/>
    </xf>
    <xf numFmtId="10" fontId="143" fillId="27" borderId="2" xfId="21" applyNumberFormat="1" applyFont="1" applyFill="1" applyBorder="1" applyAlignment="1">
      <alignment horizontal="center" vertical="center"/>
    </xf>
    <xf numFmtId="2" fontId="310" fillId="27" borderId="2" xfId="20" applyNumberFormat="1" applyFont="1" applyFill="1" applyBorder="1" applyAlignment="1">
      <alignment horizontal="center" vertical="center" wrapText="1"/>
    </xf>
    <xf numFmtId="180" fontId="310" fillId="27" borderId="2" xfId="20" applyNumberFormat="1" applyFont="1" applyFill="1" applyBorder="1" applyAlignment="1">
      <alignment horizontal="center" vertical="center" wrapText="1"/>
    </xf>
    <xf numFmtId="10" fontId="311" fillId="27" borderId="2" xfId="21" applyNumberFormat="1" applyFill="1" applyBorder="1" applyAlignment="1">
      <alignment horizontal="center" vertical="center"/>
    </xf>
    <xf numFmtId="0" fontId="309" fillId="0" borderId="2" xfId="20" applyFont="1" applyBorder="1" applyAlignment="1">
      <alignment horizontal="center" vertical="center" wrapText="1"/>
    </xf>
    <xf numFmtId="180" fontId="309" fillId="0" borderId="2" xfId="20" applyNumberFormat="1" applyFont="1" applyBorder="1" applyAlignment="1">
      <alignment horizontal="center" vertical="center" wrapText="1"/>
    </xf>
    <xf numFmtId="198" fontId="311" fillId="0" borderId="2" xfId="21" applyBorder="1" applyAlignment="1">
      <alignment horizontal="center" vertical="center" wrapText="1"/>
    </xf>
    <xf numFmtId="198" fontId="311" fillId="0" borderId="0" xfId="21" applyAlignment="1">
      <alignment horizontal="center" vertical="center" wrapText="1"/>
    </xf>
    <xf numFmtId="177" fontId="311" fillId="0" borderId="2" xfId="21" applyNumberFormat="1" applyBorder="1" applyAlignment="1">
      <alignment horizontal="center" vertical="center" wrapText="1"/>
    </xf>
    <xf numFmtId="177" fontId="311" fillId="0" borderId="0" xfId="21" applyNumberFormat="1" applyAlignment="1">
      <alignment horizontal="center" vertical="center" wrapText="1"/>
    </xf>
    <xf numFmtId="2" fontId="67" fillId="0" borderId="2" xfId="0" applyNumberFormat="1" applyFont="1" applyFill="1" applyBorder="1" applyAlignment="1" applyProtection="1">
      <alignment horizontal="center" vertical="center"/>
      <protection locked="0"/>
    </xf>
    <xf numFmtId="0" fontId="160" fillId="0" borderId="0" xfId="0" applyFont="1">
      <alignment vertical="center"/>
    </xf>
    <xf numFmtId="0" fontId="316" fillId="8" borderId="2" xfId="0" applyFont="1" applyFill="1" applyBorder="1" applyAlignment="1">
      <alignment horizontal="center" vertical="center" wrapText="1"/>
    </xf>
    <xf numFmtId="0" fontId="160" fillId="8" borderId="2" xfId="0" applyFont="1" applyFill="1" applyBorder="1" applyAlignment="1">
      <alignment horizontal="center" vertical="center" wrapText="1"/>
    </xf>
    <xf numFmtId="0" fontId="317" fillId="8" borderId="2" xfId="0" applyFont="1" applyFill="1" applyBorder="1" applyAlignment="1">
      <alignment horizontal="center" vertical="center" wrapText="1"/>
    </xf>
    <xf numFmtId="0" fontId="166" fillId="8" borderId="2" xfId="0" applyFont="1" applyFill="1" applyBorder="1" applyAlignment="1">
      <alignment horizontal="center" vertical="center" wrapText="1"/>
    </xf>
    <xf numFmtId="1" fontId="317" fillId="8" borderId="2" xfId="0" applyNumberFormat="1" applyFont="1" applyFill="1" applyBorder="1" applyAlignment="1">
      <alignment horizontal="center" vertical="center" wrapText="1"/>
    </xf>
    <xf numFmtId="0" fontId="318" fillId="0" borderId="38" xfId="0" applyFont="1" applyBorder="1" applyAlignment="1">
      <alignment horizontal="center" vertical="center" wrapText="1"/>
    </xf>
    <xf numFmtId="0" fontId="319" fillId="0" borderId="38" xfId="0" applyFont="1" applyBorder="1" applyAlignment="1">
      <alignment horizontal="center" vertical="center"/>
    </xf>
    <xf numFmtId="0" fontId="0" fillId="0" borderId="0" xfId="0" applyAlignment="1">
      <alignment horizontal="center" vertical="center"/>
    </xf>
    <xf numFmtId="0" fontId="323" fillId="0" borderId="0" xfId="0" applyFont="1" applyBorder="1" applyAlignment="1">
      <alignment horizontal="center" vertical="center"/>
    </xf>
    <xf numFmtId="0" fontId="0" fillId="0" borderId="0" xfId="0" applyBorder="1" applyAlignment="1">
      <alignment horizontal="center" vertical="center"/>
    </xf>
    <xf numFmtId="0" fontId="142" fillId="0" borderId="0" xfId="0" applyFont="1" applyAlignment="1">
      <alignment horizontal="left" vertical="center"/>
    </xf>
    <xf numFmtId="0" fontId="142" fillId="0" borderId="0" xfId="0" applyFont="1">
      <alignment vertical="center"/>
    </xf>
    <xf numFmtId="2" fontId="67" fillId="0" borderId="11"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2" fontId="251" fillId="0" borderId="10" xfId="14" applyNumberFormat="1" applyFont="1" applyFill="1" applyBorder="1" applyAlignment="1" applyProtection="1">
      <alignment horizontal="left" vertical="center" wrapText="1"/>
      <protection locked="0"/>
    </xf>
    <xf numFmtId="0" fontId="80" fillId="9" borderId="18" xfId="0" applyNumberFormat="1" applyFont="1" applyFill="1" applyBorder="1" applyAlignment="1" applyProtection="1">
      <alignment horizontal="center" vertical="center" wrapText="1"/>
      <protection locked="0"/>
    </xf>
    <xf numFmtId="0" fontId="159" fillId="9" borderId="2" xfId="3" applyFont="1" applyFill="1" applyBorder="1" applyAlignment="1" applyProtection="1">
      <alignment horizontal="left" vertical="center" wrapText="1"/>
      <protection locked="0"/>
    </xf>
    <xf numFmtId="180" fontId="81" fillId="9" borderId="12" xfId="0" applyNumberFormat="1" applyFont="1" applyFill="1" applyBorder="1" applyAlignment="1" applyProtection="1">
      <alignment horizontal="center" vertical="center"/>
    </xf>
    <xf numFmtId="0" fontId="71" fillId="9" borderId="2" xfId="0" applyFont="1" applyFill="1" applyBorder="1" applyAlignment="1" applyProtection="1">
      <alignment horizontal="left" vertical="center"/>
    </xf>
    <xf numFmtId="0" fontId="82" fillId="9" borderId="2" xfId="0" applyFont="1" applyFill="1" applyBorder="1" applyAlignment="1" applyProtection="1">
      <alignment horizontal="center" vertical="center" wrapText="1"/>
      <protection locked="0"/>
    </xf>
    <xf numFmtId="0" fontId="317" fillId="9" borderId="2" xfId="0" applyFont="1" applyFill="1" applyBorder="1" applyAlignment="1">
      <alignment horizontal="center" vertical="center" wrapText="1"/>
    </xf>
    <xf numFmtId="0" fontId="82" fillId="9" borderId="25" xfId="2" applyNumberFormat="1" applyFont="1" applyFill="1" applyBorder="1" applyAlignment="1" applyProtection="1">
      <alignment horizontal="left" vertical="center"/>
      <protection locked="0"/>
    </xf>
    <xf numFmtId="10" fontId="0" fillId="0" borderId="0" xfId="0" applyNumberFormat="1">
      <alignment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10" fontId="71" fillId="28" borderId="2" xfId="2" applyNumberFormat="1" applyFont="1" applyFill="1" applyBorder="1" applyAlignment="1" applyProtection="1">
      <alignment horizontal="left" vertical="center"/>
    </xf>
    <xf numFmtId="0" fontId="324" fillId="0" borderId="82" xfId="0" applyFont="1" applyBorder="1" applyAlignment="1">
      <alignment vertical="center" wrapText="1"/>
    </xf>
    <xf numFmtId="0" fontId="324" fillId="0" borderId="38" xfId="0" applyFont="1" applyBorder="1" applyAlignment="1">
      <alignment vertical="center" wrapText="1"/>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95" fontId="301" fillId="0" borderId="0" xfId="17" applyFont="1" applyAlignment="1">
      <alignment horizontal="left" vertical="center"/>
    </xf>
    <xf numFmtId="195" fontId="301" fillId="0" borderId="0" xfId="17" applyFont="1" applyAlignment="1">
      <alignment horizontal="center" vertical="center"/>
    </xf>
    <xf numFmtId="195" fontId="289" fillId="0" borderId="2" xfId="17" applyFont="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325" fillId="0" borderId="35" xfId="0" applyFont="1" applyBorder="1" applyAlignment="1">
      <alignment horizontal="center" vertical="center" wrapText="1"/>
    </xf>
    <xf numFmtId="0" fontId="325" fillId="0" borderId="80" xfId="0" applyFont="1" applyBorder="1" applyAlignment="1">
      <alignment horizontal="center" vertical="center" wrapText="1"/>
    </xf>
    <xf numFmtId="0" fontId="324" fillId="0" borderId="35" xfId="0" applyFont="1" applyBorder="1" applyAlignment="1">
      <alignment horizontal="center" vertical="center" wrapText="1"/>
    </xf>
    <xf numFmtId="0" fontId="324" fillId="0" borderId="80" xfId="0" applyFont="1" applyBorder="1" applyAlignment="1">
      <alignment horizontal="center" vertical="center" wrapText="1"/>
    </xf>
    <xf numFmtId="0" fontId="325" fillId="0" borderId="35" xfId="0" applyFont="1" applyBorder="1" applyAlignment="1">
      <alignment vertical="center" wrapText="1"/>
    </xf>
    <xf numFmtId="0" fontId="325" fillId="0" borderId="80" xfId="0" applyFont="1" applyBorder="1" applyAlignment="1">
      <alignment vertical="center" wrapText="1"/>
    </xf>
    <xf numFmtId="0" fontId="160" fillId="8" borderId="2" xfId="0" applyFont="1" applyFill="1" applyBorder="1" applyAlignment="1">
      <alignment horizontal="center" vertical="center" wrapText="1"/>
    </xf>
    <xf numFmtId="0" fontId="160" fillId="8" borderId="10" xfId="0" applyFont="1" applyFill="1" applyBorder="1" applyAlignment="1">
      <alignment horizontal="center" vertical="center" wrapText="1"/>
    </xf>
    <xf numFmtId="0" fontId="160" fillId="8" borderId="3" xfId="0" applyFont="1" applyFill="1" applyBorder="1" applyAlignment="1">
      <alignment horizontal="center" vertical="center" wrapText="1"/>
    </xf>
    <xf numFmtId="0" fontId="160" fillId="8" borderId="21" xfId="0" applyFont="1" applyFill="1" applyBorder="1" applyAlignment="1">
      <alignment horizontal="center" vertical="center" wrapText="1"/>
    </xf>
    <xf numFmtId="0" fontId="160" fillId="8" borderId="10" xfId="0" applyFont="1" applyFill="1" applyBorder="1" applyAlignment="1">
      <alignment horizontal="center" vertical="center"/>
    </xf>
    <xf numFmtId="0" fontId="160" fillId="8" borderId="3" xfId="0" applyFont="1" applyFill="1" applyBorder="1" applyAlignment="1">
      <alignment horizontal="center" vertical="center"/>
    </xf>
    <xf numFmtId="0" fontId="160" fillId="8" borderId="21" xfId="0" applyFont="1" applyFill="1" applyBorder="1" applyAlignment="1">
      <alignment horizontal="center" vertical="center"/>
    </xf>
    <xf numFmtId="0" fontId="317" fillId="8" borderId="2" xfId="0" applyFont="1" applyFill="1" applyBorder="1" applyAlignment="1">
      <alignment horizontal="center" vertical="center" wrapText="1"/>
    </xf>
    <xf numFmtId="0" fontId="317" fillId="8" borderId="10" xfId="0" applyFont="1" applyFill="1" applyBorder="1" applyAlignment="1">
      <alignment horizontal="center" vertical="center" wrapText="1"/>
    </xf>
    <xf numFmtId="0" fontId="317" fillId="8" borderId="3" xfId="0" applyFont="1" applyFill="1" applyBorder="1" applyAlignment="1">
      <alignment horizontal="center" vertical="center" wrapText="1"/>
    </xf>
    <xf numFmtId="0" fontId="317" fillId="8" borderId="21" xfId="0" applyFont="1" applyFill="1" applyBorder="1" applyAlignment="1">
      <alignment horizontal="center" vertical="center" wrapText="1"/>
    </xf>
    <xf numFmtId="0" fontId="317" fillId="8" borderId="10" xfId="0" applyFont="1" applyFill="1" applyBorder="1" applyAlignment="1">
      <alignment horizontal="center" vertical="center"/>
    </xf>
    <xf numFmtId="0" fontId="317" fillId="8" borderId="3" xfId="0" applyFont="1" applyFill="1" applyBorder="1" applyAlignment="1">
      <alignment horizontal="center" vertical="center"/>
    </xf>
    <xf numFmtId="0" fontId="317" fillId="8" borderId="21" xfId="0" applyFont="1" applyFill="1" applyBorder="1" applyAlignment="1">
      <alignment horizontal="center" vertical="center"/>
    </xf>
    <xf numFmtId="0" fontId="166" fillId="8" borderId="10" xfId="0" applyFont="1" applyFill="1" applyBorder="1" applyAlignment="1">
      <alignment horizontal="center" vertical="center" wrapText="1"/>
    </xf>
    <xf numFmtId="0" fontId="166" fillId="8" borderId="3" xfId="0" applyFont="1" applyFill="1" applyBorder="1" applyAlignment="1">
      <alignment horizontal="center" vertical="center" wrapText="1"/>
    </xf>
    <xf numFmtId="0" fontId="166" fillId="8" borderId="21" xfId="0" applyFont="1" applyFill="1" applyBorder="1" applyAlignment="1">
      <alignment horizontal="center" vertical="center" wrapText="1"/>
    </xf>
    <xf numFmtId="0" fontId="166" fillId="8" borderId="2" xfId="0" applyFont="1" applyFill="1" applyBorder="1" applyAlignment="1">
      <alignment horizontal="center" vertical="center" wrapText="1"/>
    </xf>
    <xf numFmtId="0" fontId="166" fillId="8" borderId="10" xfId="0" applyFont="1" applyFill="1" applyBorder="1" applyAlignment="1">
      <alignment horizontal="center" vertical="center"/>
    </xf>
    <xf numFmtId="0" fontId="166" fillId="8" borderId="3" xfId="0" applyFont="1" applyFill="1" applyBorder="1" applyAlignment="1">
      <alignment horizontal="center" vertical="center"/>
    </xf>
    <xf numFmtId="0" fontId="166" fillId="8" borderId="21" xfId="0" applyFont="1" applyFill="1" applyBorder="1" applyAlignment="1">
      <alignment horizontal="center" vertical="center"/>
    </xf>
    <xf numFmtId="0" fontId="322" fillId="0" borderId="66" xfId="0" applyFont="1" applyBorder="1" applyAlignment="1">
      <alignment horizontal="center" vertical="center" wrapText="1"/>
    </xf>
    <xf numFmtId="0" fontId="318" fillId="0" borderId="82" xfId="0" applyFont="1" applyBorder="1" applyAlignment="1">
      <alignment horizontal="center" vertical="center" wrapText="1"/>
    </xf>
    <xf numFmtId="0" fontId="318" fillId="0" borderId="38" xfId="0" applyFont="1" applyBorder="1" applyAlignment="1">
      <alignment horizontal="center" vertical="center" wrapText="1"/>
    </xf>
    <xf numFmtId="0" fontId="323" fillId="0" borderId="80" xfId="0" applyFont="1" applyBorder="1" applyAlignment="1">
      <alignment horizontal="center" vertical="center"/>
    </xf>
    <xf numFmtId="0" fontId="318" fillId="0" borderId="35" xfId="0" applyFont="1" applyBorder="1" applyAlignment="1">
      <alignment horizontal="center" vertical="center" wrapText="1"/>
    </xf>
    <xf numFmtId="0" fontId="318" fillId="0" borderId="80" xfId="0" applyFont="1" applyBorder="1" applyAlignment="1">
      <alignment horizontal="center" vertical="center" wrapText="1"/>
    </xf>
    <xf numFmtId="0" fontId="318" fillId="0" borderId="80" xfId="0" applyFont="1" applyBorder="1" applyAlignment="1">
      <alignment horizontal="center" vertical="center"/>
    </xf>
    <xf numFmtId="198" fontId="312" fillId="0" borderId="19" xfId="21" applyFont="1" applyBorder="1" applyAlignment="1">
      <alignment horizontal="center" vertical="center"/>
    </xf>
    <xf numFmtId="0" fontId="310" fillId="0" borderId="5" xfId="20" applyFont="1" applyBorder="1" applyAlignment="1">
      <alignment horizontal="center" vertical="center" wrapText="1"/>
    </xf>
    <xf numFmtId="0" fontId="310" fillId="0" borderId="9" xfId="20" applyFont="1" applyBorder="1" applyAlignment="1">
      <alignment horizontal="center" vertical="center" wrapText="1"/>
    </xf>
    <xf numFmtId="198" fontId="311" fillId="0" borderId="0" xfId="21" applyAlignment="1">
      <alignment horizontal="center" vertical="center" wrapText="1"/>
    </xf>
    <xf numFmtId="0" fontId="310" fillId="0" borderId="10" xfId="20" applyFont="1" applyBorder="1" applyAlignment="1">
      <alignment horizontal="center" vertical="center" wrapText="1"/>
    </xf>
    <xf numFmtId="0" fontId="310" fillId="0" borderId="3" xfId="20" applyFont="1" applyBorder="1" applyAlignment="1">
      <alignment horizontal="center" vertical="center" wrapText="1"/>
    </xf>
    <xf numFmtId="0" fontId="310" fillId="0" borderId="21" xfId="20" applyFont="1" applyBorder="1" applyAlignment="1">
      <alignment horizontal="center" vertical="center" wrapText="1"/>
    </xf>
    <xf numFmtId="0" fontId="310" fillId="0" borderId="2" xfId="20" applyFont="1" applyBorder="1" applyAlignment="1">
      <alignment horizontal="center" vertical="center" wrapText="1"/>
    </xf>
    <xf numFmtId="0" fontId="309" fillId="0" borderId="5" xfId="20" applyFont="1" applyBorder="1" applyAlignment="1">
      <alignment horizontal="center" vertical="center" wrapText="1"/>
    </xf>
    <xf numFmtId="0" fontId="309" fillId="0" borderId="8" xfId="20" applyFont="1" applyBorder="1" applyAlignment="1">
      <alignment horizontal="center" vertical="center" wrapText="1"/>
    </xf>
    <xf numFmtId="0" fontId="309" fillId="0" borderId="9" xfId="20" applyFont="1" applyBorder="1" applyAlignment="1">
      <alignment horizontal="center" vertical="center" wrapText="1"/>
    </xf>
    <xf numFmtId="0" fontId="310" fillId="27" borderId="2" xfId="20" applyFont="1" applyFill="1" applyBorder="1" applyAlignment="1">
      <alignment horizontal="center" vertical="center" wrapText="1"/>
    </xf>
    <xf numFmtId="198" fontId="311" fillId="0" borderId="19" xfId="21" applyBorder="1" applyAlignment="1">
      <alignment horizontal="center" vertical="center"/>
    </xf>
    <xf numFmtId="198" fontId="311" fillId="0" borderId="2" xfId="21" applyBorder="1" applyAlignment="1">
      <alignment horizontal="center" vertical="center" wrapText="1"/>
    </xf>
    <xf numFmtId="177" fontId="311" fillId="0" borderId="2" xfId="21" applyNumberFormat="1" applyBorder="1" applyAlignment="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255" fillId="0" borderId="9"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208" fillId="6" borderId="2" xfId="0" applyFont="1" applyFill="1" applyBorder="1" applyAlignment="1" applyProtection="1">
      <alignment horizontal="center" vertical="center"/>
      <protection locked="0"/>
    </xf>
    <xf numFmtId="186" fontId="80" fillId="5" borderId="2" xfId="3" applyNumberFormat="1" applyFont="1" applyFill="1" applyBorder="1" applyAlignment="1" applyProtection="1">
      <alignment horizontal="center" vertical="center" wrapText="1"/>
    </xf>
    <xf numFmtId="186" fontId="80" fillId="29" borderId="21" xfId="3" applyNumberFormat="1" applyFont="1" applyFill="1" applyBorder="1" applyAlignment="1" applyProtection="1">
      <alignment horizontal="center" vertical="center" wrapText="1"/>
    </xf>
  </cellXfs>
  <cellStyles count="22">
    <cellStyle name="百分比" xfId="16" builtinId="5"/>
    <cellStyle name="百分比 2" xfId="11" xr:uid="{00000000-0005-0000-0000-000001000000}"/>
    <cellStyle name="常规" xfId="0" builtinId="0"/>
    <cellStyle name="常规 10" xfId="20" xr:uid="{00000000-0005-0000-0000-000003000000}"/>
    <cellStyle name="常规 11" xfId="17" xr:uid="{00000000-0005-0000-0000-000004000000}"/>
    <cellStyle name="常规 12" xfId="18" xr:uid="{00000000-0005-0000-0000-000005000000}"/>
    <cellStyle name="常规 13" xfId="21" xr:uid="{00000000-0005-0000-0000-000006000000}"/>
    <cellStyle name="常规 16" xfId="1"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超链接" xfId="19" builtinId="8"/>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id="{165A5740-9D3E-4707-AFBB-3307C4041AF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141817</xdr:colOff>
      <xdr:row>0</xdr:row>
      <xdr:rowOff>0</xdr:rowOff>
    </xdr:from>
    <xdr:to>
      <xdr:col>17</xdr:col>
      <xdr:colOff>379498</xdr:colOff>
      <xdr:row>24</xdr:row>
      <xdr:rowOff>107950</xdr:rowOff>
    </xdr:to>
    <xdr:pic>
      <xdr:nvPicPr>
        <xdr:cNvPr id="2" name="图片 1">
          <a:extLst>
            <a:ext uri="{FF2B5EF4-FFF2-40B4-BE49-F238E27FC236}">
              <a16:creationId xmlns:a16="http://schemas.microsoft.com/office/drawing/2014/main" id="{5740B688-CEF2-4122-B92E-9ECF43B2CC4A}"/>
            </a:ext>
          </a:extLst>
        </xdr:cNvPr>
        <xdr:cNvPicPr>
          <a:picLocks noChangeAspect="1"/>
        </xdr:cNvPicPr>
      </xdr:nvPicPr>
      <xdr:blipFill>
        <a:blip xmlns:r="http://schemas.openxmlformats.org/officeDocument/2006/relationships" r:embed="rId1"/>
        <a:stretch>
          <a:fillRect/>
        </a:stretch>
      </xdr:blipFill>
      <xdr:spPr>
        <a:xfrm>
          <a:off x="10725150" y="0"/>
          <a:ext cx="3539681" cy="3589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275590</xdr:colOff>
      <xdr:row>24</xdr:row>
      <xdr:rowOff>75676</xdr:rowOff>
    </xdr:to>
    <xdr:pic>
      <xdr:nvPicPr>
        <xdr:cNvPr id="2" name="图片 1">
          <a:extLst>
            <a:ext uri="{FF2B5EF4-FFF2-40B4-BE49-F238E27FC236}">
              <a16:creationId xmlns:a16="http://schemas.microsoft.com/office/drawing/2014/main" id="{0E7C9311-F25F-44BE-AE06-BFE848F499CC}"/>
            </a:ext>
          </a:extLst>
        </xdr:cNvPr>
        <xdr:cNvPicPr>
          <a:picLocks noChangeAspect="1"/>
        </xdr:cNvPicPr>
      </xdr:nvPicPr>
      <xdr:blipFill>
        <a:blip xmlns:r="http://schemas.openxmlformats.org/officeDocument/2006/relationships" r:embed="rId1"/>
        <a:stretch>
          <a:fillRect/>
        </a:stretch>
      </xdr:blipFill>
      <xdr:spPr>
        <a:xfrm>
          <a:off x="0" y="0"/>
          <a:ext cx="5076190" cy="4190476"/>
        </a:xfrm>
        <a:prstGeom prst="rect">
          <a:avLst/>
        </a:prstGeom>
      </xdr:spPr>
    </xdr:pic>
    <xdr:clientData/>
  </xdr:twoCellAnchor>
  <xdr:twoCellAnchor editAs="oneCell">
    <xdr:from>
      <xdr:col>0</xdr:col>
      <xdr:colOff>0</xdr:colOff>
      <xdr:row>23</xdr:row>
      <xdr:rowOff>152400</xdr:rowOff>
    </xdr:from>
    <xdr:to>
      <xdr:col>7</xdr:col>
      <xdr:colOff>313686</xdr:colOff>
      <xdr:row>32</xdr:row>
      <xdr:rowOff>56969</xdr:rowOff>
    </xdr:to>
    <xdr:pic>
      <xdr:nvPicPr>
        <xdr:cNvPr id="3" name="图片 2">
          <a:extLst>
            <a:ext uri="{FF2B5EF4-FFF2-40B4-BE49-F238E27FC236}">
              <a16:creationId xmlns:a16="http://schemas.microsoft.com/office/drawing/2014/main" id="{DF72DA6F-42A2-4A51-ACB4-7100065AF141}"/>
            </a:ext>
          </a:extLst>
        </xdr:cNvPr>
        <xdr:cNvPicPr>
          <a:picLocks noChangeAspect="1"/>
        </xdr:cNvPicPr>
      </xdr:nvPicPr>
      <xdr:blipFill>
        <a:blip xmlns:r="http://schemas.openxmlformats.org/officeDocument/2006/relationships" r:embed="rId2"/>
        <a:stretch>
          <a:fillRect/>
        </a:stretch>
      </xdr:blipFill>
      <xdr:spPr>
        <a:xfrm>
          <a:off x="0" y="4095750"/>
          <a:ext cx="5114286" cy="1447619"/>
        </a:xfrm>
        <a:prstGeom prst="rect">
          <a:avLst/>
        </a:prstGeom>
      </xdr:spPr>
    </xdr:pic>
    <xdr:clientData/>
  </xdr:twoCellAnchor>
  <xdr:twoCellAnchor editAs="oneCell">
    <xdr:from>
      <xdr:col>0</xdr:col>
      <xdr:colOff>0</xdr:colOff>
      <xdr:row>32</xdr:row>
      <xdr:rowOff>19050</xdr:rowOff>
    </xdr:from>
    <xdr:to>
      <xdr:col>7</xdr:col>
      <xdr:colOff>323209</xdr:colOff>
      <xdr:row>36</xdr:row>
      <xdr:rowOff>114202</xdr:rowOff>
    </xdr:to>
    <xdr:pic>
      <xdr:nvPicPr>
        <xdr:cNvPr id="4" name="图片 3">
          <a:extLst>
            <a:ext uri="{FF2B5EF4-FFF2-40B4-BE49-F238E27FC236}">
              <a16:creationId xmlns:a16="http://schemas.microsoft.com/office/drawing/2014/main" id="{EA5A1964-F0B3-4AA8-85E0-EC5C0AA57F01}"/>
            </a:ext>
          </a:extLst>
        </xdr:cNvPr>
        <xdr:cNvPicPr>
          <a:picLocks noChangeAspect="1"/>
        </xdr:cNvPicPr>
      </xdr:nvPicPr>
      <xdr:blipFill>
        <a:blip xmlns:r="http://schemas.openxmlformats.org/officeDocument/2006/relationships" r:embed="rId3"/>
        <a:stretch>
          <a:fillRect/>
        </a:stretch>
      </xdr:blipFill>
      <xdr:spPr>
        <a:xfrm>
          <a:off x="0" y="5505450"/>
          <a:ext cx="5123809" cy="780952"/>
        </a:xfrm>
        <a:prstGeom prst="rect">
          <a:avLst/>
        </a:prstGeom>
      </xdr:spPr>
    </xdr:pic>
    <xdr:clientData/>
  </xdr:twoCellAnchor>
  <xdr:twoCellAnchor editAs="oneCell">
    <xdr:from>
      <xdr:col>0</xdr:col>
      <xdr:colOff>0</xdr:colOff>
      <xdr:row>39</xdr:row>
      <xdr:rowOff>0</xdr:rowOff>
    </xdr:from>
    <xdr:to>
      <xdr:col>9</xdr:col>
      <xdr:colOff>170563</xdr:colOff>
      <xdr:row>45</xdr:row>
      <xdr:rowOff>161776</xdr:rowOff>
    </xdr:to>
    <xdr:pic>
      <xdr:nvPicPr>
        <xdr:cNvPr id="5" name="图片 4">
          <a:extLst>
            <a:ext uri="{FF2B5EF4-FFF2-40B4-BE49-F238E27FC236}">
              <a16:creationId xmlns:a16="http://schemas.microsoft.com/office/drawing/2014/main" id="{E41C6783-FA87-417C-A864-BB8003244A5E}"/>
            </a:ext>
          </a:extLst>
        </xdr:cNvPr>
        <xdr:cNvPicPr>
          <a:picLocks noChangeAspect="1"/>
        </xdr:cNvPicPr>
      </xdr:nvPicPr>
      <xdr:blipFill>
        <a:blip xmlns:r="http://schemas.openxmlformats.org/officeDocument/2006/relationships" r:embed="rId4"/>
        <a:stretch>
          <a:fillRect/>
        </a:stretch>
      </xdr:blipFill>
      <xdr:spPr>
        <a:xfrm>
          <a:off x="0" y="6686550"/>
          <a:ext cx="7095238" cy="1190476"/>
        </a:xfrm>
        <a:prstGeom prst="rect">
          <a:avLst/>
        </a:prstGeom>
      </xdr:spPr>
    </xdr:pic>
    <xdr:clientData/>
  </xdr:twoCellAnchor>
  <xdr:twoCellAnchor editAs="oneCell">
    <xdr:from>
      <xdr:col>0</xdr:col>
      <xdr:colOff>0</xdr:colOff>
      <xdr:row>46</xdr:row>
      <xdr:rowOff>0</xdr:rowOff>
    </xdr:from>
    <xdr:to>
      <xdr:col>8</xdr:col>
      <xdr:colOff>1323124</xdr:colOff>
      <xdr:row>67</xdr:row>
      <xdr:rowOff>85264</xdr:rowOff>
    </xdr:to>
    <xdr:pic>
      <xdr:nvPicPr>
        <xdr:cNvPr id="6" name="图片 5">
          <a:extLst>
            <a:ext uri="{FF2B5EF4-FFF2-40B4-BE49-F238E27FC236}">
              <a16:creationId xmlns:a16="http://schemas.microsoft.com/office/drawing/2014/main" id="{782BFFE5-84A4-4FA0-8BD7-6D7D55CD4C3B}"/>
            </a:ext>
          </a:extLst>
        </xdr:cNvPr>
        <xdr:cNvPicPr>
          <a:picLocks noChangeAspect="1"/>
        </xdr:cNvPicPr>
      </xdr:nvPicPr>
      <xdr:blipFill>
        <a:blip xmlns:r="http://schemas.openxmlformats.org/officeDocument/2006/relationships" r:embed="rId5"/>
        <a:stretch>
          <a:fillRect/>
        </a:stretch>
      </xdr:blipFill>
      <xdr:spPr>
        <a:xfrm>
          <a:off x="0" y="7886700"/>
          <a:ext cx="6809524" cy="3685714"/>
        </a:xfrm>
        <a:prstGeom prst="rect">
          <a:avLst/>
        </a:prstGeom>
      </xdr:spPr>
    </xdr:pic>
    <xdr:clientData/>
  </xdr:twoCellAnchor>
  <xdr:twoCellAnchor editAs="oneCell">
    <xdr:from>
      <xdr:col>0</xdr:col>
      <xdr:colOff>0</xdr:colOff>
      <xdr:row>68</xdr:row>
      <xdr:rowOff>0</xdr:rowOff>
    </xdr:from>
    <xdr:to>
      <xdr:col>4</xdr:col>
      <xdr:colOff>647276</xdr:colOff>
      <xdr:row>81</xdr:row>
      <xdr:rowOff>123531</xdr:rowOff>
    </xdr:to>
    <xdr:pic>
      <xdr:nvPicPr>
        <xdr:cNvPr id="7" name="图片 6">
          <a:extLst>
            <a:ext uri="{FF2B5EF4-FFF2-40B4-BE49-F238E27FC236}">
              <a16:creationId xmlns:a16="http://schemas.microsoft.com/office/drawing/2014/main" id="{8E60AC17-38DC-41B7-BDD2-D2FB75C21771}"/>
            </a:ext>
          </a:extLst>
        </xdr:cNvPr>
        <xdr:cNvPicPr>
          <a:picLocks noChangeAspect="1"/>
        </xdr:cNvPicPr>
      </xdr:nvPicPr>
      <xdr:blipFill>
        <a:blip xmlns:r="http://schemas.openxmlformats.org/officeDocument/2006/relationships" r:embed="rId6"/>
        <a:stretch>
          <a:fillRect/>
        </a:stretch>
      </xdr:blipFill>
      <xdr:spPr>
        <a:xfrm>
          <a:off x="0" y="11658600"/>
          <a:ext cx="3390476" cy="2352381"/>
        </a:xfrm>
        <a:prstGeom prst="rect">
          <a:avLst/>
        </a:prstGeom>
      </xdr:spPr>
    </xdr:pic>
    <xdr:clientData/>
  </xdr:twoCellAnchor>
  <xdr:twoCellAnchor editAs="oneCell">
    <xdr:from>
      <xdr:col>0</xdr:col>
      <xdr:colOff>0</xdr:colOff>
      <xdr:row>83</xdr:row>
      <xdr:rowOff>0</xdr:rowOff>
    </xdr:from>
    <xdr:to>
      <xdr:col>9</xdr:col>
      <xdr:colOff>380087</xdr:colOff>
      <xdr:row>105</xdr:row>
      <xdr:rowOff>47148</xdr:rowOff>
    </xdr:to>
    <xdr:pic>
      <xdr:nvPicPr>
        <xdr:cNvPr id="8" name="图片 7">
          <a:extLst>
            <a:ext uri="{FF2B5EF4-FFF2-40B4-BE49-F238E27FC236}">
              <a16:creationId xmlns:a16="http://schemas.microsoft.com/office/drawing/2014/main" id="{1F8EAAE8-BA39-4908-B772-B12BA313AA13}"/>
            </a:ext>
          </a:extLst>
        </xdr:cNvPr>
        <xdr:cNvPicPr>
          <a:picLocks noChangeAspect="1"/>
        </xdr:cNvPicPr>
      </xdr:nvPicPr>
      <xdr:blipFill>
        <a:blip xmlns:r="http://schemas.openxmlformats.org/officeDocument/2006/relationships" r:embed="rId7"/>
        <a:stretch>
          <a:fillRect/>
        </a:stretch>
      </xdr:blipFill>
      <xdr:spPr>
        <a:xfrm>
          <a:off x="0" y="14230350"/>
          <a:ext cx="7304762" cy="3819048"/>
        </a:xfrm>
        <a:prstGeom prst="rect">
          <a:avLst/>
        </a:prstGeom>
      </xdr:spPr>
    </xdr:pic>
    <xdr:clientData/>
  </xdr:twoCellAnchor>
  <xdr:twoCellAnchor editAs="oneCell">
    <xdr:from>
      <xdr:col>0</xdr:col>
      <xdr:colOff>0</xdr:colOff>
      <xdr:row>105</xdr:row>
      <xdr:rowOff>0</xdr:rowOff>
    </xdr:from>
    <xdr:to>
      <xdr:col>9</xdr:col>
      <xdr:colOff>303896</xdr:colOff>
      <xdr:row>127</xdr:row>
      <xdr:rowOff>37624</xdr:rowOff>
    </xdr:to>
    <xdr:pic>
      <xdr:nvPicPr>
        <xdr:cNvPr id="9" name="图片 8">
          <a:extLst>
            <a:ext uri="{FF2B5EF4-FFF2-40B4-BE49-F238E27FC236}">
              <a16:creationId xmlns:a16="http://schemas.microsoft.com/office/drawing/2014/main" id="{6868B940-F13B-440F-94BE-1EB7D4FC57D2}"/>
            </a:ext>
          </a:extLst>
        </xdr:cNvPr>
        <xdr:cNvPicPr>
          <a:picLocks noChangeAspect="1"/>
        </xdr:cNvPicPr>
      </xdr:nvPicPr>
      <xdr:blipFill>
        <a:blip xmlns:r="http://schemas.openxmlformats.org/officeDocument/2006/relationships" r:embed="rId8"/>
        <a:stretch>
          <a:fillRect/>
        </a:stretch>
      </xdr:blipFill>
      <xdr:spPr>
        <a:xfrm>
          <a:off x="0" y="18002250"/>
          <a:ext cx="7228571" cy="3809524"/>
        </a:xfrm>
        <a:prstGeom prst="rect">
          <a:avLst/>
        </a:prstGeom>
      </xdr:spPr>
    </xdr:pic>
    <xdr:clientData/>
  </xdr:twoCellAnchor>
  <xdr:twoCellAnchor editAs="oneCell">
    <xdr:from>
      <xdr:col>0</xdr:col>
      <xdr:colOff>0</xdr:colOff>
      <xdr:row>128</xdr:row>
      <xdr:rowOff>0</xdr:rowOff>
    </xdr:from>
    <xdr:to>
      <xdr:col>9</xdr:col>
      <xdr:colOff>246753</xdr:colOff>
      <xdr:row>135</xdr:row>
      <xdr:rowOff>76040</xdr:rowOff>
    </xdr:to>
    <xdr:pic>
      <xdr:nvPicPr>
        <xdr:cNvPr id="10" name="图片 9">
          <a:extLst>
            <a:ext uri="{FF2B5EF4-FFF2-40B4-BE49-F238E27FC236}">
              <a16:creationId xmlns:a16="http://schemas.microsoft.com/office/drawing/2014/main" id="{0695A753-A261-45EF-9E3A-7F42C7EB683A}"/>
            </a:ext>
          </a:extLst>
        </xdr:cNvPr>
        <xdr:cNvPicPr>
          <a:picLocks noChangeAspect="1"/>
        </xdr:cNvPicPr>
      </xdr:nvPicPr>
      <xdr:blipFill>
        <a:blip xmlns:r="http://schemas.openxmlformats.org/officeDocument/2006/relationships" r:embed="rId9"/>
        <a:stretch>
          <a:fillRect/>
        </a:stretch>
      </xdr:blipFill>
      <xdr:spPr>
        <a:xfrm>
          <a:off x="0" y="21945600"/>
          <a:ext cx="7171428" cy="1276190"/>
        </a:xfrm>
        <a:prstGeom prst="rect">
          <a:avLst/>
        </a:prstGeom>
      </xdr:spPr>
    </xdr:pic>
    <xdr:clientData/>
  </xdr:twoCellAnchor>
  <xdr:twoCellAnchor editAs="oneCell">
    <xdr:from>
      <xdr:col>0</xdr:col>
      <xdr:colOff>0</xdr:colOff>
      <xdr:row>136</xdr:row>
      <xdr:rowOff>0</xdr:rowOff>
    </xdr:from>
    <xdr:to>
      <xdr:col>9</xdr:col>
      <xdr:colOff>265801</xdr:colOff>
      <xdr:row>164</xdr:row>
      <xdr:rowOff>142257</xdr:rowOff>
    </xdr:to>
    <xdr:pic>
      <xdr:nvPicPr>
        <xdr:cNvPr id="11" name="图片 10">
          <a:extLst>
            <a:ext uri="{FF2B5EF4-FFF2-40B4-BE49-F238E27FC236}">
              <a16:creationId xmlns:a16="http://schemas.microsoft.com/office/drawing/2014/main" id="{1755DF6E-6301-48FC-B5D5-A9AD67B114A9}"/>
            </a:ext>
          </a:extLst>
        </xdr:cNvPr>
        <xdr:cNvPicPr>
          <a:picLocks noChangeAspect="1"/>
        </xdr:cNvPicPr>
      </xdr:nvPicPr>
      <xdr:blipFill>
        <a:blip xmlns:r="http://schemas.openxmlformats.org/officeDocument/2006/relationships" r:embed="rId10"/>
        <a:stretch>
          <a:fillRect/>
        </a:stretch>
      </xdr:blipFill>
      <xdr:spPr>
        <a:xfrm>
          <a:off x="0" y="23317200"/>
          <a:ext cx="7190476" cy="4942857"/>
        </a:xfrm>
        <a:prstGeom prst="rect">
          <a:avLst/>
        </a:prstGeom>
      </xdr:spPr>
    </xdr:pic>
    <xdr:clientData/>
  </xdr:twoCellAnchor>
  <xdr:twoCellAnchor editAs="oneCell">
    <xdr:from>
      <xdr:col>0</xdr:col>
      <xdr:colOff>0</xdr:colOff>
      <xdr:row>165</xdr:row>
      <xdr:rowOff>85725</xdr:rowOff>
    </xdr:from>
    <xdr:to>
      <xdr:col>9</xdr:col>
      <xdr:colOff>361039</xdr:colOff>
      <xdr:row>179</xdr:row>
      <xdr:rowOff>152092</xdr:rowOff>
    </xdr:to>
    <xdr:pic>
      <xdr:nvPicPr>
        <xdr:cNvPr id="12" name="图片 11">
          <a:extLst>
            <a:ext uri="{FF2B5EF4-FFF2-40B4-BE49-F238E27FC236}">
              <a16:creationId xmlns:a16="http://schemas.microsoft.com/office/drawing/2014/main" id="{02849B86-3685-4FD3-97EE-3B00612E5114}"/>
            </a:ext>
          </a:extLst>
        </xdr:cNvPr>
        <xdr:cNvPicPr>
          <a:picLocks noChangeAspect="1"/>
        </xdr:cNvPicPr>
      </xdr:nvPicPr>
      <xdr:blipFill>
        <a:blip xmlns:r="http://schemas.openxmlformats.org/officeDocument/2006/relationships" r:embed="rId11"/>
        <a:stretch>
          <a:fillRect/>
        </a:stretch>
      </xdr:blipFill>
      <xdr:spPr>
        <a:xfrm>
          <a:off x="0" y="28374975"/>
          <a:ext cx="7285714" cy="2466667"/>
        </a:xfrm>
        <a:prstGeom prst="rect">
          <a:avLst/>
        </a:prstGeom>
      </xdr:spPr>
    </xdr:pic>
    <xdr:clientData/>
  </xdr:twoCellAnchor>
  <xdr:twoCellAnchor editAs="oneCell">
    <xdr:from>
      <xdr:col>10</xdr:col>
      <xdr:colOff>0</xdr:colOff>
      <xdr:row>126</xdr:row>
      <xdr:rowOff>0</xdr:rowOff>
    </xdr:from>
    <xdr:to>
      <xdr:col>19</xdr:col>
      <xdr:colOff>227800</xdr:colOff>
      <xdr:row>150</xdr:row>
      <xdr:rowOff>113771</xdr:rowOff>
    </xdr:to>
    <xdr:pic>
      <xdr:nvPicPr>
        <xdr:cNvPr id="13" name="图片 12">
          <a:extLst>
            <a:ext uri="{FF2B5EF4-FFF2-40B4-BE49-F238E27FC236}">
              <a16:creationId xmlns:a16="http://schemas.microsoft.com/office/drawing/2014/main" id="{7D49909F-EDC1-455D-A457-DF6D13CC30E5}"/>
            </a:ext>
          </a:extLst>
        </xdr:cNvPr>
        <xdr:cNvPicPr>
          <a:picLocks noChangeAspect="1"/>
        </xdr:cNvPicPr>
      </xdr:nvPicPr>
      <xdr:blipFill>
        <a:blip xmlns:r="http://schemas.openxmlformats.org/officeDocument/2006/relationships" r:embed="rId12"/>
        <a:stretch>
          <a:fillRect/>
        </a:stretch>
      </xdr:blipFill>
      <xdr:spPr>
        <a:xfrm>
          <a:off x="7610475" y="21602700"/>
          <a:ext cx="6400000" cy="4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581024</xdr:colOff>
      <xdr:row>8</xdr:row>
      <xdr:rowOff>142863</xdr:rowOff>
    </xdr:to>
    <xdr:pic>
      <xdr:nvPicPr>
        <xdr:cNvPr id="19" name="图片 18">
          <a:extLst>
            <a:ext uri="{FF2B5EF4-FFF2-40B4-BE49-F238E27FC236}">
              <a16:creationId xmlns:a16="http://schemas.microsoft.com/office/drawing/2014/main" id="{2BE8B8F2-2A82-4EFA-9128-CDD632A97447}"/>
            </a:ext>
          </a:extLst>
        </xdr:cNvPr>
        <xdr:cNvPicPr>
          <a:picLocks noChangeAspect="1"/>
        </xdr:cNvPicPr>
      </xdr:nvPicPr>
      <xdr:blipFill>
        <a:blip xmlns:r="http://schemas.openxmlformats.org/officeDocument/2006/relationships" r:embed="rId1"/>
        <a:stretch>
          <a:fillRect/>
        </a:stretch>
      </xdr:blipFill>
      <xdr:spPr>
        <a:xfrm>
          <a:off x="0" y="0"/>
          <a:ext cx="9496424" cy="1514463"/>
        </a:xfrm>
        <a:prstGeom prst="rect">
          <a:avLst/>
        </a:prstGeom>
      </xdr:spPr>
    </xdr:pic>
    <xdr:clientData/>
  </xdr:twoCellAnchor>
  <xdr:twoCellAnchor editAs="oneCell">
    <xdr:from>
      <xdr:col>0</xdr:col>
      <xdr:colOff>0</xdr:colOff>
      <xdr:row>9</xdr:row>
      <xdr:rowOff>53067</xdr:rowOff>
    </xdr:from>
    <xdr:to>
      <xdr:col>14</xdr:col>
      <xdr:colOff>8324</xdr:colOff>
      <xdr:row>18</xdr:row>
      <xdr:rowOff>134508</xdr:rowOff>
    </xdr:to>
    <xdr:pic>
      <xdr:nvPicPr>
        <xdr:cNvPr id="20" name="图片 19">
          <a:extLst>
            <a:ext uri="{FF2B5EF4-FFF2-40B4-BE49-F238E27FC236}">
              <a16:creationId xmlns:a16="http://schemas.microsoft.com/office/drawing/2014/main" id="{E5588919-41CD-4A67-94C2-A6D944A68B98}"/>
            </a:ext>
          </a:extLst>
        </xdr:cNvPr>
        <xdr:cNvPicPr>
          <a:picLocks noChangeAspect="1"/>
        </xdr:cNvPicPr>
      </xdr:nvPicPr>
      <xdr:blipFill>
        <a:blip xmlns:r="http://schemas.openxmlformats.org/officeDocument/2006/relationships" r:embed="rId2"/>
        <a:stretch>
          <a:fillRect/>
        </a:stretch>
      </xdr:blipFill>
      <xdr:spPr>
        <a:xfrm>
          <a:off x="0" y="1645103"/>
          <a:ext cx="9533324" cy="1673476"/>
        </a:xfrm>
        <a:prstGeom prst="rect">
          <a:avLst/>
        </a:prstGeom>
      </xdr:spPr>
    </xdr:pic>
    <xdr:clientData/>
  </xdr:twoCellAnchor>
  <xdr:twoCellAnchor editAs="oneCell">
    <xdr:from>
      <xdr:col>0</xdr:col>
      <xdr:colOff>0</xdr:colOff>
      <xdr:row>19</xdr:row>
      <xdr:rowOff>0</xdr:rowOff>
    </xdr:from>
    <xdr:to>
      <xdr:col>14</xdr:col>
      <xdr:colOff>8324</xdr:colOff>
      <xdr:row>27</xdr:row>
      <xdr:rowOff>171257</xdr:rowOff>
    </xdr:to>
    <xdr:pic>
      <xdr:nvPicPr>
        <xdr:cNvPr id="21" name="图片 20">
          <a:extLst>
            <a:ext uri="{FF2B5EF4-FFF2-40B4-BE49-F238E27FC236}">
              <a16:creationId xmlns:a16="http://schemas.microsoft.com/office/drawing/2014/main" id="{9E72F380-767B-4DEE-B4E4-7E66E0714EF4}"/>
            </a:ext>
          </a:extLst>
        </xdr:cNvPr>
        <xdr:cNvPicPr>
          <a:picLocks noChangeAspect="1"/>
        </xdr:cNvPicPr>
      </xdr:nvPicPr>
      <xdr:blipFill>
        <a:blip xmlns:r="http://schemas.openxmlformats.org/officeDocument/2006/relationships" r:embed="rId3"/>
        <a:stretch>
          <a:fillRect/>
        </a:stretch>
      </xdr:blipFill>
      <xdr:spPr>
        <a:xfrm>
          <a:off x="0" y="3257550"/>
          <a:ext cx="9609524" cy="1542857"/>
        </a:xfrm>
        <a:prstGeom prst="rect">
          <a:avLst/>
        </a:prstGeom>
      </xdr:spPr>
    </xdr:pic>
    <xdr:clientData/>
  </xdr:twoCellAnchor>
  <xdr:twoCellAnchor editAs="oneCell">
    <xdr:from>
      <xdr:col>0</xdr:col>
      <xdr:colOff>0</xdr:colOff>
      <xdr:row>28</xdr:row>
      <xdr:rowOff>0</xdr:rowOff>
    </xdr:from>
    <xdr:to>
      <xdr:col>14</xdr:col>
      <xdr:colOff>65467</xdr:colOff>
      <xdr:row>36</xdr:row>
      <xdr:rowOff>161733</xdr:rowOff>
    </xdr:to>
    <xdr:pic>
      <xdr:nvPicPr>
        <xdr:cNvPr id="22" name="图片 21">
          <a:extLst>
            <a:ext uri="{FF2B5EF4-FFF2-40B4-BE49-F238E27FC236}">
              <a16:creationId xmlns:a16="http://schemas.microsoft.com/office/drawing/2014/main" id="{7FDE46FA-BE4B-4BA5-AAC1-658008F9F7CE}"/>
            </a:ext>
          </a:extLst>
        </xdr:cNvPr>
        <xdr:cNvPicPr>
          <a:picLocks noChangeAspect="1"/>
        </xdr:cNvPicPr>
      </xdr:nvPicPr>
      <xdr:blipFill>
        <a:blip xmlns:r="http://schemas.openxmlformats.org/officeDocument/2006/relationships" r:embed="rId4"/>
        <a:stretch>
          <a:fillRect/>
        </a:stretch>
      </xdr:blipFill>
      <xdr:spPr>
        <a:xfrm>
          <a:off x="0" y="4800600"/>
          <a:ext cx="9666667" cy="1533333"/>
        </a:xfrm>
        <a:prstGeom prst="rect">
          <a:avLst/>
        </a:prstGeom>
      </xdr:spPr>
    </xdr:pic>
    <xdr:clientData/>
  </xdr:twoCellAnchor>
  <xdr:twoCellAnchor editAs="oneCell">
    <xdr:from>
      <xdr:col>0</xdr:col>
      <xdr:colOff>0</xdr:colOff>
      <xdr:row>37</xdr:row>
      <xdr:rowOff>0</xdr:rowOff>
    </xdr:from>
    <xdr:to>
      <xdr:col>14</xdr:col>
      <xdr:colOff>8324</xdr:colOff>
      <xdr:row>65</xdr:row>
      <xdr:rowOff>47019</xdr:rowOff>
    </xdr:to>
    <xdr:pic>
      <xdr:nvPicPr>
        <xdr:cNvPr id="23" name="图片 22">
          <a:extLst>
            <a:ext uri="{FF2B5EF4-FFF2-40B4-BE49-F238E27FC236}">
              <a16:creationId xmlns:a16="http://schemas.microsoft.com/office/drawing/2014/main" id="{2A09E554-E42C-47E7-959E-DD50E1278940}"/>
            </a:ext>
          </a:extLst>
        </xdr:cNvPr>
        <xdr:cNvPicPr>
          <a:picLocks noChangeAspect="1"/>
        </xdr:cNvPicPr>
      </xdr:nvPicPr>
      <xdr:blipFill>
        <a:blip xmlns:r="http://schemas.openxmlformats.org/officeDocument/2006/relationships" r:embed="rId5"/>
        <a:stretch>
          <a:fillRect/>
        </a:stretch>
      </xdr:blipFill>
      <xdr:spPr>
        <a:xfrm>
          <a:off x="0" y="6343650"/>
          <a:ext cx="9609524" cy="4847619"/>
        </a:xfrm>
        <a:prstGeom prst="rect">
          <a:avLst/>
        </a:prstGeom>
      </xdr:spPr>
    </xdr:pic>
    <xdr:clientData/>
  </xdr:twoCellAnchor>
  <xdr:twoCellAnchor editAs="oneCell">
    <xdr:from>
      <xdr:col>0</xdr:col>
      <xdr:colOff>0</xdr:colOff>
      <xdr:row>66</xdr:row>
      <xdr:rowOff>0</xdr:rowOff>
    </xdr:from>
    <xdr:to>
      <xdr:col>14</xdr:col>
      <xdr:colOff>17848</xdr:colOff>
      <xdr:row>75</xdr:row>
      <xdr:rowOff>104569</xdr:rowOff>
    </xdr:to>
    <xdr:pic>
      <xdr:nvPicPr>
        <xdr:cNvPr id="24" name="图片 23">
          <a:extLst>
            <a:ext uri="{FF2B5EF4-FFF2-40B4-BE49-F238E27FC236}">
              <a16:creationId xmlns:a16="http://schemas.microsoft.com/office/drawing/2014/main" id="{9C4DA21C-C617-4215-AA34-E80E43471F08}"/>
            </a:ext>
          </a:extLst>
        </xdr:cNvPr>
        <xdr:cNvPicPr>
          <a:picLocks noChangeAspect="1"/>
        </xdr:cNvPicPr>
      </xdr:nvPicPr>
      <xdr:blipFill>
        <a:blip xmlns:r="http://schemas.openxmlformats.org/officeDocument/2006/relationships" r:embed="rId6"/>
        <a:stretch>
          <a:fillRect/>
        </a:stretch>
      </xdr:blipFill>
      <xdr:spPr>
        <a:xfrm>
          <a:off x="0" y="11315700"/>
          <a:ext cx="9619048" cy="1647619"/>
        </a:xfrm>
        <a:prstGeom prst="rect">
          <a:avLst/>
        </a:prstGeom>
      </xdr:spPr>
    </xdr:pic>
    <xdr:clientData/>
  </xdr:twoCellAnchor>
  <xdr:twoCellAnchor editAs="oneCell">
    <xdr:from>
      <xdr:col>0</xdr:col>
      <xdr:colOff>0</xdr:colOff>
      <xdr:row>76</xdr:row>
      <xdr:rowOff>0</xdr:rowOff>
    </xdr:from>
    <xdr:to>
      <xdr:col>13</xdr:col>
      <xdr:colOff>675076</xdr:colOff>
      <xdr:row>85</xdr:row>
      <xdr:rowOff>152188</xdr:rowOff>
    </xdr:to>
    <xdr:pic>
      <xdr:nvPicPr>
        <xdr:cNvPr id="25" name="图片 24">
          <a:extLst>
            <a:ext uri="{FF2B5EF4-FFF2-40B4-BE49-F238E27FC236}">
              <a16:creationId xmlns:a16="http://schemas.microsoft.com/office/drawing/2014/main" id="{0192AFEB-D298-4A5C-B4F2-493EFF57F094}"/>
            </a:ext>
          </a:extLst>
        </xdr:cNvPr>
        <xdr:cNvPicPr>
          <a:picLocks noChangeAspect="1"/>
        </xdr:cNvPicPr>
      </xdr:nvPicPr>
      <xdr:blipFill>
        <a:blip xmlns:r="http://schemas.openxmlformats.org/officeDocument/2006/relationships" r:embed="rId7"/>
        <a:stretch>
          <a:fillRect/>
        </a:stretch>
      </xdr:blipFill>
      <xdr:spPr>
        <a:xfrm>
          <a:off x="0" y="13030200"/>
          <a:ext cx="9590476" cy="1695238"/>
        </a:xfrm>
        <a:prstGeom prst="rect">
          <a:avLst/>
        </a:prstGeom>
      </xdr:spPr>
    </xdr:pic>
    <xdr:clientData/>
  </xdr:twoCellAnchor>
  <xdr:twoCellAnchor editAs="oneCell">
    <xdr:from>
      <xdr:col>14</xdr:col>
      <xdr:colOff>136071</xdr:colOff>
      <xdr:row>0</xdr:row>
      <xdr:rowOff>95251</xdr:rowOff>
    </xdr:from>
    <xdr:to>
      <xdr:col>24</xdr:col>
      <xdr:colOff>389643</xdr:colOff>
      <xdr:row>23</xdr:row>
      <xdr:rowOff>64810</xdr:rowOff>
    </xdr:to>
    <xdr:pic>
      <xdr:nvPicPr>
        <xdr:cNvPr id="26" name="图片 25">
          <a:extLst>
            <a:ext uri="{FF2B5EF4-FFF2-40B4-BE49-F238E27FC236}">
              <a16:creationId xmlns:a16="http://schemas.microsoft.com/office/drawing/2014/main" id="{D7EFE573-0C81-4B40-B1D4-6DCAA6C59505}"/>
            </a:ext>
          </a:extLst>
        </xdr:cNvPr>
        <xdr:cNvPicPr>
          <a:picLocks noChangeAspect="1"/>
        </xdr:cNvPicPr>
      </xdr:nvPicPr>
      <xdr:blipFill>
        <a:blip xmlns:r="http://schemas.openxmlformats.org/officeDocument/2006/relationships" r:embed="rId8"/>
        <a:stretch>
          <a:fillRect/>
        </a:stretch>
      </xdr:blipFill>
      <xdr:spPr>
        <a:xfrm>
          <a:off x="9661071" y="95251"/>
          <a:ext cx="7057143" cy="4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9034;&#20041;&#21327;&#35758;&#20986;&#35753;&#31185;&#307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7979;&#31639;-&#28165;&#27827;&#22025;&#22253;-&#22303;&#22320;&#21033;&#29992;&#20013;&#2451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z/Desktop/2021-1-0509&#22303;&#21033;-&#22823;&#21271;&#20892;&#29983;&#29289;&#20892;&#19994;&#21019;&#26032;&#22253;/F02-10.11&#21435;&#25481;&#27604;&#36739;&#27861;/&#27979;&#31639;-&#22823;&#21271;&#20892;&#29983;&#29289;-1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ocuments/WeChat%20Files/wxid_ss5hjordqjde22/FileStorage/File/2023-05/&#20154;&#23551;&#28385;&#24180;&#26399;--&#34917;&#32564;&#20026;&#29087;&#22320;&#2021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面积表"/>
      <sheetName val="结果表"/>
      <sheetName val="基准地价住宅"/>
      <sheetName val="结果汇总表"/>
      <sheetName val="土储要求测算表"/>
      <sheetName val="剩余法-待开发"/>
      <sheetName val="基准地价商业"/>
      <sheetName val="基准地价公服"/>
      <sheetName val="剩余法住宅(待)"/>
      <sheetName val="不动产比较法-住宅"/>
      <sheetName val="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Sheet1"/>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v>
          </cell>
        </row>
        <row r="21">
          <cell r="C21" t="str">
            <v>公服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refreshError="1"/>
      <sheetData sheetId="26" refreshError="1"/>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专业物业管理</v>
          </cell>
        </row>
        <row r="117">
          <cell r="B117" t="str">
            <v>市政基础设施</v>
          </cell>
        </row>
        <row r="119">
          <cell r="B119" t="str">
            <v>层高</v>
          </cell>
          <cell r="C119" t="str">
            <v>标准层高</v>
          </cell>
        </row>
        <row r="123">
          <cell r="B123" t="str">
            <v>内部装修</v>
          </cell>
          <cell r="C123" t="str">
            <v>简单装修</v>
          </cell>
          <cell r="D123" t="str">
            <v>毛坯</v>
          </cell>
        </row>
      </sheetData>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cell r="D1" t="str">
            <v>判定</v>
          </cell>
        </row>
        <row r="2">
          <cell r="D2" t="str">
            <v>是</v>
          </cell>
        </row>
        <row r="3">
          <cell r="D3" t="str">
            <v>否</v>
          </cell>
        </row>
        <row r="4">
          <cell r="D4" t="str">
            <v>——</v>
          </cell>
        </row>
      </sheetData>
      <sheetData sheetId="9" refreshError="1"/>
      <sheetData sheetId="10">
        <row r="3">
          <cell r="G3">
            <v>619.73999999999978</v>
          </cell>
        </row>
      </sheetData>
      <sheetData sheetId="11" refreshError="1"/>
      <sheetData sheetId="12" refreshError="1"/>
      <sheetData sheetId="13">
        <row r="17">
          <cell r="C17" t="str">
            <v>项目类型</v>
          </cell>
        </row>
      </sheetData>
      <sheetData sheetId="14">
        <row r="53">
          <cell r="A53" t="str">
            <v>城镇土地纳税等级分级范围</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row>
      </sheetData>
      <sheetData sheetId="28" refreshError="1"/>
      <sheetData sheetId="29" refreshError="1"/>
      <sheetData sheetId="30">
        <row r="72">
          <cell r="B72" t="str">
            <v>用途</v>
          </cell>
        </row>
      </sheetData>
      <sheetData sheetId="31">
        <row r="29">
          <cell r="C29">
            <v>14447</v>
          </cell>
        </row>
      </sheetData>
      <sheetData sheetId="32">
        <row r="3">
          <cell r="B3">
            <v>19835</v>
          </cell>
        </row>
      </sheetData>
      <sheetData sheetId="33">
        <row r="61">
          <cell r="A61" t="str">
            <v>交易情况</v>
          </cell>
        </row>
      </sheetData>
      <sheetData sheetId="34" refreshError="1"/>
      <sheetData sheetId="35">
        <row r="3">
          <cell r="B3">
            <v>18943</v>
          </cell>
        </row>
      </sheetData>
      <sheetData sheetId="36" refreshError="1"/>
      <sheetData sheetId="37" refreshError="1"/>
      <sheetData sheetId="38">
        <row r="6">
          <cell r="A6" t="str">
            <v>通路</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row>
      </sheetData>
      <sheetData sheetId="59">
        <row r="51">
          <cell r="A51" t="str">
            <v>交易情况</v>
          </cell>
        </row>
      </sheetData>
      <sheetData sheetId="60">
        <row r="49">
          <cell r="A49" t="str">
            <v>交易情况</v>
          </cell>
        </row>
      </sheetData>
      <sheetData sheetId="61">
        <row r="5">
          <cell r="B5" t="str">
            <v>修正项2</v>
          </cell>
        </row>
      </sheetData>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土地案例"/>
      <sheetName val="修正"/>
      <sheetName val="区片价"/>
      <sheetName val="容积率修正"/>
      <sheetName val="因素修正幅度"/>
      <sheetName val="结果表 (办公)"/>
      <sheetName val="基准地价 (办公)"/>
      <sheetName val="剩余法-待开发 (研发)"/>
      <sheetName val="不动产收益法-满年限"/>
      <sheetName val="不动产比较法-研发租金"/>
      <sheetName val="比较法-地下研发"/>
      <sheetName val="不动产比较法-办公"/>
      <sheetName val="基准地价 地下办公-剩余年限"/>
      <sheetName val="剩余法-待开发办公剩余年限"/>
      <sheetName val="比较法-办公剩余年限"/>
      <sheetName val="办公-案例"/>
      <sheetName val="比较法-地下车库"/>
      <sheetName val="地价"/>
      <sheetName val="基准地价（汇总）"/>
      <sheetName val="收益还原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招拍挂"/>
      <sheetName val="Sheet1"/>
      <sheetName val="结果汇总表"/>
      <sheetName val="基准地价出结果用"/>
      <sheetName val="基准地价级别低限"/>
      <sheetName val="系统读取表"/>
      <sheetName val="结果表"/>
      <sheetName val="剩余法-待开发"/>
      <sheetName val="剩余法-现房"/>
      <sheetName val="比较法-住宅、综合"/>
      <sheetName val="比较法-工业"/>
      <sheetName val="不动产收益法--办公"/>
      <sheetName val="不动产收益法--车库"/>
      <sheetName val="不动产比较法-办公"/>
      <sheetName val="Sheet2"/>
      <sheetName val="基准地价"/>
      <sheetName val="修正"/>
      <sheetName val="区片价"/>
      <sheetName val="容积率修正"/>
      <sheetName val="因素修正幅度"/>
      <sheetName val="地价"/>
      <sheetName val="2018年"/>
      <sheetName val="2019年"/>
      <sheetName val="2020年"/>
      <sheetName val="基准地价（汇总）"/>
      <sheetName val="收益还原法"/>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0">
          <cell r="C40"/>
          <cell r="F40"/>
        </row>
        <row r="42">
          <cell r="C42"/>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2023年5月30日（评估专业人员勘察现场之日）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根据《国有土地使用证》[]，估价对象（分摊）出让国有建设用地使用权面积为12128平方米。根据《建设工程规划许可证》[]、《出让合同》[]，估价对象规划建筑面积为29082.55平方米。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估价期日：2023年5月30日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12128</v>
      </c>
    </row>
    <row r="44" spans="1:2">
      <c r="A44" s="2068" t="s">
        <v>1931</v>
      </c>
      <c r="B44" s="2069" t="str">
        <f>'预评函-2'!O3</f>
        <v>规划建筑面积/㎡</v>
      </c>
    </row>
    <row r="45" spans="1:2">
      <c r="A45" s="2068" t="s">
        <v>1913</v>
      </c>
      <c r="B45" s="2069">
        <f>'预评函-2'!O5</f>
        <v>29082.55</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9" customWidth="1"/>
    <col min="2" max="2" width="10.75" style="1299" customWidth="1"/>
    <col min="3" max="4" width="11.625" style="1299" customWidth="1"/>
    <col min="5" max="5" width="6.625" style="1299" customWidth="1"/>
    <col min="6" max="16384" width="9" style="1299"/>
  </cols>
  <sheetData>
    <row r="36" spans="1:9">
      <c r="A36" s="1298" t="s">
        <v>1344</v>
      </c>
      <c r="B36" s="1298" t="s">
        <v>1345</v>
      </c>
    </row>
    <row r="37" spans="1:9" ht="28.5" customHeight="1">
      <c r="A37" s="1298"/>
      <c r="B37" s="3956" t="str">
        <f>项目基本情况!B1</f>
        <v>北京市出让国有建设用地使用权市场价格预评估</v>
      </c>
      <c r="C37" s="3956"/>
      <c r="D37" s="3956"/>
      <c r="E37" s="3956"/>
      <c r="F37" s="3956"/>
      <c r="G37" s="3956"/>
      <c r="H37" s="3956"/>
      <c r="I37" s="3956"/>
    </row>
    <row r="38" spans="1:9">
      <c r="A38" s="1300"/>
      <c r="B38" s="1300"/>
    </row>
    <row r="39" spans="1:9">
      <c r="A39" s="1298" t="s">
        <v>1344</v>
      </c>
      <c r="B39" s="1298" t="s">
        <v>1483</v>
      </c>
    </row>
    <row r="40" spans="1:9">
      <c r="A40" s="1298"/>
      <c r="B40" s="1298">
        <f>项目基本情况!B5</f>
        <v>0</v>
      </c>
    </row>
    <row r="41" spans="1:9">
      <c r="A41" s="1298"/>
      <c r="B41" s="1298"/>
    </row>
    <row r="42" spans="1:9">
      <c r="A42" s="1298" t="s">
        <v>1344</v>
      </c>
      <c r="B42" s="1298" t="s">
        <v>1484</v>
      </c>
    </row>
    <row r="43" spans="1:9">
      <c r="A43" s="1298"/>
      <c r="B43" s="1298" t="s">
        <v>1346</v>
      </c>
    </row>
    <row r="44" spans="1:9">
      <c r="A44" s="1298"/>
      <c r="B44" s="1298"/>
    </row>
    <row r="45" spans="1:9">
      <c r="A45" s="1298" t="s">
        <v>1344</v>
      </c>
      <c r="B45" s="1298" t="s">
        <v>1482</v>
      </c>
    </row>
    <row r="46" spans="1:9" s="1298" customFormat="1" ht="12.75">
      <c r="B46" s="1298" t="str">
        <f>项目基本情况!K4</f>
        <v>土地估价师、土地估价师</v>
      </c>
    </row>
    <row r="47" spans="1:9">
      <c r="A47" s="1298"/>
      <c r="B47" s="1298"/>
    </row>
    <row r="48" spans="1:9">
      <c r="A48" s="1298" t="s">
        <v>1344</v>
      </c>
      <c r="B48" s="1298" t="s">
        <v>1485</v>
      </c>
    </row>
    <row r="49" spans="2:2">
      <c r="B49" s="129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56.25">
      <c r="A7" s="1422" t="s">
        <v>1938</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2112</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18.75">
      <c r="A21" s="1418" t="s">
        <v>1511</v>
      </c>
    </row>
    <row r="22" spans="1:1" ht="112.5">
      <c r="A22" s="141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23" spans="1:1" ht="18.75">
      <c r="A23" s="1418" t="str">
        <f>IF(项目基本情况!A17="出让","本次评估设定估价对象剩余土地使用年限为"&amp;项目基本情况!D20&amp;"。","")</f>
        <v>本次评估设定估价对象剩余土地使用年限为。</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18.75">
      <c r="A26" s="1418" t="str">
        <f>IF(项目基本情况!B9="市场价格","——",IF(项目基本情况!E8="抵押价格",定义!C54,IF(项目基本情况!E8="已注销",定义!C55,定义!C56)))</f>
        <v>——</v>
      </c>
    </row>
    <row r="27" spans="1:1" ht="18.75">
      <c r="A27" s="14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8" t="str">
        <f>IF(项目基本情况!B9="市场价格","——",IF(项目基本情况!E9="——","",定义!C57))</f>
        <v>——</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93.75">
      <c r="A7" s="2064" t="s">
        <v>1939</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1508</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8" t="s">
        <v>1511</v>
      </c>
    </row>
    <row r="23" spans="1:1" ht="18.75">
      <c r="A23" s="2066" t="s">
        <v>1940</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93.75">
      <c r="A26" s="14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57" t="s">
        <v>1475</v>
      </c>
      <c r="B1" s="3957"/>
      <c r="C1" s="3957"/>
      <c r="D1" s="3957"/>
      <c r="E1" s="3957"/>
      <c r="F1" s="3957"/>
      <c r="G1" s="3957"/>
      <c r="H1" s="3957"/>
      <c r="I1" s="3957"/>
      <c r="J1" s="3957"/>
      <c r="K1" s="3957"/>
      <c r="L1" s="3957"/>
      <c r="M1" s="3957"/>
      <c r="N1" s="3957"/>
      <c r="O1" s="3957"/>
      <c r="P1" s="3957"/>
      <c r="Q1" s="3957"/>
      <c r="R1" s="3957"/>
    </row>
    <row r="2" spans="1:18">
      <c r="A2" s="1434" t="s">
        <v>1477</v>
      </c>
      <c r="B2" s="1434"/>
      <c r="C2" s="1434"/>
      <c r="D2" s="1434"/>
      <c r="E2" s="1434"/>
      <c r="F2" s="1434"/>
      <c r="G2" s="1434"/>
      <c r="H2" s="1434"/>
      <c r="I2" s="1435"/>
      <c r="J2" s="1435"/>
      <c r="K2" s="1436" t="str">
        <f>"估价期日："&amp;TEXT(项目基本情况!D3,"yyyy年m月d日;;")</f>
        <v>估价期日：2023年5月30日</v>
      </c>
      <c r="L2" s="1434"/>
      <c r="M2" s="1434"/>
      <c r="N2" s="1434"/>
      <c r="O2" s="1434"/>
      <c r="P2" s="1434"/>
      <c r="Q2" s="1434"/>
      <c r="R2" s="1436" t="str">
        <f>"估价期日的国有建设用地使用权性质："&amp;项目基本情况!A17</f>
        <v>估价期日的国有建设用地使用权性质：出让</v>
      </c>
    </row>
    <row r="3" spans="1:18" ht="23.25" customHeight="1">
      <c r="A3" s="3958" t="s">
        <v>1466</v>
      </c>
      <c r="B3" s="3958" t="s">
        <v>1922</v>
      </c>
      <c r="C3" s="3959" t="s">
        <v>1467</v>
      </c>
      <c r="D3" s="3958" t="s">
        <v>1926</v>
      </c>
      <c r="E3" s="3961" t="s">
        <v>1468</v>
      </c>
      <c r="F3" s="3961"/>
      <c r="G3" s="3961"/>
      <c r="H3" s="3961" t="s">
        <v>1469</v>
      </c>
      <c r="I3" s="3961"/>
      <c r="J3" s="3961"/>
      <c r="K3" s="3959" t="s">
        <v>1470</v>
      </c>
      <c r="L3" s="3959" t="s">
        <v>1471</v>
      </c>
      <c r="M3" s="3958" t="s">
        <v>1923</v>
      </c>
      <c r="N3" s="3960" t="str">
        <f>"（分摊）"&amp;项目基本情况!A17&amp;"国有建设用地使用权面积/㎡"</f>
        <v>（分摊）出让国有建设用地使用权面积/㎡</v>
      </c>
      <c r="O3" s="3958" t="s">
        <v>1500</v>
      </c>
      <c r="P3" s="3959" t="s">
        <v>1480</v>
      </c>
      <c r="Q3" s="3959" t="s">
        <v>1501</v>
      </c>
      <c r="R3" s="3959" t="s">
        <v>1472</v>
      </c>
    </row>
    <row r="4" spans="1:18" ht="36.75" customHeight="1">
      <c r="A4" s="3958"/>
      <c r="B4" s="3958"/>
      <c r="C4" s="3959"/>
      <c r="D4" s="3958"/>
      <c r="E4" s="2014" t="s">
        <v>1479</v>
      </c>
      <c r="F4" s="2014" t="s">
        <v>1935</v>
      </c>
      <c r="G4" s="2014" t="s">
        <v>1473</v>
      </c>
      <c r="H4" s="2014" t="s">
        <v>1474</v>
      </c>
      <c r="I4" s="2014" t="s">
        <v>1936</v>
      </c>
      <c r="J4" s="2014" t="s">
        <v>1473</v>
      </c>
      <c r="K4" s="3959"/>
      <c r="L4" s="3959"/>
      <c r="M4" s="3958"/>
      <c r="N4" s="3960"/>
      <c r="O4" s="3958"/>
      <c r="P4" s="3959"/>
      <c r="Q4" s="3959"/>
      <c r="R4" s="3959"/>
    </row>
    <row r="5" spans="1:18" ht="135" customHeight="1">
      <c r="A5" s="1527" t="s">
        <v>1846</v>
      </c>
      <c r="B5" s="2058" t="s">
        <v>1844</v>
      </c>
      <c r="C5" s="2013">
        <v>22</v>
      </c>
      <c r="D5" s="2012" t="s">
        <v>1845</v>
      </c>
      <c r="E5" s="1437">
        <f>项目基本情况!B12</f>
        <v>0</v>
      </c>
      <c r="F5" s="2012">
        <v>258</v>
      </c>
      <c r="G5" s="1437">
        <f>项目基本情况!B13</f>
        <v>0</v>
      </c>
      <c r="H5" s="2012">
        <v>1.5</v>
      </c>
      <c r="I5" s="2012">
        <v>1.5</v>
      </c>
      <c r="J5" s="2012">
        <v>1.5</v>
      </c>
      <c r="K5" s="1437" t="str">
        <f>"红线外"&amp;项目基本情况!T40&amp;"、宗地红线内"&amp;项目基本情况!B35</f>
        <v>红线外七通、宗地红线内场地平整</v>
      </c>
      <c r="L5" s="1437" t="str">
        <f>"红线外"&amp;项目基本情况!T40&amp;"、宗地红线内场地"&amp;项目基本情况!D36</f>
        <v>红线外七通、宗地红线内场地平整</v>
      </c>
      <c r="M5" s="1437">
        <f>IF(项目基本情况!A17="出让",项目基本情况!D20,"——")</f>
        <v>0</v>
      </c>
      <c r="N5" s="1437">
        <f>项目基本情况!C22</f>
        <v>12128</v>
      </c>
      <c r="O5" s="1437">
        <f>项目基本情况!C21</f>
        <v>29082.55</v>
      </c>
      <c r="P5" s="1437" t="e">
        <f ca="1">结果表!E42</f>
        <v>#REF!</v>
      </c>
      <c r="Q5" s="1437" t="e">
        <f ca="1">结果表!D42</f>
        <v>#REF!</v>
      </c>
      <c r="R5" s="1438" t="e">
        <f ca="1">结果表!C42</f>
        <v>#REF!</v>
      </c>
    </row>
    <row r="6" spans="1:18">
      <c r="A6" s="3962" t="str">
        <f>IF(项目基本情况!B9="市场价格","——","抵押价格")</f>
        <v>——</v>
      </c>
      <c r="B6" s="3963"/>
      <c r="C6" s="3963"/>
      <c r="D6" s="3963"/>
      <c r="E6" s="3963"/>
      <c r="F6" s="3963"/>
      <c r="G6" s="3963"/>
      <c r="H6" s="3963"/>
      <c r="I6" s="3963"/>
      <c r="J6" s="3963"/>
      <c r="K6" s="3963"/>
      <c r="L6" s="3963"/>
      <c r="M6" s="3963"/>
      <c r="N6" s="3963"/>
      <c r="O6" s="3963"/>
      <c r="P6" s="3963"/>
      <c r="Q6" s="3964"/>
      <c r="R6" s="1439" t="str">
        <f>结果表!O39</f>
        <v>——</v>
      </c>
    </row>
    <row r="7" spans="1:18">
      <c r="A7" s="3962" t="str">
        <f>IF(项目基本情况!B9="市场价格","——",IF(项目基本情况!E8="已注销及未注销","抵押担保权已注销时的抵押价格","——"))</f>
        <v>——</v>
      </c>
      <c r="B7" s="3963"/>
      <c r="C7" s="3963"/>
      <c r="D7" s="3963"/>
      <c r="E7" s="3963"/>
      <c r="F7" s="3963"/>
      <c r="G7" s="3963"/>
      <c r="H7" s="3963"/>
      <c r="I7" s="3963"/>
      <c r="J7" s="3963"/>
      <c r="K7" s="3963"/>
      <c r="L7" s="3963"/>
      <c r="M7" s="3963"/>
      <c r="N7" s="3963"/>
      <c r="O7" s="3963"/>
      <c r="P7" s="3963"/>
      <c r="Q7" s="3964"/>
      <c r="R7" s="1439" t="str">
        <f>结果表!O40</f>
        <v>——</v>
      </c>
    </row>
    <row r="8" spans="1:18">
      <c r="A8" s="3962" t="str">
        <f>IF(项目基本情况!B9="市场价格","——",项目基本情况!E9)</f>
        <v>——</v>
      </c>
      <c r="B8" s="3963"/>
      <c r="C8" s="3963"/>
      <c r="D8" s="3963"/>
      <c r="E8" s="3963"/>
      <c r="F8" s="3963"/>
      <c r="G8" s="3963"/>
      <c r="H8" s="3963"/>
      <c r="I8" s="3963"/>
      <c r="J8" s="3963"/>
      <c r="K8" s="3963"/>
      <c r="L8" s="3963"/>
      <c r="M8" s="3963"/>
      <c r="N8" s="3963"/>
      <c r="O8" s="3963"/>
      <c r="P8" s="3963"/>
      <c r="Q8" s="3964"/>
      <c r="R8" s="1439" t="str">
        <f>结果表!O41</f>
        <v>——</v>
      </c>
    </row>
    <row r="9" spans="1:18">
      <c r="A9" s="1440" t="s">
        <v>1478</v>
      </c>
      <c r="B9" s="1434"/>
      <c r="C9" s="1434"/>
      <c r="D9" s="1434"/>
      <c r="E9" s="1434"/>
      <c r="F9" s="1434"/>
      <c r="G9" s="1434"/>
      <c r="H9" s="1434"/>
      <c r="I9" s="1434"/>
      <c r="J9" s="1434"/>
      <c r="K9" s="1434"/>
      <c r="L9" s="1434"/>
      <c r="M9" s="1434"/>
      <c r="N9" s="1434"/>
      <c r="O9" s="1434"/>
      <c r="P9" s="1434"/>
      <c r="Q9" s="1434"/>
      <c r="R9" s="1434"/>
    </row>
    <row r="10" spans="1:18">
      <c r="A10" s="1441"/>
      <c r="B10" s="1434"/>
      <c r="C10" s="1434"/>
      <c r="D10" s="1434"/>
      <c r="E10" s="1434"/>
      <c r="F10" s="1434"/>
      <c r="G10" s="1434"/>
      <c r="H10" s="1434"/>
      <c r="I10" s="1434"/>
      <c r="J10" s="1434"/>
      <c r="K10" s="1434"/>
      <c r="L10" s="1434"/>
      <c r="M10" s="1434"/>
      <c r="N10" s="1434"/>
      <c r="O10" s="1434"/>
      <c r="P10" s="1434"/>
      <c r="Q10" s="1434"/>
      <c r="R10" s="1434"/>
    </row>
    <row r="11" spans="1:18">
      <c r="A11" s="1441" t="s">
        <v>1465</v>
      </c>
      <c r="B11" s="1442"/>
      <c r="C11" s="1442"/>
      <c r="D11" s="1442"/>
      <c r="E11" s="1442"/>
      <c r="F11" s="1442"/>
      <c r="G11" s="1442"/>
      <c r="H11" s="1442"/>
      <c r="I11" s="1442"/>
      <c r="J11" s="1442"/>
      <c r="K11" s="1442"/>
      <c r="L11" s="1442"/>
      <c r="M11" s="1442"/>
      <c r="N11" s="1442"/>
      <c r="O11" s="1442"/>
      <c r="P11" s="1442"/>
      <c r="Q11" s="1442"/>
      <c r="R11" s="1442"/>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8"/>
      <c r="B14" s="1"/>
      <c r="C14" s="1"/>
      <c r="D14" s="1"/>
      <c r="E14" s="1"/>
      <c r="F14" s="1"/>
      <c r="G14" s="1"/>
      <c r="H14" s="1"/>
      <c r="I14" s="1"/>
      <c r="J14" s="1"/>
      <c r="K14" s="1"/>
      <c r="L14" s="1"/>
      <c r="M14" s="1"/>
      <c r="N14" s="1"/>
      <c r="O14" s="1"/>
      <c r="P14" s="1"/>
      <c r="Q14" s="1"/>
      <c r="R14" s="1"/>
    </row>
    <row r="15" spans="1:18">
      <c r="A15" s="1420"/>
    </row>
    <row r="16" spans="1:18">
      <c r="A16" s="1420"/>
    </row>
    <row r="17" spans="1:1">
      <c r="A17" s="1420"/>
    </row>
    <row r="18" spans="1:1">
      <c r="A18" s="1420"/>
    </row>
    <row r="19" spans="1:1">
      <c r="A19" s="1420"/>
    </row>
    <row r="20" spans="1:1">
      <c r="A20" s="1419"/>
    </row>
    <row r="21" spans="1:1">
      <c r="A21" s="1419"/>
    </row>
    <row r="22" spans="1:1">
      <c r="A22" s="1420"/>
    </row>
    <row r="23" spans="1:1">
      <c r="A23" s="1420"/>
    </row>
    <row r="24" spans="1:1">
      <c r="A24" s="1420"/>
    </row>
    <row r="25" spans="1:1">
      <c r="A25" s="1420"/>
    </row>
    <row r="26" spans="1:1">
      <c r="A26" s="1420"/>
    </row>
    <row r="27" spans="1:1">
      <c r="A27" s="1420"/>
    </row>
    <row r="28" spans="1:1">
      <c r="A28" s="1420"/>
    </row>
    <row r="29" spans="1:1">
      <c r="A29" s="1420"/>
    </row>
    <row r="30" spans="1:1">
      <c r="A30" s="1420"/>
    </row>
    <row r="31" spans="1:1">
      <c r="A31" s="1420"/>
    </row>
    <row r="32" spans="1:1">
      <c r="A32" s="1420"/>
    </row>
    <row r="33" spans="1:1">
      <c r="A33" s="1420"/>
    </row>
    <row r="34" spans="1:1">
      <c r="A34" s="1420"/>
    </row>
    <row r="35" spans="1:1">
      <c r="A35" s="1420"/>
    </row>
    <row r="36" spans="1:1">
      <c r="A36" s="1420"/>
    </row>
    <row r="37" spans="1:1">
      <c r="A37" s="1420"/>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9" customWidth="1"/>
    <col min="2" max="3" width="21.375" style="1429" customWidth="1"/>
    <col min="4" max="4" width="19.875" style="1429" customWidth="1"/>
    <col min="5" max="16384" width="9" style="1429"/>
  </cols>
  <sheetData>
    <row r="1" spans="1:4">
      <c r="A1" s="3966" t="s">
        <v>1502</v>
      </c>
      <c r="B1" s="3966"/>
      <c r="C1" s="3966"/>
      <c r="D1" s="3966"/>
    </row>
    <row r="2" spans="1:4" ht="47.25" customHeight="1">
      <c r="A2" s="3967" t="str">
        <f>"1.权利限制："&amp;项目基本情况!L24&amp;"未设定租赁等其他他项权利。"</f>
        <v>1.权利限制：根据估价对象《不动产权证书》原件、《国有土地使用权》复印件，截至估价期日，估价对象抵押权未见登记。未设定租赁等其他他项权利。</v>
      </c>
      <c r="B2" s="3967"/>
      <c r="C2" s="3967"/>
      <c r="D2" s="3967"/>
    </row>
    <row r="3" spans="1:4" ht="48" customHeight="1">
      <c r="A3" s="396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66"/>
      <c r="C3" s="3966"/>
      <c r="D3" s="3966"/>
    </row>
    <row r="4" spans="1:4" ht="36.75" customHeight="1">
      <c r="A4" s="3966" t="str">
        <f>"3.估价规划限制条件：详见"&amp;项目基本情况!E21&amp;"。"</f>
        <v>3.估价规划限制条件：详见《建设工程规划许可证》[]、《出让合同》[]。</v>
      </c>
      <c r="B4" s="3966"/>
      <c r="C4" s="3966"/>
      <c r="D4" s="3966"/>
    </row>
    <row r="5" spans="1:4">
      <c r="A5" s="3965" t="s">
        <v>1503</v>
      </c>
      <c r="B5" s="3965"/>
      <c r="C5" s="3965"/>
      <c r="D5" s="3965"/>
    </row>
    <row r="6" spans="1:4">
      <c r="A6" s="3966" t="s">
        <v>1481</v>
      </c>
      <c r="B6" s="3966"/>
      <c r="C6" s="3966"/>
      <c r="D6" s="3966"/>
    </row>
    <row r="7" spans="1:4" ht="33" customHeight="1">
      <c r="A7" s="3966" t="s">
        <v>1766</v>
      </c>
      <c r="B7" s="3966"/>
      <c r="C7" s="3966"/>
      <c r="D7" s="3966"/>
    </row>
    <row r="8" spans="1:4" ht="32.25" customHeight="1">
      <c r="A8" s="396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66"/>
      <c r="C8" s="3966"/>
      <c r="D8" s="3966"/>
    </row>
    <row r="9" spans="1:4" ht="33.75" customHeight="1">
      <c r="A9" s="3966" t="str">
        <f>IF(项目基本情况!B8="抵押","3.抵押双方在办理抵押登记手续时，应使用本公司出具的正式《土地估价报告》，特提请报告使用者注意。","——")</f>
        <v>——</v>
      </c>
      <c r="B9" s="3966"/>
      <c r="C9" s="3966"/>
      <c r="D9" s="3966"/>
    </row>
    <row r="10" spans="1:4">
      <c r="A10" s="3966" t="str">
        <f>IF(项目基本情况!B8="抵押","4.估价师所知悉的法定优先受偿款情况为：","——")</f>
        <v>——</v>
      </c>
      <c r="B10" s="3966"/>
      <c r="C10" s="3966"/>
      <c r="D10" s="3966"/>
    </row>
    <row r="11" spans="1:4" ht="37.5" customHeight="1">
      <c r="A11" s="3968" t="str">
        <f>IF(项目基本情况!B8="抵押","（1）"&amp;CONCATENATE(项目基本情况!L24,项目基本情况!L25,项目基本情况!L26),"——")</f>
        <v>——</v>
      </c>
      <c r="B11" s="3968"/>
      <c r="C11" s="3968"/>
      <c r="D11" s="3968"/>
    </row>
    <row r="12" spans="1:4" ht="168" customHeight="1">
      <c r="A12" s="3965" t="s">
        <v>1505</v>
      </c>
      <c r="B12" s="3965"/>
      <c r="C12" s="3965"/>
      <c r="D12" s="3965"/>
    </row>
    <row r="13" spans="1:4">
      <c r="A13" s="3969" t="s">
        <v>1937</v>
      </c>
      <c r="B13" s="3969"/>
      <c r="C13" s="3969"/>
      <c r="D13" s="3969"/>
    </row>
    <row r="14" spans="1:4">
      <c r="A14" s="3968" t="str">
        <f>IF(项目基本情况!B8="抵押","综上，"&amp;结果表!K47,"——")</f>
        <v>——</v>
      </c>
      <c r="B14" s="3968"/>
      <c r="C14" s="3968"/>
      <c r="D14" s="3968"/>
    </row>
    <row r="15" spans="1:4" ht="58.5" customHeight="1">
      <c r="A15" s="396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66"/>
      <c r="C15" s="3966"/>
      <c r="D15" s="3966"/>
    </row>
    <row r="16" spans="1:4" ht="70.5" customHeight="1">
      <c r="A16" s="396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66"/>
      <c r="C16" s="3966"/>
      <c r="D16" s="3966"/>
    </row>
    <row r="17" spans="1:4">
      <c r="A17" s="3966" t="s">
        <v>1893</v>
      </c>
      <c r="B17" s="3966"/>
      <c r="C17" s="3966"/>
      <c r="D17" s="3966"/>
    </row>
    <row r="18" spans="1:4">
      <c r="A18" s="3966" t="s">
        <v>1885</v>
      </c>
      <c r="B18" s="3966"/>
      <c r="C18" s="3966"/>
      <c r="D18" s="3966"/>
    </row>
    <row r="19" spans="1:4">
      <c r="A19" s="2059" t="s">
        <v>1886</v>
      </c>
      <c r="B19" s="2059" t="s">
        <v>1887</v>
      </c>
      <c r="C19" s="2059" t="s">
        <v>1888</v>
      </c>
      <c r="D19" s="2059" t="s">
        <v>1889</v>
      </c>
    </row>
    <row r="20" spans="1:4">
      <c r="A20" s="2059" t="str">
        <f>项目基本情况!B4</f>
        <v>土地估价师</v>
      </c>
      <c r="B20" s="2059">
        <f>项目基本情况!C4</f>
        <v>0</v>
      </c>
      <c r="C20" s="2061"/>
      <c r="D20" s="1427" t="s">
        <v>1894</v>
      </c>
    </row>
    <row r="21" spans="1:4">
      <c r="A21" s="2059" t="str">
        <f>项目基本情况!D4</f>
        <v>土地估价师</v>
      </c>
      <c r="B21" s="2059">
        <f>项目基本情况!E4</f>
        <v>0</v>
      </c>
      <c r="C21" s="2061"/>
      <c r="D21" s="1427" t="s">
        <v>1895</v>
      </c>
    </row>
    <row r="23" spans="1:4">
      <c r="A23" s="3966" t="s">
        <v>1890</v>
      </c>
      <c r="B23" s="3966"/>
      <c r="C23" s="3966"/>
      <c r="D23" s="3966"/>
    </row>
    <row r="24" spans="1:4">
      <c r="A24" s="2059" t="s">
        <v>1886</v>
      </c>
      <c r="B24" s="2059" t="s">
        <v>1891</v>
      </c>
      <c r="C24" s="2059" t="s">
        <v>1888</v>
      </c>
      <c r="D24" s="2059" t="s">
        <v>1889</v>
      </c>
    </row>
    <row r="25" spans="1:4">
      <c r="A25" s="2062" t="s">
        <v>1892</v>
      </c>
      <c r="B25" s="2059" t="s">
        <v>877</v>
      </c>
      <c r="C25" s="2061"/>
      <c r="D25" s="1427" t="s">
        <v>1895</v>
      </c>
    </row>
    <row r="29" spans="1:4">
      <c r="D29" s="2060" t="s">
        <v>1476</v>
      </c>
    </row>
    <row r="30" spans="1:4">
      <c r="D30" s="2063">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2" customWidth="1"/>
    <col min="2" max="16384" width="14.5" style="940"/>
  </cols>
  <sheetData>
    <row r="1" spans="1:7" s="938" customFormat="1" ht="18.75">
      <c r="A1" s="937" t="s">
        <v>39</v>
      </c>
    </row>
    <row r="3" spans="1:7" ht="14.25">
      <c r="A3" s="939" t="s">
        <v>40</v>
      </c>
      <c r="B3" s="940" t="s">
        <v>41</v>
      </c>
      <c r="G3" s="941"/>
    </row>
    <row r="4" spans="1:7">
      <c r="G4" s="941"/>
    </row>
    <row r="5" spans="1:7" ht="14.25">
      <c r="A5" s="943" t="s">
        <v>19</v>
      </c>
      <c r="B5" s="940" t="s">
        <v>20</v>
      </c>
      <c r="G5" s="941"/>
    </row>
    <row r="6" spans="1:7">
      <c r="G6" s="941"/>
    </row>
    <row r="7" spans="1:7" ht="14.25">
      <c r="A7" s="944" t="s">
        <v>21</v>
      </c>
      <c r="B7" s="940" t="s">
        <v>22</v>
      </c>
      <c r="G7" s="941"/>
    </row>
    <row r="8" spans="1:7">
      <c r="G8" s="941"/>
    </row>
    <row r="9" spans="1:7">
      <c r="A9" s="945" t="s">
        <v>23</v>
      </c>
      <c r="B9" s="940" t="s">
        <v>24</v>
      </c>
    </row>
    <row r="11" spans="1:7">
      <c r="A11" s="946" t="s">
        <v>25</v>
      </c>
      <c r="B11" s="947" t="s">
        <v>809</v>
      </c>
    </row>
    <row r="13" spans="1:7">
      <c r="A13" s="948" t="s">
        <v>26</v>
      </c>
    </row>
    <row r="15" spans="1:7" ht="14.25">
      <c r="A15" s="3977" t="s">
        <v>27</v>
      </c>
      <c r="B15" s="3978" t="s">
        <v>784</v>
      </c>
      <c r="C15" s="3974"/>
    </row>
    <row r="16" spans="1:7" ht="14.25">
      <c r="A16" s="3977"/>
      <c r="B16" s="3975" t="s">
        <v>28</v>
      </c>
      <c r="C16" s="949" t="s">
        <v>27</v>
      </c>
    </row>
    <row r="17" spans="1:3" ht="14.25">
      <c r="A17" s="3977"/>
      <c r="B17" s="3975"/>
      <c r="C17" s="949" t="s">
        <v>29</v>
      </c>
    </row>
    <row r="18" spans="1:3" ht="14.25">
      <c r="A18" s="3977"/>
      <c r="B18" s="3975"/>
      <c r="C18" s="949" t="s">
        <v>30</v>
      </c>
    </row>
    <row r="19" spans="1:3" ht="14.25">
      <c r="A19" s="3977"/>
      <c r="B19" s="3973" t="s">
        <v>31</v>
      </c>
      <c r="C19" s="3974"/>
    </row>
    <row r="20" spans="1:3" ht="14.25">
      <c r="A20" s="950" t="s">
        <v>32</v>
      </c>
      <c r="B20" s="951"/>
      <c r="C20" s="952"/>
    </row>
    <row r="21" spans="1:3" ht="14.25">
      <c r="A21" s="3976" t="s">
        <v>33</v>
      </c>
      <c r="B21" s="3973" t="s">
        <v>34</v>
      </c>
      <c r="C21" s="3974"/>
    </row>
    <row r="22" spans="1:3" ht="14.25">
      <c r="A22" s="3976"/>
      <c r="B22" s="3973" t="s">
        <v>35</v>
      </c>
      <c r="C22" s="3974"/>
    </row>
    <row r="23" spans="1:3" ht="14.25">
      <c r="A23" s="3976"/>
      <c r="B23" s="3973" t="s">
        <v>36</v>
      </c>
      <c r="C23" s="3974"/>
    </row>
    <row r="24" spans="1:3" ht="14.25">
      <c r="A24" s="3976"/>
      <c r="B24" s="3979" t="s">
        <v>37</v>
      </c>
      <c r="C24" s="953" t="s">
        <v>775</v>
      </c>
    </row>
    <row r="25" spans="1:3" ht="14.25">
      <c r="A25" s="3976"/>
      <c r="B25" s="3980"/>
      <c r="C25" s="953" t="s">
        <v>776</v>
      </c>
    </row>
    <row r="26" spans="1:3" ht="14.25">
      <c r="A26" s="3976"/>
      <c r="B26" s="3980"/>
      <c r="C26" s="953" t="s">
        <v>777</v>
      </c>
    </row>
    <row r="27" spans="1:3" ht="14.25">
      <c r="A27" s="3976"/>
      <c r="B27" s="3980"/>
      <c r="C27" s="953" t="s">
        <v>778</v>
      </c>
    </row>
    <row r="28" spans="1:3" ht="14.25">
      <c r="A28" s="3976"/>
      <c r="B28" s="3980"/>
      <c r="C28" s="953" t="s">
        <v>779</v>
      </c>
    </row>
    <row r="29" spans="1:3" ht="14.25">
      <c r="A29" s="3976"/>
      <c r="B29" s="3980"/>
      <c r="C29" s="953" t="s">
        <v>780</v>
      </c>
    </row>
    <row r="30" spans="1:3" ht="14.25">
      <c r="A30" s="3976"/>
      <c r="B30" s="3980"/>
      <c r="C30" s="953" t="s">
        <v>781</v>
      </c>
    </row>
    <row r="31" spans="1:3" ht="14.25">
      <c r="A31" s="3976"/>
      <c r="B31" s="3980"/>
      <c r="C31" s="953" t="s">
        <v>782</v>
      </c>
    </row>
    <row r="32" spans="1:3" ht="14.25">
      <c r="A32" s="3976"/>
      <c r="B32" s="3980"/>
      <c r="C32" s="953" t="s">
        <v>1181</v>
      </c>
    </row>
    <row r="33" spans="1:3" ht="14.25">
      <c r="A33" s="3976"/>
      <c r="B33" s="3970" t="s">
        <v>1187</v>
      </c>
      <c r="C33" s="953" t="s">
        <v>1182</v>
      </c>
    </row>
    <row r="34" spans="1:3" ht="14.25">
      <c r="A34" s="3976"/>
      <c r="B34" s="3971"/>
      <c r="C34" s="958" t="s">
        <v>1183</v>
      </c>
    </row>
    <row r="35" spans="1:3" ht="14.25">
      <c r="A35" s="3976"/>
      <c r="B35" s="3971"/>
      <c r="C35" s="959" t="s">
        <v>1184</v>
      </c>
    </row>
    <row r="36" spans="1:3" ht="14.25">
      <c r="A36" s="3976"/>
      <c r="B36" s="3971"/>
      <c r="C36" s="959" t="s">
        <v>1185</v>
      </c>
    </row>
    <row r="37" spans="1:3" ht="14.25">
      <c r="A37" s="3976"/>
      <c r="B37" s="3972"/>
      <c r="C37" s="960" t="s">
        <v>1186</v>
      </c>
    </row>
    <row r="38" spans="1:3">
      <c r="A38" s="954" t="s">
        <v>783</v>
      </c>
    </row>
    <row r="41" spans="1:3">
      <c r="A41" s="954" t="s">
        <v>42</v>
      </c>
    </row>
    <row r="42" spans="1:3" ht="14.25">
      <c r="A42" s="955" t="s">
        <v>791</v>
      </c>
    </row>
    <row r="43" spans="1:3" ht="14.25">
      <c r="A43" s="956" t="s">
        <v>43</v>
      </c>
    </row>
    <row r="44" spans="1:3" ht="14.25">
      <c r="A44" s="955" t="s">
        <v>790</v>
      </c>
    </row>
    <row r="45" spans="1:3" ht="14.25">
      <c r="A45" s="957" t="s">
        <v>792</v>
      </c>
    </row>
    <row r="46" spans="1:3" ht="14.25">
      <c r="A46" s="95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45079</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84" t="s">
        <v>1367</v>
      </c>
      <c r="B18" s="3985"/>
      <c r="C18" s="3985"/>
      <c r="D18" s="3985"/>
      <c r="E18" s="3985"/>
      <c r="F18" s="3985"/>
      <c r="G18" s="2469"/>
    </row>
    <row r="19" spans="1:7" ht="20.25" customHeight="1">
      <c r="A19" s="3981" t="s">
        <v>1368</v>
      </c>
      <c r="B19" s="3981"/>
      <c r="C19" s="3982"/>
      <c r="D19" s="3983" t="s">
        <v>1369</v>
      </c>
      <c r="E19" s="3981"/>
      <c r="F19" s="3981"/>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7" workbookViewId="0">
      <selection activeCell="J22" sqref="J22"/>
    </sheetView>
  </sheetViews>
  <sheetFormatPr defaultColWidth="9" defaultRowHeight="14.25"/>
  <cols>
    <col min="1" max="1" width="10.375" style="962" customWidth="1"/>
    <col min="2" max="2" width="18.875" style="940"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40" customWidth="1"/>
    <col min="25" max="25" width="7.25" style="940" customWidth="1"/>
    <col min="26" max="16384" width="9" style="940"/>
  </cols>
  <sheetData>
    <row r="1" spans="1:23" s="961" customFormat="1" ht="40.5">
      <c r="A1" s="810" t="s">
        <v>794</v>
      </c>
      <c r="B1" s="2" t="s">
        <v>99</v>
      </c>
      <c r="C1" s="1215"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5" t="s">
        <v>811</v>
      </c>
    </row>
    <row r="2" spans="1:23">
      <c r="A2" s="5" t="s">
        <v>47</v>
      </c>
      <c r="B2" s="5" t="s">
        <v>116</v>
      </c>
      <c r="C2" s="1216" t="s">
        <v>1238</v>
      </c>
      <c r="D2" s="6" t="s">
        <v>48</v>
      </c>
      <c r="E2" s="6" t="s">
        <v>95</v>
      </c>
      <c r="F2" s="6" t="s">
        <v>96</v>
      </c>
      <c r="G2" s="3">
        <v>20</v>
      </c>
      <c r="H2" s="6" t="s">
        <v>97</v>
      </c>
      <c r="I2" s="6" t="s">
        <v>2653</v>
      </c>
      <c r="J2" s="6" t="s">
        <v>98</v>
      </c>
      <c r="K2" s="6" t="s">
        <v>49</v>
      </c>
      <c r="L2" s="6" t="s">
        <v>49</v>
      </c>
      <c r="M2" s="6" t="s">
        <v>49</v>
      </c>
      <c r="N2" s="6" t="s">
        <v>49</v>
      </c>
      <c r="O2" s="6" t="s">
        <v>49</v>
      </c>
      <c r="P2" s="846" t="s">
        <v>817</v>
      </c>
      <c r="Q2" s="6" t="s">
        <v>49</v>
      </c>
      <c r="R2" s="846" t="s">
        <v>1732</v>
      </c>
      <c r="S2" s="6" t="s">
        <v>49</v>
      </c>
      <c r="T2" s="6" t="s">
        <v>50</v>
      </c>
      <c r="U2" s="6" t="s">
        <v>49</v>
      </c>
      <c r="V2" s="6" t="s">
        <v>51</v>
      </c>
      <c r="W2" s="6" t="s">
        <v>812</v>
      </c>
    </row>
    <row r="3" spans="1:23">
      <c r="A3" s="5" t="s">
        <v>52</v>
      </c>
      <c r="B3" s="7" t="s">
        <v>117</v>
      </c>
      <c r="C3" s="1217" t="s">
        <v>1239</v>
      </c>
      <c r="D3" s="6" t="s">
        <v>53</v>
      </c>
      <c r="E3" s="6" t="s">
        <v>3</v>
      </c>
      <c r="F3" s="6" t="s">
        <v>54</v>
      </c>
      <c r="G3" s="6">
        <v>40</v>
      </c>
      <c r="H3" s="6" t="s">
        <v>55</v>
      </c>
      <c r="I3" s="6" t="s">
        <v>2654</v>
      </c>
      <c r="J3" s="6" t="s">
        <v>56</v>
      </c>
      <c r="K3" s="6" t="s">
        <v>57</v>
      </c>
      <c r="L3" s="6" t="s">
        <v>57</v>
      </c>
      <c r="M3" s="6" t="s">
        <v>57</v>
      </c>
      <c r="N3" s="6" t="s">
        <v>57</v>
      </c>
      <c r="O3" s="6" t="s">
        <v>57</v>
      </c>
      <c r="P3" s="846" t="s">
        <v>548</v>
      </c>
      <c r="Q3" s="6" t="s">
        <v>57</v>
      </c>
      <c r="R3" s="846" t="s">
        <v>1733</v>
      </c>
      <c r="S3" s="6" t="s">
        <v>57</v>
      </c>
      <c r="T3" s="6" t="s">
        <v>58</v>
      </c>
      <c r="U3" s="6" t="s">
        <v>57</v>
      </c>
      <c r="V3" s="6" t="s">
        <v>59</v>
      </c>
      <c r="W3" s="6" t="s">
        <v>813</v>
      </c>
    </row>
    <row r="4" spans="1:23">
      <c r="A4" s="5" t="s">
        <v>60</v>
      </c>
      <c r="B4" s="5" t="s">
        <v>118</v>
      </c>
      <c r="C4" s="1216" t="s">
        <v>1240</v>
      </c>
      <c r="D4" s="6" t="s">
        <v>1431</v>
      </c>
      <c r="E4" s="6" t="s">
        <v>61</v>
      </c>
      <c r="F4" s="6" t="s">
        <v>62</v>
      </c>
      <c r="G4" s="6">
        <v>50</v>
      </c>
      <c r="H4" s="6" t="s">
        <v>63</v>
      </c>
      <c r="I4" s="6" t="s">
        <v>2655</v>
      </c>
      <c r="K4" s="6" t="s">
        <v>64</v>
      </c>
      <c r="L4" s="6" t="s">
        <v>64</v>
      </c>
      <c r="M4" s="6" t="s">
        <v>64</v>
      </c>
      <c r="N4" s="6" t="s">
        <v>64</v>
      </c>
      <c r="O4" s="6" t="s">
        <v>64</v>
      </c>
      <c r="P4" s="846" t="s">
        <v>700</v>
      </c>
      <c r="Q4" s="6" t="s">
        <v>64</v>
      </c>
      <c r="R4" s="846" t="s">
        <v>1734</v>
      </c>
      <c r="S4" s="6" t="s">
        <v>64</v>
      </c>
      <c r="T4" s="6" t="s">
        <v>65</v>
      </c>
      <c r="U4" s="6" t="s">
        <v>64</v>
      </c>
      <c r="W4" s="6" t="s">
        <v>814</v>
      </c>
    </row>
    <row r="5" spans="1:23">
      <c r="A5" s="5" t="s">
        <v>66</v>
      </c>
      <c r="B5" s="5" t="s">
        <v>119</v>
      </c>
      <c r="C5" s="1216" t="s">
        <v>1241</v>
      </c>
      <c r="F5" s="6" t="s">
        <v>67</v>
      </c>
      <c r="G5" s="6">
        <v>70</v>
      </c>
      <c r="H5" s="6" t="s">
        <v>44</v>
      </c>
      <c r="I5" s="6" t="s">
        <v>2656</v>
      </c>
      <c r="K5" s="6" t="s">
        <v>68</v>
      </c>
      <c r="L5" s="6" t="s">
        <v>68</v>
      </c>
      <c r="M5" s="6" t="s">
        <v>68</v>
      </c>
      <c r="N5" s="6" t="s">
        <v>68</v>
      </c>
      <c r="O5" s="6" t="s">
        <v>68</v>
      </c>
      <c r="P5" s="846" t="s">
        <v>495</v>
      </c>
      <c r="Q5" s="6" t="s">
        <v>68</v>
      </c>
      <c r="R5" s="846" t="s">
        <v>1735</v>
      </c>
      <c r="S5" s="6" t="s">
        <v>68</v>
      </c>
      <c r="T5" s="6" t="s">
        <v>69</v>
      </c>
      <c r="U5" s="6" t="s">
        <v>68</v>
      </c>
      <c r="W5" s="6" t="s">
        <v>815</v>
      </c>
    </row>
    <row r="6" spans="1:23">
      <c r="A6" s="5" t="s">
        <v>70</v>
      </c>
      <c r="B6" s="927" t="s">
        <v>1176</v>
      </c>
      <c r="C6" s="1218" t="s">
        <v>1242</v>
      </c>
      <c r="F6" s="6" t="s">
        <v>45</v>
      </c>
      <c r="H6" s="6" t="s">
        <v>46</v>
      </c>
      <c r="I6" s="6" t="s">
        <v>2657</v>
      </c>
      <c r="K6" s="6" t="s">
        <v>71</v>
      </c>
      <c r="L6" s="6" t="s">
        <v>71</v>
      </c>
      <c r="M6" s="6" t="s">
        <v>71</v>
      </c>
      <c r="N6" s="6" t="s">
        <v>71</v>
      </c>
      <c r="O6" s="6" t="s">
        <v>71</v>
      </c>
      <c r="P6" s="846" t="s">
        <v>818</v>
      </c>
      <c r="Q6" s="6" t="s">
        <v>71</v>
      </c>
      <c r="R6" s="846" t="s">
        <v>1736</v>
      </c>
      <c r="S6" s="6" t="s">
        <v>71</v>
      </c>
      <c r="T6" s="6"/>
      <c r="U6" s="6" t="s">
        <v>71</v>
      </c>
      <c r="W6" s="6" t="s">
        <v>816</v>
      </c>
    </row>
    <row r="7" spans="1:23">
      <c r="A7" s="5" t="s">
        <v>72</v>
      </c>
      <c r="B7" s="5" t="s">
        <v>73</v>
      </c>
      <c r="C7" s="1216" t="s">
        <v>1243</v>
      </c>
      <c r="F7" s="6" t="s">
        <v>120</v>
      </c>
      <c r="H7" s="6" t="s">
        <v>74</v>
      </c>
      <c r="I7" s="6" t="s">
        <v>2658</v>
      </c>
    </row>
    <row r="8" spans="1:23">
      <c r="A8" s="5" t="s">
        <v>75</v>
      </c>
      <c r="B8" s="5" t="s">
        <v>76</v>
      </c>
      <c r="C8" s="1216" t="s">
        <v>1244</v>
      </c>
      <c r="F8" s="6" t="s">
        <v>121</v>
      </c>
      <c r="H8" s="2988" t="s">
        <v>2652</v>
      </c>
      <c r="I8" s="6" t="s">
        <v>2659</v>
      </c>
    </row>
    <row r="9" spans="1:23">
      <c r="A9" s="5" t="s">
        <v>77</v>
      </c>
      <c r="B9" s="5" t="s">
        <v>122</v>
      </c>
      <c r="C9" s="1216" t="s">
        <v>1245</v>
      </c>
      <c r="F9" s="6" t="s">
        <v>78</v>
      </c>
      <c r="H9" s="6"/>
      <c r="I9" s="6" t="s">
        <v>2660</v>
      </c>
    </row>
    <row r="10" spans="1:23">
      <c r="A10" s="5" t="s">
        <v>79</v>
      </c>
      <c r="B10" s="5" t="s">
        <v>123</v>
      </c>
      <c r="C10" s="1216" t="s">
        <v>1246</v>
      </c>
      <c r="F10" s="2988" t="s">
        <v>2651</v>
      </c>
      <c r="I10" s="6" t="s">
        <v>2661</v>
      </c>
    </row>
    <row r="11" spans="1:23">
      <c r="A11" s="5" t="s">
        <v>80</v>
      </c>
      <c r="B11" s="5" t="s">
        <v>124</v>
      </c>
      <c r="C11" s="1216" t="s">
        <v>1247</v>
      </c>
      <c r="I11" s="6" t="s">
        <v>2662</v>
      </c>
    </row>
    <row r="12" spans="1:23">
      <c r="A12" s="5" t="s">
        <v>81</v>
      </c>
      <c r="B12" s="5" t="s">
        <v>125</v>
      </c>
      <c r="C12" s="1216" t="s">
        <v>1248</v>
      </c>
      <c r="I12" s="6" t="s">
        <v>2663</v>
      </c>
    </row>
    <row r="13" spans="1:23">
      <c r="A13" s="5" t="s">
        <v>82</v>
      </c>
      <c r="B13" s="5" t="s">
        <v>126</v>
      </c>
      <c r="C13" s="1216" t="s">
        <v>1249</v>
      </c>
      <c r="I13" s="6" t="s">
        <v>2664</v>
      </c>
    </row>
    <row r="14" spans="1:23">
      <c r="A14" s="5" t="s">
        <v>83</v>
      </c>
      <c r="B14" s="5" t="s">
        <v>127</v>
      </c>
      <c r="C14" s="1219" t="s">
        <v>1340</v>
      </c>
      <c r="I14" s="6" t="s">
        <v>2665</v>
      </c>
    </row>
    <row r="15" spans="1:23">
      <c r="A15" s="5" t="s">
        <v>84</v>
      </c>
      <c r="B15" s="5" t="s">
        <v>1214</v>
      </c>
      <c r="C15" s="1219"/>
      <c r="I15" s="6" t="s">
        <v>2666</v>
      </c>
    </row>
    <row r="16" spans="1:23">
      <c r="A16" s="5" t="s">
        <v>85</v>
      </c>
      <c r="B16" s="5" t="s">
        <v>1215</v>
      </c>
      <c r="C16" s="1219"/>
    </row>
    <row r="17" spans="1:3">
      <c r="A17" s="5" t="s">
        <v>86</v>
      </c>
      <c r="B17" s="5" t="s">
        <v>1216</v>
      </c>
      <c r="C17" s="1219"/>
    </row>
    <row r="18" spans="1:3">
      <c r="A18" s="5" t="s">
        <v>87</v>
      </c>
      <c r="B18" s="2244" t="s">
        <v>2124</v>
      </c>
      <c r="C18" s="1219"/>
    </row>
    <row r="19" spans="1:3">
      <c r="A19" s="5" t="s">
        <v>88</v>
      </c>
      <c r="B19" s="2244" t="s">
        <v>2131</v>
      </c>
      <c r="C19" s="1219"/>
    </row>
    <row r="20" spans="1:3">
      <c r="A20" s="5" t="s">
        <v>89</v>
      </c>
      <c r="B20" s="2244" t="s">
        <v>2169</v>
      </c>
      <c r="C20" s="1219"/>
    </row>
    <row r="21" spans="1:3">
      <c r="A21" s="5" t="s">
        <v>90</v>
      </c>
      <c r="B21" s="5" t="s">
        <v>2346</v>
      </c>
      <c r="C21" s="1219"/>
    </row>
    <row r="22" spans="1:3">
      <c r="A22" s="5" t="s">
        <v>91</v>
      </c>
      <c r="B22" s="3824" t="s">
        <v>3182</v>
      </c>
      <c r="C22" s="1219"/>
    </row>
    <row r="23" spans="1:3">
      <c r="A23" s="5" t="s">
        <v>92</v>
      </c>
      <c r="B23" s="3824" t="s">
        <v>3183</v>
      </c>
      <c r="C23" s="1219"/>
    </row>
    <row r="24" spans="1:3">
      <c r="A24" s="5" t="s">
        <v>9</v>
      </c>
      <c r="B24" s="2244" t="s">
        <v>3184</v>
      </c>
      <c r="C24" s="1219"/>
    </row>
    <row r="25" spans="1:3">
      <c r="A25" s="5" t="s">
        <v>93</v>
      </c>
      <c r="B25" s="2244" t="s">
        <v>3185</v>
      </c>
      <c r="C25" s="1219"/>
    </row>
    <row r="26" spans="1:3">
      <c r="A26" s="5" t="s">
        <v>94</v>
      </c>
      <c r="B26" s="3824" t="s">
        <v>3347</v>
      </c>
      <c r="C26" s="1219"/>
    </row>
    <row r="27" spans="1:3">
      <c r="A27" s="5" t="s">
        <v>1177</v>
      </c>
      <c r="B27" s="5" t="s">
        <v>1177</v>
      </c>
      <c r="C27" s="1219"/>
    </row>
    <row r="28" spans="1:3">
      <c r="A28" s="5" t="s">
        <v>1177</v>
      </c>
      <c r="B28" s="5" t="s">
        <v>1177</v>
      </c>
      <c r="C28" s="1219"/>
    </row>
    <row r="29" spans="1:3">
      <c r="A29" s="5" t="s">
        <v>1177</v>
      </c>
      <c r="B29" s="5" t="s">
        <v>1177</v>
      </c>
      <c r="C29" s="1219"/>
    </row>
    <row r="30" spans="1:3">
      <c r="A30" s="5" t="s">
        <v>1177</v>
      </c>
      <c r="B30" s="5" t="s">
        <v>1177</v>
      </c>
      <c r="C30" s="1219"/>
    </row>
    <row r="31" spans="1:3">
      <c r="A31" s="5" t="s">
        <v>1177</v>
      </c>
      <c r="B31" s="5" t="s">
        <v>1177</v>
      </c>
      <c r="C31" s="1219"/>
    </row>
    <row r="32" spans="1:3">
      <c r="A32" s="5" t="s">
        <v>1177</v>
      </c>
      <c r="B32" s="5" t="s">
        <v>1177</v>
      </c>
      <c r="C32" s="1219"/>
    </row>
    <row r="33" spans="1:3">
      <c r="A33" s="5" t="s">
        <v>1177</v>
      </c>
      <c r="B33" s="5" t="s">
        <v>1177</v>
      </c>
      <c r="C33" s="1219"/>
    </row>
    <row r="34" spans="1:3">
      <c r="A34" s="5" t="s">
        <v>1177</v>
      </c>
      <c r="B34" s="5" t="s">
        <v>1177</v>
      </c>
      <c r="C34" s="1219"/>
    </row>
    <row r="35" spans="1:3">
      <c r="A35" s="5" t="s">
        <v>1177</v>
      </c>
      <c r="B35" s="5" t="s">
        <v>1177</v>
      </c>
      <c r="C35" s="1219"/>
    </row>
    <row r="36" spans="1:3">
      <c r="A36" s="5" t="s">
        <v>1177</v>
      </c>
      <c r="B36" s="5" t="s">
        <v>1177</v>
      </c>
      <c r="C36" s="1219"/>
    </row>
    <row r="37" spans="1:3">
      <c r="A37" s="5" t="s">
        <v>1177</v>
      </c>
      <c r="B37" s="5" t="s">
        <v>1177</v>
      </c>
      <c r="C37" s="1219"/>
    </row>
    <row r="38" spans="1:3">
      <c r="A38" s="5" t="s">
        <v>1177</v>
      </c>
      <c r="B38" s="5" t="s">
        <v>1177</v>
      </c>
      <c r="C38" s="1219"/>
    </row>
    <row r="39" spans="1:3">
      <c r="A39" s="5" t="s">
        <v>1177</v>
      </c>
      <c r="B39" s="5" t="s">
        <v>1177</v>
      </c>
      <c r="C39" s="1219"/>
    </row>
    <row r="40" spans="1:3">
      <c r="A40" s="5" t="s">
        <v>1177</v>
      </c>
      <c r="B40" s="5" t="s">
        <v>1177</v>
      </c>
      <c r="C40" s="1219"/>
    </row>
    <row r="41" spans="1:3">
      <c r="A41" s="5" t="s">
        <v>1177</v>
      </c>
      <c r="B41" s="5" t="s">
        <v>1177</v>
      </c>
      <c r="C41" s="1219"/>
    </row>
    <row r="42" spans="1:3">
      <c r="A42" s="5" t="s">
        <v>1177</v>
      </c>
      <c r="B42" s="5" t="s">
        <v>1177</v>
      </c>
      <c r="C42" s="1219"/>
    </row>
    <row r="43" spans="1:3">
      <c r="A43" s="5" t="s">
        <v>1177</v>
      </c>
      <c r="B43" s="5" t="s">
        <v>1177</v>
      </c>
      <c r="C43" s="1219"/>
    </row>
    <row r="44" spans="1:3">
      <c r="A44" s="5" t="s">
        <v>1177</v>
      </c>
      <c r="B44" s="5" t="s">
        <v>1177</v>
      </c>
      <c r="C44" s="1219"/>
    </row>
    <row r="45" spans="1:3">
      <c r="A45" s="5" t="s">
        <v>1177</v>
      </c>
      <c r="B45" s="5" t="s">
        <v>1177</v>
      </c>
      <c r="C45" s="1219"/>
    </row>
    <row r="46" spans="1:3">
      <c r="A46" s="5" t="s">
        <v>1177</v>
      </c>
      <c r="B46" s="5" t="s">
        <v>1177</v>
      </c>
      <c r="C46" s="1219"/>
    </row>
    <row r="47" spans="1:3">
      <c r="A47" s="5" t="s">
        <v>1177</v>
      </c>
      <c r="B47" s="5" t="s">
        <v>1177</v>
      </c>
      <c r="C47" s="1219"/>
    </row>
    <row r="48" spans="1:3">
      <c r="A48" s="5" t="s">
        <v>1177</v>
      </c>
      <c r="B48" s="5" t="s">
        <v>1177</v>
      </c>
      <c r="C48" s="1219"/>
    </row>
    <row r="49" spans="1:5">
      <c r="A49" s="5" t="s">
        <v>1177</v>
      </c>
      <c r="B49" s="5" t="s">
        <v>1177</v>
      </c>
      <c r="C49" s="1219"/>
    </row>
    <row r="50" spans="1:5">
      <c r="A50" s="5" t="s">
        <v>1177</v>
      </c>
      <c r="B50" s="5" t="s">
        <v>1177</v>
      </c>
      <c r="C50" s="1219"/>
    </row>
    <row r="51" spans="1:5">
      <c r="A51" s="1395" t="s">
        <v>1381</v>
      </c>
      <c r="B51" s="139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7"/>
    </row>
    <row r="52" spans="1:5">
      <c r="A52" s="1395" t="s">
        <v>1423</v>
      </c>
      <c r="B52" s="1398" t="s">
        <v>1424</v>
      </c>
      <c r="C52" s="1396" t="s">
        <v>1425</v>
      </c>
      <c r="D52" s="1396" t="s">
        <v>1426</v>
      </c>
      <c r="E52" s="1397"/>
    </row>
    <row r="53" spans="1:5">
      <c r="A53" s="3986" t="s">
        <v>1427</v>
      </c>
      <c r="B53" s="1396" t="s">
        <v>1433</v>
      </c>
      <c r="C53" s="139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c r="D53" s="1397"/>
      <c r="E53" s="1397"/>
    </row>
    <row r="54" spans="1:5">
      <c r="A54" s="3986"/>
      <c r="B54" s="1396" t="s">
        <v>1434</v>
      </c>
      <c r="C54" s="139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7"/>
      <c r="E54" s="1397"/>
    </row>
    <row r="55" spans="1:5">
      <c r="A55" s="3986"/>
      <c r="B55" s="1396" t="s">
        <v>1428</v>
      </c>
      <c r="C55" s="139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7"/>
      <c r="E55" s="1397"/>
    </row>
    <row r="56" spans="1:5">
      <c r="A56" s="3986"/>
      <c r="B56" s="1396" t="s">
        <v>1429</v>
      </c>
      <c r="C56" s="139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7"/>
      <c r="E56" s="1397"/>
    </row>
    <row r="57" spans="1:5">
      <c r="A57" s="3986"/>
      <c r="B57" s="1396" t="s">
        <v>1430</v>
      </c>
      <c r="C57" s="139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7"/>
      <c r="E57" s="1397"/>
    </row>
    <row r="58" spans="1:5">
      <c r="A58" s="1399" t="s">
        <v>1486</v>
      </c>
      <c r="B58" s="1396" t="s">
        <v>1487</v>
      </c>
      <c r="C58" s="8" t="s">
        <v>1488</v>
      </c>
      <c r="D58" s="1051"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45076</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-123.49</v>
      </c>
      <c r="D5" s="2946">
        <f>IF(ISERROR(ROUND(POWER(1+E5,A5-C5)*(POWER(1+E5,C5)-1)/(POWER(1+E5,A5)-1),3)),0,ROUND(POWER(1+E5,A5-C5)*(POWER(1+E5,C5)-1)/(POWER(1+E5,A5)-1),4))</f>
        <v>0</v>
      </c>
      <c r="E5" s="2947"/>
      <c r="F5" s="2940"/>
    </row>
    <row r="6" spans="1:6">
      <c r="A6" s="2945"/>
      <c r="B6" s="2942"/>
      <c r="C6" s="2944">
        <f>ROUNDDOWN(MIN((B6-B3)/365,A6),2)</f>
        <v>-123.49</v>
      </c>
      <c r="D6" s="2946">
        <f>IF(ISERROR(ROUND(POWER(1+E6,A6-C6)*(POWER(1+E6,C6)-1)/(POWER(1+E6,A6)-1),3)),0,ROUND(POWER(1+E6,A6-C6)*(POWER(1+E6,C6)-1)/(POWER(1+E6,A6)-1),4))</f>
        <v>0</v>
      </c>
      <c r="E6" s="2947"/>
      <c r="F6" s="2940"/>
    </row>
    <row r="7" spans="1:6">
      <c r="A7" s="2945"/>
      <c r="B7" s="2942"/>
      <c r="C7" s="2944">
        <f>ROUNDDOWN(MIN((B7-B3)/365,A7),2)</f>
        <v>-123.49</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25" zoomScale="80" zoomScaleNormal="100" zoomScaleSheetLayoutView="80" workbookViewId="0">
      <selection activeCell="B8" sqref="B8"/>
    </sheetView>
  </sheetViews>
  <sheetFormatPr defaultColWidth="10" defaultRowHeight="14.25"/>
  <cols>
    <col min="1" max="1" width="15.375" style="1326" customWidth="1"/>
    <col min="2" max="2" width="13" style="1326" customWidth="1"/>
    <col min="3" max="8" width="13.125" style="1326" customWidth="1"/>
    <col min="9" max="9" width="13.125" style="1327" customWidth="1"/>
    <col min="10" max="10" width="10" style="1326"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6"/>
  </cols>
  <sheetData>
    <row r="1" spans="1:21" ht="15" thickBot="1">
      <c r="A1" s="1301" t="s">
        <v>1376</v>
      </c>
      <c r="B1" s="4002" t="str">
        <f>IF(B10="北京市","北京市",C10)&amp;F10&amp;A17&amp;"国有建设用地使用权"&amp;B9&amp;"预评估"</f>
        <v>北京市出让国有建设用地使用权市场价格预评估</v>
      </c>
      <c r="C1" s="4003"/>
      <c r="D1" s="4003"/>
      <c r="E1" s="4003"/>
      <c r="F1" s="4003"/>
      <c r="G1" s="4003"/>
      <c r="H1" s="4003"/>
      <c r="I1" s="4004"/>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2" t="s">
        <v>1377</v>
      </c>
      <c r="B2" s="1455"/>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3" t="s">
        <v>1378</v>
      </c>
      <c r="B3" s="1304">
        <v>45076</v>
      </c>
      <c r="C3" s="2432" t="s">
        <v>1432</v>
      </c>
      <c r="D3" s="1304">
        <f>B3</f>
        <v>45076</v>
      </c>
      <c r="E3" s="2508"/>
      <c r="F3" s="2508"/>
      <c r="G3" s="2508"/>
      <c r="H3" s="2509"/>
      <c r="I3" s="2510"/>
      <c r="J3" s="2508"/>
      <c r="K3" s="2491"/>
      <c r="L3" s="2487"/>
      <c r="M3" s="2487"/>
      <c r="N3" s="2488"/>
      <c r="O3" s="2489"/>
      <c r="P3" s="2488"/>
      <c r="Q3" s="2488"/>
      <c r="R3" s="2488"/>
      <c r="S3" s="2488"/>
      <c r="T3" s="2488"/>
      <c r="U3" s="2488"/>
    </row>
    <row r="4" spans="1:21" ht="15" thickBot="1">
      <c r="A4" s="1306" t="s">
        <v>1379</v>
      </c>
      <c r="B4" s="1456" t="s">
        <v>2070</v>
      </c>
      <c r="C4" s="1459">
        <f>SUMIF(土地估价师,B4,估价师及机构信息!E3:E17)</f>
        <v>0</v>
      </c>
      <c r="D4" s="1456" t="s">
        <v>2070</v>
      </c>
      <c r="E4" s="1459">
        <f>SUMIF(土地估价师,D4,估价师及机构信息!E3:E17)</f>
        <v>0</v>
      </c>
      <c r="F4" s="1456" t="s">
        <v>877</v>
      </c>
      <c r="G4" s="1459">
        <f>SUMIF(土地估价师,F4,估价师及机构信息!E3:E17)</f>
        <v>0</v>
      </c>
      <c r="H4" s="1456" t="s">
        <v>877</v>
      </c>
      <c r="I4" s="1459">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7" t="s">
        <v>1380</v>
      </c>
      <c r="B5" s="1414"/>
      <c r="C5" s="1308"/>
      <c r="D5" s="1309"/>
      <c r="E5" s="2508"/>
      <c r="F5" s="2508"/>
      <c r="G5" s="2508"/>
      <c r="H5" s="2509"/>
      <c r="I5" s="2510"/>
      <c r="J5" s="2508"/>
      <c r="K5" s="2491"/>
      <c r="L5" s="2487"/>
      <c r="M5" s="2487"/>
      <c r="N5" s="2488"/>
      <c r="O5" s="2489"/>
      <c r="P5" s="2488"/>
      <c r="Q5" s="2488"/>
      <c r="R5" s="2488"/>
      <c r="S5" s="2488"/>
      <c r="T5" s="2488"/>
      <c r="U5" s="2488"/>
    </row>
    <row r="6" spans="1:21" ht="26.25">
      <c r="A6" s="1305" t="s">
        <v>1897</v>
      </c>
      <c r="B6" s="1414"/>
      <c r="C6" s="1389"/>
      <c r="D6" s="1310"/>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1" t="s">
        <v>1898</v>
      </c>
      <c r="B7" s="1414"/>
      <c r="C7" s="1389"/>
      <c r="D7" s="1310"/>
      <c r="E7" s="2508"/>
      <c r="F7" s="2508"/>
      <c r="G7" s="2508"/>
      <c r="H7" s="2509"/>
      <c r="I7" s="2510"/>
      <c r="J7" s="2508"/>
      <c r="K7" s="2491"/>
      <c r="L7" s="2487"/>
      <c r="M7" s="2487"/>
      <c r="N7" s="2488"/>
      <c r="O7" s="2489"/>
      <c r="P7" s="2488"/>
      <c r="Q7" s="2488"/>
      <c r="R7" s="2488"/>
      <c r="S7" s="2488"/>
      <c r="T7" s="2488"/>
      <c r="U7" s="2488"/>
    </row>
    <row r="8" spans="1:21">
      <c r="A8" s="2433" t="s">
        <v>1381</v>
      </c>
      <c r="B8" s="1312" t="s">
        <v>2648</v>
      </c>
      <c r="C8" s="1313"/>
      <c r="D8" s="4008" t="s">
        <v>1383</v>
      </c>
      <c r="E8" s="1457"/>
      <c r="F8" s="1314"/>
      <c r="G8" s="2509"/>
      <c r="H8" s="2509"/>
      <c r="I8" s="2512"/>
      <c r="J8" s="2508"/>
      <c r="K8" s="2491"/>
      <c r="L8" s="2487"/>
      <c r="M8" s="2487"/>
      <c r="N8" s="2488"/>
      <c r="O8" s="2489"/>
      <c r="P8" s="2488"/>
      <c r="Q8" s="2488"/>
      <c r="R8" s="2488"/>
      <c r="S8" s="2488"/>
      <c r="T8" s="2488"/>
      <c r="U8" s="2488"/>
    </row>
    <row r="9" spans="1:21" ht="15" thickBot="1">
      <c r="A9" s="2434" t="s">
        <v>1382</v>
      </c>
      <c r="B9" s="1315" t="s">
        <v>3166</v>
      </c>
      <c r="C9" s="1316"/>
      <c r="D9" s="4009"/>
      <c r="E9" s="1315"/>
      <c r="F9" s="1375"/>
      <c r="G9" s="2513"/>
      <c r="H9" s="2513"/>
      <c r="I9" s="2514"/>
      <c r="J9" s="2508"/>
      <c r="K9" s="2491"/>
      <c r="L9" s="2487"/>
      <c r="M9" s="2487"/>
      <c r="N9" s="2488"/>
      <c r="O9" s="2489"/>
      <c r="P9" s="2488"/>
      <c r="Q9" s="2488"/>
      <c r="R9" s="2488"/>
      <c r="S9" s="2488"/>
      <c r="T9" s="2488"/>
      <c r="U9" s="2488"/>
    </row>
    <row r="10" spans="1:21" ht="15" thickTop="1">
      <c r="A10" s="2435" t="s">
        <v>1436</v>
      </c>
      <c r="B10" s="1352" t="s">
        <v>1384</v>
      </c>
      <c r="C10" s="1317"/>
      <c r="D10" s="1309"/>
      <c r="E10" s="1318" t="s">
        <v>1385</v>
      </c>
      <c r="F10" s="1319"/>
      <c r="G10" s="1373"/>
      <c r="H10" s="1374"/>
      <c r="I10" s="1309"/>
      <c r="J10" s="2508"/>
      <c r="K10" s="2491"/>
      <c r="L10" s="2487"/>
      <c r="M10" s="2487"/>
      <c r="N10" s="2488"/>
      <c r="O10" s="2489"/>
      <c r="P10" s="2488"/>
      <c r="Q10" s="2488"/>
      <c r="R10" s="2488"/>
      <c r="S10" s="2488"/>
      <c r="T10" s="2488"/>
      <c r="U10" s="2488"/>
    </row>
    <row r="11" spans="1:21">
      <c r="A11" s="2436" t="s">
        <v>1437</v>
      </c>
      <c r="B11" s="1332" t="s">
        <v>3167</v>
      </c>
      <c r="C11" s="1320"/>
      <c r="D11" s="1390"/>
      <c r="E11" s="2507"/>
      <c r="F11" s="2507"/>
      <c r="G11" s="2507"/>
      <c r="H11" s="2507"/>
      <c r="I11" s="2507"/>
      <c r="J11" s="2508"/>
      <c r="K11" s="2491"/>
      <c r="L11" s="2487"/>
      <c r="M11" s="2487"/>
      <c r="N11" s="2488"/>
      <c r="O11" s="2489"/>
      <c r="P11" s="2488"/>
      <c r="Q11" s="2488"/>
      <c r="R11" s="2488"/>
      <c r="S11" s="2488"/>
      <c r="T11" s="2488"/>
      <c r="U11" s="2488"/>
    </row>
    <row r="12" spans="1:21">
      <c r="A12" s="1410" t="s">
        <v>1495</v>
      </c>
      <c r="B12" s="4005"/>
      <c r="C12" s="4006"/>
      <c r="D12" s="4007"/>
      <c r="E12" s="1333" t="s">
        <v>1498</v>
      </c>
      <c r="F12" s="4023" t="s">
        <v>2071</v>
      </c>
      <c r="G12" s="4024"/>
      <c r="H12" s="4024"/>
      <c r="I12" s="4025"/>
      <c r="J12" s="2508"/>
      <c r="K12" s="2491"/>
      <c r="L12" s="2487"/>
      <c r="M12" s="2487"/>
      <c r="N12" s="2488"/>
      <c r="O12" s="2489"/>
      <c r="P12" s="2488"/>
      <c r="Q12" s="2488"/>
      <c r="R12" s="2488"/>
      <c r="S12" s="2488"/>
      <c r="T12" s="2488"/>
      <c r="U12" s="2488"/>
    </row>
    <row r="13" spans="1:21">
      <c r="A13" s="1324" t="s">
        <v>1496</v>
      </c>
      <c r="B13" s="4005"/>
      <c r="C13" s="4006"/>
      <c r="D13" s="4007"/>
      <c r="E13" s="1333" t="s">
        <v>1498</v>
      </c>
      <c r="F13" s="4023" t="s">
        <v>2072</v>
      </c>
      <c r="G13" s="4024"/>
      <c r="H13" s="4024"/>
      <c r="I13" s="4025"/>
      <c r="J13" s="2508"/>
      <c r="K13" s="2491"/>
      <c r="L13" s="2487"/>
      <c r="M13" s="2487"/>
      <c r="N13" s="2488"/>
      <c r="O13" s="2489"/>
      <c r="P13" s="2488"/>
      <c r="Q13" s="2488"/>
      <c r="R13" s="2488"/>
      <c r="S13" s="2488"/>
      <c r="T13" s="2488"/>
      <c r="U13" s="2488"/>
    </row>
    <row r="14" spans="1:21">
      <c r="A14" s="1303" t="s">
        <v>1499</v>
      </c>
      <c r="B14" s="1333"/>
      <c r="C14" s="1458"/>
      <c r="D14" s="1366" t="str">
        <f>IF(C14="不一致","是否符合证载地类范围","")</f>
        <v/>
      </c>
      <c r="E14" s="1333"/>
      <c r="F14" s="1415"/>
      <c r="G14" s="1361"/>
      <c r="H14" s="1361"/>
      <c r="I14" s="1451"/>
      <c r="J14" s="2508"/>
      <c r="K14" s="2491"/>
      <c r="L14" s="2487"/>
      <c r="M14" s="2487"/>
      <c r="N14" s="2488"/>
      <c r="O14" s="2489"/>
      <c r="P14" s="2488"/>
      <c r="Q14" s="2488"/>
      <c r="R14" s="2488"/>
      <c r="S14" s="2488"/>
      <c r="T14" s="2488"/>
      <c r="U14" s="2488"/>
    </row>
    <row r="15" spans="1:21">
      <c r="A15" s="2010"/>
      <c r="B15" s="1305"/>
      <c r="C15" s="2933" t="s">
        <v>1388</v>
      </c>
      <c r="D15" s="2933" t="s">
        <v>1389</v>
      </c>
      <c r="E15" s="2933" t="s">
        <v>1179</v>
      </c>
      <c r="F15" s="1323" t="s">
        <v>1390</v>
      </c>
      <c r="G15" s="1323" t="s">
        <v>1391</v>
      </c>
      <c r="H15" s="1323" t="s">
        <v>776</v>
      </c>
      <c r="I15" s="1323" t="s">
        <v>2644</v>
      </c>
      <c r="J15" s="2508"/>
      <c r="K15" s="2491"/>
      <c r="L15" s="2487"/>
      <c r="M15" s="2487"/>
      <c r="N15" s="2488"/>
      <c r="O15" s="2489"/>
      <c r="P15" s="2488"/>
      <c r="Q15" s="2488"/>
      <c r="R15" s="2488"/>
      <c r="S15" s="2488"/>
      <c r="T15" s="2488"/>
      <c r="U15" s="2488"/>
    </row>
    <row r="16" spans="1:21" ht="42.75">
      <c r="A16" s="2437" t="s">
        <v>1386</v>
      </c>
      <c r="B16" s="1333" t="s">
        <v>1387</v>
      </c>
      <c r="C16" s="2933" t="s">
        <v>1388</v>
      </c>
      <c r="D16" s="1355" t="s">
        <v>2645</v>
      </c>
      <c r="E16" s="1355" t="s">
        <v>1212</v>
      </c>
      <c r="F16" s="1355" t="s">
        <v>2646</v>
      </c>
      <c r="G16" s="1355" t="s">
        <v>2647</v>
      </c>
      <c r="H16" s="1323" t="s">
        <v>776</v>
      </c>
      <c r="I16" s="1323" t="s">
        <v>2644</v>
      </c>
      <c r="J16" s="2508"/>
      <c r="K16" s="1879" t="str">
        <f>IF(D17="","",D16&amp;TEXT(D17,"yyyy年m月d日;;"))</f>
        <v>商业2063年5月30日</v>
      </c>
      <c r="L16" s="1333" t="str">
        <f>IF(OR(K16="",M16=""),"","、")</f>
        <v>、</v>
      </c>
      <c r="M16" s="1879" t="str">
        <f>IF(E17="","",E16&amp;TEXT(E17,"yyyy年m月d日;;"))</f>
        <v>办公2073年5月30日</v>
      </c>
      <c r="N16" s="1333" t="str">
        <f>IF(OR(M16="",O16=""),"","、")</f>
        <v/>
      </c>
      <c r="O16" s="1879" t="str">
        <f>IF(F17="","",F16&amp;TEXT(F17,"yyyy年m月d日;;"))</f>
        <v/>
      </c>
      <c r="P16" s="1333" t="str">
        <f>IF(OR(O16="",Q16=""),"","、")</f>
        <v/>
      </c>
      <c r="Q16" s="1879" t="str">
        <f>IF(G17="","",G16&amp;TEXT(G17,"yyyy年m月d日;;"))</f>
        <v/>
      </c>
      <c r="R16" s="1333" t="str">
        <f>IF(OR(Q16="",S16=""),"","、")</f>
        <v/>
      </c>
      <c r="S16" s="1879" t="str">
        <f>IF(H17="","",H16&amp;TEXT(H17,"yyyy年m月d日;;"))</f>
        <v>工业2073年5月30日</v>
      </c>
      <c r="T16" s="1333" t="str">
        <f>IF(OR(S16="",U16=""),"","、")</f>
        <v>、</v>
      </c>
      <c r="U16" s="1879" t="str">
        <f>IF(I17="","",I16&amp;TEXT(I17,"yyyy年m月d日;;"))</f>
        <v>公共服务2073年5月30日</v>
      </c>
    </row>
    <row r="17" spans="1:21">
      <c r="A17" s="2987" t="s">
        <v>2648</v>
      </c>
      <c r="B17" s="2438" t="s">
        <v>1392</v>
      </c>
      <c r="C17" s="2986"/>
      <c r="D17" s="3823">
        <v>59686</v>
      </c>
      <c r="E17" s="3823">
        <v>63339</v>
      </c>
      <c r="F17" s="2986"/>
      <c r="G17" s="2986"/>
      <c r="H17" s="2986">
        <f>E17</f>
        <v>63339</v>
      </c>
      <c r="I17" s="2986">
        <f>E17</f>
        <v>63339</v>
      </c>
      <c r="J17" s="2508"/>
      <c r="K17" s="2486" t="str">
        <f>CONCATENATE(K16,L16,M16,N16,O16,P16,Q16,R16,S16,T16,,U16)</f>
        <v>商业2063年5月30日、办公2073年5月30日工业2073年5月30日、公共服务2073年5月30日</v>
      </c>
      <c r="L17" s="2487"/>
      <c r="M17" s="2487"/>
      <c r="N17" s="2488"/>
      <c r="O17" s="2489"/>
      <c r="P17" s="2488"/>
      <c r="Q17" s="2488"/>
      <c r="R17" s="2488"/>
      <c r="S17" s="2488"/>
      <c r="T17" s="2488"/>
      <c r="U17" s="2488"/>
    </row>
    <row r="18" spans="1:21">
      <c r="A18" s="1391"/>
      <c r="B18" s="2438" t="s">
        <v>1393</v>
      </c>
      <c r="C18" s="1321"/>
      <c r="D18" s="1321">
        <v>40</v>
      </c>
      <c r="E18" s="1321">
        <v>50</v>
      </c>
      <c r="F18" s="1321"/>
      <c r="G18" s="1321"/>
      <c r="H18" s="1321">
        <v>50</v>
      </c>
      <c r="I18" s="1321">
        <v>50</v>
      </c>
      <c r="J18" s="2508"/>
      <c r="K18" s="2491"/>
      <c r="L18" s="2487"/>
      <c r="M18" s="2487"/>
      <c r="N18" s="2488"/>
      <c r="O18" s="2489"/>
      <c r="P18" s="2488"/>
      <c r="Q18" s="2488"/>
      <c r="R18" s="2488"/>
      <c r="S18" s="2488"/>
      <c r="T18" s="2488"/>
      <c r="U18" s="2488"/>
    </row>
    <row r="19" spans="1:21">
      <c r="A19" s="1391"/>
      <c r="B19" s="1302" t="s">
        <v>1394</v>
      </c>
      <c r="C19" s="1386" t="str">
        <f>IF(A17="出让",IF(C17="","",ROUNDDOWN(MIN((C17-$D$3)/365,C18),2)),C18)</f>
        <v/>
      </c>
      <c r="D19" s="1386">
        <f>IF(A17="出让",IF(D17="","",ROUNDDOWN(MIN((D17-$D$3)/365,D18),2)),D18)</f>
        <v>40</v>
      </c>
      <c r="E19" s="1322">
        <f>IF(A17="出让",IF(E17="","",ROUNDDOWN(MIN((E17-$D$3)/365,E18),2)),E18)</f>
        <v>50</v>
      </c>
      <c r="F19" s="1322" t="str">
        <f>IF(A17="出让",IF(F17="","",ROUNDDOWN(MIN((F17-$D$3)/365,F18),2)),F18)</f>
        <v/>
      </c>
      <c r="G19" s="1322" t="str">
        <f>IF(A17="出让",IF(G17="","",ROUNDDOWN(MIN((G17-$D$3)/365,G18),2)),G18)</f>
        <v/>
      </c>
      <c r="H19" s="1322">
        <f>IF(A17="出让",IF(H17="","",ROUNDDOWN(MIN((H17-$D$3)/365,H18),2)),H18)</f>
        <v>50</v>
      </c>
      <c r="I19" s="1322">
        <f>IF(A17="出让",IF(I17="","",ROUNDDOWN(MIN((I17-$D$3)/365,I18),2)),I18)</f>
        <v>50</v>
      </c>
      <c r="J19" s="2508"/>
      <c r="K19" s="2491"/>
      <c r="L19" s="2487"/>
      <c r="M19" s="2487"/>
      <c r="N19" s="2488"/>
      <c r="O19" s="2489"/>
      <c r="P19" s="2488"/>
      <c r="Q19" s="2488"/>
      <c r="R19" s="2488"/>
      <c r="S19" s="2488"/>
      <c r="T19" s="2488"/>
      <c r="U19" s="2488"/>
    </row>
    <row r="20" spans="1:21">
      <c r="A20" s="1411"/>
      <c r="B20" s="1412"/>
      <c r="C20" s="1413" t="s">
        <v>1497</v>
      </c>
      <c r="D20" s="4020"/>
      <c r="E20" s="4021"/>
      <c r="F20" s="4021"/>
      <c r="G20" s="4021"/>
      <c r="H20" s="4021"/>
      <c r="I20" s="4022"/>
      <c r="J20" s="2508"/>
      <c r="K20" s="2491"/>
      <c r="L20" s="2487"/>
      <c r="M20" s="2487"/>
      <c r="N20" s="2488"/>
      <c r="O20" s="2489"/>
      <c r="P20" s="2488"/>
      <c r="Q20" s="2488"/>
      <c r="R20" s="2488"/>
      <c r="S20" s="2488"/>
      <c r="T20" s="2488"/>
      <c r="U20" s="2488"/>
    </row>
    <row r="21" spans="1:21">
      <c r="A21" s="1391" t="s">
        <v>1395</v>
      </c>
      <c r="B21" s="1392" t="s">
        <v>1396</v>
      </c>
      <c r="C21" s="1387">
        <f>'数据-汇总表'!E3</f>
        <v>29082.55</v>
      </c>
      <c r="D21" s="1388" t="s">
        <v>1397</v>
      </c>
      <c r="E21" s="4010" t="s">
        <v>1435</v>
      </c>
      <c r="F21" s="4011"/>
      <c r="G21" s="4011"/>
      <c r="H21" s="4011"/>
      <c r="I21" s="4012"/>
      <c r="J21" s="2508"/>
      <c r="K21" s="2491"/>
      <c r="L21" s="2487"/>
      <c r="M21" s="2487"/>
      <c r="N21" s="2488"/>
      <c r="O21" s="2489"/>
      <c r="P21" s="2488"/>
      <c r="Q21" s="2488"/>
      <c r="R21" s="2488"/>
      <c r="S21" s="2488"/>
      <c r="T21" s="2488"/>
      <c r="U21" s="2488"/>
    </row>
    <row r="22" spans="1:21">
      <c r="A22" s="2250" t="s">
        <v>877</v>
      </c>
      <c r="B22" s="1303" t="s">
        <v>1398</v>
      </c>
      <c r="C22" s="1323">
        <f>'数据-汇总表'!D3</f>
        <v>12128</v>
      </c>
      <c r="D22" s="1324" t="s">
        <v>1397</v>
      </c>
      <c r="E22" s="4010" t="s">
        <v>2073</v>
      </c>
      <c r="F22" s="4011"/>
      <c r="G22" s="4011"/>
      <c r="H22" s="4011"/>
      <c r="I22" s="4012"/>
      <c r="J22" s="2508"/>
      <c r="K22" s="2491"/>
      <c r="L22" s="2487"/>
      <c r="M22" s="2487"/>
      <c r="N22" s="2488"/>
      <c r="O22" s="2489"/>
      <c r="P22" s="2488"/>
      <c r="Q22" s="2488"/>
      <c r="R22" s="2488"/>
      <c r="S22" s="2488"/>
      <c r="T22" s="2488"/>
      <c r="U22" s="2488"/>
    </row>
    <row r="23" spans="1:21" ht="29.25" thickBot="1">
      <c r="A23" s="1393" t="s">
        <v>1399</v>
      </c>
      <c r="B23" s="1334" t="s">
        <v>1400</v>
      </c>
      <c r="C23" s="1335"/>
      <c r="D23" s="1336" t="s">
        <v>1401</v>
      </c>
      <c r="E23" s="1337"/>
      <c r="F23" s="1338" t="str">
        <f>IF(AND(C23="是",E23="否"),"是否提供他项权证或相关说明","")</f>
        <v/>
      </c>
      <c r="G23" s="1339"/>
      <c r="H23" s="2508"/>
      <c r="I23" s="2512"/>
      <c r="J23" s="2508"/>
      <c r="K23" s="2491"/>
      <c r="L23" s="2487"/>
      <c r="M23" s="2487"/>
      <c r="N23" s="2488"/>
      <c r="O23" s="2489"/>
      <c r="P23" s="2488"/>
      <c r="Q23" s="2488"/>
      <c r="R23" s="2488"/>
      <c r="S23" s="2488"/>
      <c r="T23" s="2488"/>
      <c r="U23" s="2488"/>
    </row>
    <row r="24" spans="1:21">
      <c r="A24" s="1378" t="s">
        <v>1402</v>
      </c>
      <c r="B24" s="4013" t="s">
        <v>1403</v>
      </c>
      <c r="C24" s="4014"/>
      <c r="D24" s="4015" t="s">
        <v>1404</v>
      </c>
      <c r="E24" s="4016"/>
      <c r="F24" s="1341" t="s">
        <v>1405</v>
      </c>
      <c r="G24" s="2508"/>
      <c r="H24" s="2508"/>
      <c r="I24" s="2512"/>
      <c r="J24" s="2508"/>
      <c r="K24" s="4001"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6"/>
      <c r="N24" s="2488"/>
      <c r="O24" s="2489"/>
      <c r="P24" s="2488"/>
      <c r="Q24" s="2488"/>
      <c r="R24" s="2488"/>
      <c r="S24" s="2488"/>
      <c r="T24" s="2488"/>
      <c r="U24" s="2488"/>
    </row>
    <row r="25" spans="1:21" ht="28.5">
      <c r="A25" s="1379"/>
      <c r="B25" s="1376" t="s">
        <v>1599</v>
      </c>
      <c r="C25" s="1342" t="s">
        <v>1407</v>
      </c>
      <c r="D25" s="1343"/>
      <c r="E25" s="1344" t="s">
        <v>877</v>
      </c>
      <c r="F25" s="1345"/>
      <c r="G25" s="2508"/>
      <c r="H25" s="2508"/>
      <c r="I25" s="2512"/>
      <c r="J25" s="2508"/>
      <c r="K25" s="4001"/>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6"/>
      <c r="N25" s="2488"/>
      <c r="O25" s="2489"/>
      <c r="P25" s="2488"/>
      <c r="Q25" s="2488"/>
      <c r="R25" s="2488"/>
      <c r="S25" s="2488"/>
      <c r="T25" s="2488"/>
      <c r="U25" s="2488"/>
    </row>
    <row r="26" spans="1:21" ht="29.25" thickBot="1">
      <c r="A26" s="1380"/>
      <c r="B26" s="1377" t="s">
        <v>1408</v>
      </c>
      <c r="C26" s="1342" t="s">
        <v>1600</v>
      </c>
      <c r="D26" s="2509"/>
      <c r="E26" s="2509"/>
      <c r="F26" s="2515"/>
      <c r="G26" s="2508"/>
      <c r="H26" s="2508"/>
      <c r="I26" s="2512"/>
      <c r="J26" s="2508"/>
      <c r="K26" s="4001"/>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6"/>
      <c r="N26" s="2488"/>
      <c r="O26" s="2489"/>
      <c r="P26" s="2488"/>
      <c r="Q26" s="2488"/>
      <c r="R26" s="2488"/>
      <c r="S26" s="2488"/>
      <c r="T26" s="2488"/>
      <c r="U26" s="2488"/>
    </row>
    <row r="27" spans="1:21">
      <c r="A27" s="1383" t="s">
        <v>1409</v>
      </c>
      <c r="B27" s="1381" t="s">
        <v>1410</v>
      </c>
      <c r="C27" s="1346"/>
      <c r="D27" s="2015" t="s">
        <v>1410</v>
      </c>
      <c r="E27" s="1347"/>
      <c r="F27" s="2515"/>
      <c r="G27" s="2508"/>
      <c r="H27" s="2508"/>
      <c r="I27" s="2512"/>
      <c r="J27" s="2508"/>
      <c r="K27" s="2491"/>
      <c r="L27" s="2487"/>
      <c r="M27" s="2487"/>
      <c r="N27" s="2488"/>
      <c r="O27" s="2489"/>
      <c r="P27" s="2488"/>
      <c r="Q27" s="2488"/>
      <c r="R27" s="2488"/>
      <c r="S27" s="2488"/>
      <c r="T27" s="2488"/>
      <c r="U27" s="2488"/>
    </row>
    <row r="28" spans="1:21">
      <c r="A28" s="1384"/>
      <c r="B28" s="1381" t="s">
        <v>1411</v>
      </c>
      <c r="C28" s="1348"/>
      <c r="D28" s="2016" t="s">
        <v>1411</v>
      </c>
      <c r="E28" s="1349"/>
      <c r="F28" s="2515"/>
      <c r="G28" s="2508"/>
      <c r="H28" s="2508"/>
      <c r="I28" s="2512"/>
      <c r="J28" s="2508"/>
      <c r="K28" s="2491"/>
      <c r="L28" s="2487"/>
      <c r="M28" s="2487"/>
      <c r="N28" s="2488"/>
      <c r="O28" s="2489"/>
      <c r="P28" s="2488"/>
      <c r="Q28" s="2488"/>
      <c r="R28" s="2488"/>
      <c r="S28" s="2488"/>
      <c r="T28" s="2488"/>
      <c r="U28" s="2488"/>
    </row>
    <row r="29" spans="1:21">
      <c r="A29" s="1384"/>
      <c r="B29" s="1381" t="s">
        <v>1412</v>
      </c>
      <c r="C29" s="1348"/>
      <c r="D29" s="2016" t="s">
        <v>1412</v>
      </c>
      <c r="E29" s="1349"/>
      <c r="F29" s="2515"/>
      <c r="G29" s="2508"/>
      <c r="H29" s="2508"/>
      <c r="I29" s="2512"/>
      <c r="J29" s="2508"/>
      <c r="K29" s="2491"/>
      <c r="L29" s="2487"/>
      <c r="M29" s="2487"/>
      <c r="N29" s="2488"/>
      <c r="O29" s="2489"/>
      <c r="P29" s="2488"/>
      <c r="Q29" s="2488"/>
      <c r="R29" s="2488"/>
      <c r="S29" s="2488"/>
      <c r="T29" s="2488"/>
      <c r="U29" s="2488"/>
    </row>
    <row r="30" spans="1:21" ht="15" thickBot="1">
      <c r="A30" s="1385"/>
      <c r="B30" s="1382" t="s">
        <v>1413</v>
      </c>
      <c r="C30" s="1350"/>
      <c r="D30" s="2017" t="s">
        <v>1413</v>
      </c>
      <c r="E30" s="1351"/>
      <c r="F30" s="2516"/>
      <c r="G30" s="2513"/>
      <c r="H30" s="2513"/>
      <c r="I30" s="2514"/>
      <c r="J30" s="2508"/>
      <c r="K30" s="2491"/>
      <c r="L30" s="2487"/>
      <c r="M30" s="2487"/>
      <c r="N30" s="2488"/>
      <c r="O30" s="2489"/>
      <c r="P30" s="2488"/>
      <c r="Q30" s="2488"/>
      <c r="R30" s="2488"/>
      <c r="S30" s="2488"/>
      <c r="T30" s="2488"/>
      <c r="U30" s="2488"/>
    </row>
    <row r="31" spans="1:21" ht="15" thickTop="1">
      <c r="A31" s="3987" t="s">
        <v>1438</v>
      </c>
      <c r="B31" s="1392" t="s">
        <v>1439</v>
      </c>
      <c r="C31" s="4026" t="s">
        <v>3168</v>
      </c>
      <c r="D31" s="4027"/>
      <c r="E31" s="2508"/>
      <c r="F31" s="2508"/>
      <c r="G31" s="2508"/>
      <c r="H31" s="2508"/>
      <c r="I31" s="2512"/>
      <c r="J31" s="2508"/>
      <c r="K31" s="2494"/>
      <c r="L31" s="2488"/>
      <c r="M31" s="2488"/>
      <c r="N31" s="2488"/>
      <c r="O31" s="2488"/>
      <c r="P31" s="2488"/>
      <c r="Q31" s="2488"/>
      <c r="R31" s="2488"/>
      <c r="S31" s="2488"/>
      <c r="T31" s="2488"/>
      <c r="U31" s="2488"/>
    </row>
    <row r="32" spans="1:21">
      <c r="A32" s="3987"/>
      <c r="B32" s="1303" t="s">
        <v>1440</v>
      </c>
      <c r="C32" s="1352"/>
      <c r="D32" s="1353"/>
      <c r="E32" s="2508"/>
      <c r="F32" s="2508"/>
      <c r="G32" s="2508"/>
      <c r="H32" s="2508"/>
      <c r="I32" s="2512"/>
      <c r="J32" s="2508"/>
      <c r="K32" s="2494"/>
      <c r="L32" s="2488"/>
      <c r="M32" s="2488"/>
      <c r="N32" s="2488"/>
      <c r="O32" s="2488"/>
      <c r="P32" s="2488"/>
      <c r="Q32" s="2488"/>
      <c r="R32" s="2488"/>
      <c r="S32" s="2488"/>
      <c r="T32" s="2488"/>
      <c r="U32" s="2488"/>
    </row>
    <row r="33" spans="1:28">
      <c r="A33" s="3987"/>
      <c r="B33" s="1303" t="s">
        <v>1441</v>
      </c>
      <c r="C33" s="1354"/>
      <c r="D33" s="1452"/>
      <c r="E33" s="2508"/>
      <c r="F33" s="2508"/>
      <c r="G33" s="2508"/>
      <c r="H33" s="2508"/>
      <c r="I33" s="2512"/>
      <c r="J33" s="2508"/>
      <c r="K33" s="2494"/>
      <c r="L33" s="2488"/>
      <c r="M33" s="2488"/>
      <c r="N33" s="2488"/>
      <c r="O33" s="2488"/>
      <c r="P33" s="2488"/>
      <c r="Q33" s="2488"/>
      <c r="R33" s="2488"/>
      <c r="S33" s="2488"/>
      <c r="T33" s="2488"/>
      <c r="U33" s="2488"/>
    </row>
    <row r="34" spans="1:28">
      <c r="A34" s="3988"/>
      <c r="B34" s="1303" t="s">
        <v>1442</v>
      </c>
      <c r="C34" s="3989"/>
      <c r="D34" s="3990"/>
      <c r="E34" s="2508"/>
      <c r="F34" s="2508"/>
      <c r="G34" s="2508"/>
      <c r="H34" s="2508"/>
      <c r="I34" s="2512"/>
      <c r="J34" s="2508"/>
      <c r="K34" s="2494"/>
      <c r="L34" s="2488"/>
      <c r="M34" s="2488"/>
      <c r="N34" s="2488"/>
      <c r="O34" s="2488"/>
      <c r="P34" s="2488"/>
      <c r="Q34" s="2488"/>
      <c r="R34" s="2488"/>
      <c r="S34" s="2488"/>
      <c r="T34" s="2488"/>
      <c r="U34" s="2488"/>
    </row>
    <row r="35" spans="1:28">
      <c r="A35" s="3991" t="s">
        <v>785</v>
      </c>
      <c r="B35" s="1355" t="s">
        <v>3169</v>
      </c>
      <c r="C35" s="1401" t="str">
        <f>IF(B35="场地平整","——","具体情况：")</f>
        <v>——</v>
      </c>
      <c r="D35" s="3993"/>
      <c r="E35" s="3994"/>
      <c r="F35" s="3994"/>
      <c r="G35" s="3994"/>
      <c r="H35" s="3994"/>
      <c r="I35" s="3995"/>
      <c r="J35" s="2508"/>
      <c r="K35" s="2495"/>
      <c r="L35" s="2487"/>
      <c r="M35" s="2487"/>
      <c r="N35" s="2488"/>
      <c r="O35" s="2489"/>
      <c r="P35" s="2488"/>
      <c r="Q35" s="2488"/>
      <c r="R35" s="2488"/>
      <c r="S35" s="2488"/>
      <c r="T35" s="2488"/>
      <c r="U35" s="2488"/>
    </row>
    <row r="36" spans="1:28">
      <c r="A36" s="3987"/>
      <c r="B36" s="3996" t="s">
        <v>1491</v>
      </c>
      <c r="C36" s="3997"/>
      <c r="D36" s="1417" t="s">
        <v>2679</v>
      </c>
      <c r="E36" s="3998"/>
      <c r="F36" s="3998"/>
      <c r="G36" s="1324" t="str">
        <f>IF(B35="场地未平整","估价结果处理","")</f>
        <v/>
      </c>
      <c r="H36" s="3999"/>
      <c r="I36" s="3999"/>
      <c r="J36" s="2508"/>
      <c r="K36" s="2495"/>
      <c r="L36" s="2487"/>
      <c r="M36" s="2487"/>
      <c r="N36" s="2488"/>
      <c r="O36" s="2489"/>
      <c r="P36" s="2488"/>
      <c r="Q36" s="2488"/>
      <c r="R36" s="2488"/>
      <c r="S36" s="2488"/>
      <c r="T36" s="2488"/>
      <c r="U36" s="2488"/>
    </row>
    <row r="37" spans="1:28" ht="28.5">
      <c r="A37" s="3987"/>
      <c r="B37" s="4017" t="s">
        <v>786</v>
      </c>
      <c r="C37" s="1357" t="s">
        <v>787</v>
      </c>
      <c r="D37" s="1358"/>
      <c r="E37" s="1359"/>
      <c r="F37" s="2508"/>
      <c r="G37" s="2508"/>
      <c r="H37" s="2508"/>
      <c r="I37" s="2512"/>
      <c r="J37" s="2508"/>
      <c r="K37" s="2495"/>
      <c r="L37" s="2488"/>
      <c r="M37" s="2488"/>
      <c r="N37" s="2488"/>
      <c r="O37" s="2488"/>
      <c r="P37" s="2488"/>
      <c r="Q37" s="2488"/>
      <c r="R37" s="2488"/>
      <c r="S37" s="2488"/>
      <c r="T37" s="2488"/>
      <c r="U37" s="2488"/>
    </row>
    <row r="38" spans="1:28">
      <c r="A38" s="3987"/>
      <c r="B38" s="4018"/>
      <c r="C38" s="1311" t="s">
        <v>788</v>
      </c>
      <c r="D38" s="1416">
        <f>ROUNDDOWN(MIN(('数据-取费表'!$B$2-D37)/365,D34),1)</f>
        <v>123.4</v>
      </c>
      <c r="E38" s="1360" t="s">
        <v>789</v>
      </c>
      <c r="F38" s="2508"/>
      <c r="G38" s="2508"/>
      <c r="H38" s="2508"/>
      <c r="I38" s="2512"/>
      <c r="J38" s="2508"/>
      <c r="K38" s="2495"/>
      <c r="L38" s="2488"/>
      <c r="M38" s="2488"/>
      <c r="N38" s="2488"/>
      <c r="O38" s="2488"/>
      <c r="P38" s="2488"/>
      <c r="Q38" s="2488"/>
      <c r="R38" s="2488"/>
      <c r="S38" s="2488"/>
      <c r="T38" s="2488"/>
      <c r="U38" s="2488"/>
    </row>
    <row r="39" spans="1:28">
      <c r="A39" s="3988"/>
      <c r="B39" s="4019"/>
      <c r="C39" s="1331" t="str">
        <f>IF(D38&lt;1,"不存在土地闲置",IF(B35="宗地内已开工建设","已开工，不存在土地闲置","估价对象已涉嫌土地闲置"))</f>
        <v>估价对象已涉嫌土地闲置</v>
      </c>
      <c r="D39" s="1361"/>
      <c r="E39" s="1362"/>
      <c r="F39" s="2508"/>
      <c r="G39" s="2508"/>
      <c r="H39" s="2508"/>
      <c r="I39" s="2512"/>
      <c r="J39" s="2508"/>
      <c r="K39" s="2491"/>
      <c r="L39" s="2487"/>
      <c r="M39" s="2487"/>
      <c r="N39" s="2488"/>
      <c r="O39" s="2489"/>
      <c r="P39" s="2488"/>
      <c r="Q39" s="2488"/>
      <c r="R39" s="2488"/>
      <c r="S39" s="2488"/>
      <c r="T39" s="2488"/>
      <c r="U39" s="2488"/>
    </row>
    <row r="40" spans="1:28">
      <c r="A40" s="1324" t="s">
        <v>1414</v>
      </c>
      <c r="B40" s="1325" t="s">
        <v>2672</v>
      </c>
      <c r="C40" s="1325" t="s">
        <v>2673</v>
      </c>
      <c r="D40" s="1325" t="s">
        <v>2674</v>
      </c>
      <c r="E40" s="1325" t="s">
        <v>2675</v>
      </c>
      <c r="F40" s="1325" t="s">
        <v>2676</v>
      </c>
      <c r="G40" s="1325" t="s">
        <v>2677</v>
      </c>
      <c r="H40" s="1325" t="s">
        <v>2678</v>
      </c>
      <c r="I40" s="2512"/>
      <c r="J40" s="2508"/>
      <c r="K40" s="2457">
        <f>COUNTIF(B40:H40,"——")</f>
        <v>0</v>
      </c>
      <c r="L40" s="1333" t="s">
        <v>1415</v>
      </c>
      <c r="M40" s="1330" t="s">
        <v>1416</v>
      </c>
      <c r="N40" s="1330" t="s">
        <v>1417</v>
      </c>
      <c r="O40" s="1330" t="s">
        <v>1418</v>
      </c>
      <c r="P40" s="1330" t="s">
        <v>1419</v>
      </c>
      <c r="Q40" s="1330" t="s">
        <v>1420</v>
      </c>
      <c r="R40" s="1330" t="s">
        <v>1421</v>
      </c>
      <c r="S40" s="4000" t="s">
        <v>1422</v>
      </c>
      <c r="T40" s="1364" t="str">
        <f>NUMBERSTRING(7-K40,1)&amp;"通"</f>
        <v>七通</v>
      </c>
      <c r="U40" s="2488"/>
    </row>
    <row r="41" spans="1:28">
      <c r="A41" s="1305"/>
      <c r="B41" s="3992" t="s">
        <v>1250</v>
      </c>
      <c r="C41" s="3992"/>
      <c r="D41" s="3992"/>
      <c r="E41" s="3992"/>
      <c r="F41" s="1365">
        <f>C10</f>
        <v>0</v>
      </c>
      <c r="G41" s="2508"/>
      <c r="H41" s="2508"/>
      <c r="I41" s="2512"/>
      <c r="J41" s="2508"/>
      <c r="K41" s="1333"/>
      <c r="L41" s="1330" t="str">
        <f>B40</f>
        <v>通路</v>
      </c>
      <c r="M41" s="1366" t="str">
        <f>B40&amp;"、"&amp;C40</f>
        <v>通路、通电</v>
      </c>
      <c r="N41" s="1367" t="str">
        <f>B40&amp;"、"&amp;C40&amp;"、"&amp;D40</f>
        <v>通路、通电、通讯</v>
      </c>
      <c r="O41" s="1367" t="str">
        <f>B40&amp;"、"&amp;C40&amp;"、"&amp;D40&amp;"、"&amp;E40</f>
        <v>通路、通电、通讯、通上水</v>
      </c>
      <c r="P41" s="1367" t="str">
        <f>B40&amp;"、"&amp;C40&amp;"、"&amp;D40&amp;"、"&amp;E40&amp;"、"&amp;F40</f>
        <v>通路、通电、通讯、通上水、通下水</v>
      </c>
      <c r="Q41" s="1367" t="str">
        <f>B40&amp;"、"&amp;C40&amp;"、"&amp;D40&amp;"、"&amp;E40&amp;"、"&amp;F40&amp;"、"&amp;G40</f>
        <v>通路、通电、通讯、通上水、通下水、通热</v>
      </c>
      <c r="R41" s="1367" t="str">
        <f>B40&amp;"、"&amp;C40&amp;"、"&amp;D40&amp;"、"&amp;E40&amp;"、"&amp;F40&amp;"、"&amp;G40&amp;"、"&amp;H40</f>
        <v>通路、通电、通讯、通上水、通下水、通热、燃气</v>
      </c>
      <c r="S41" s="4000"/>
      <c r="T41" s="1366" t="str">
        <f>IF(T40="一通",L41,IF(T40="二通",M41,IF(T40="三通",N41,IF(T40="四通",O41,IF(T40="五通",P41,IF(T40="六通",Q41,R41))))))</f>
        <v>通路、通电、通讯、通上水、通下水、通热、燃气</v>
      </c>
      <c r="U41" s="2488"/>
    </row>
    <row r="42" spans="1:28">
      <c r="A42" s="1368"/>
      <c r="B42" s="1394" t="s">
        <v>1341</v>
      </c>
      <c r="C42" s="1394" t="s">
        <v>1342</v>
      </c>
      <c r="D42" s="1394"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70"/>
      <c r="C43" s="1370" t="s">
        <v>1154</v>
      </c>
      <c r="D43" s="1370"/>
      <c r="E43" s="1370" t="s">
        <v>1154</v>
      </c>
      <c r="F43" s="1370" t="s">
        <v>1154</v>
      </c>
      <c r="G43" s="2508"/>
      <c r="H43" s="2508"/>
      <c r="I43" s="2512"/>
      <c r="J43" s="2508"/>
      <c r="K43" s="2491"/>
      <c r="L43" s="2487"/>
      <c r="M43" s="2487"/>
      <c r="N43" s="2488"/>
      <c r="O43" s="2489"/>
      <c r="P43" s="2488"/>
      <c r="Q43" s="2488"/>
      <c r="R43" s="2488"/>
      <c r="S43" s="2488"/>
      <c r="T43" s="2488"/>
      <c r="U43" s="2488"/>
    </row>
    <row r="44" spans="1:28">
      <c r="A44" s="2459" t="s">
        <v>1236</v>
      </c>
      <c r="B44" s="1370"/>
      <c r="C44" s="1370" t="s">
        <v>1112</v>
      </c>
      <c r="D44" s="1370"/>
      <c r="E44" s="1370" t="s">
        <v>1112</v>
      </c>
      <c r="F44" s="1370" t="s">
        <v>1112</v>
      </c>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8"/>
      <c r="B46" s="1328"/>
      <c r="C46" s="1328"/>
      <c r="D46" s="1328"/>
      <c r="E46" s="1328"/>
      <c r="F46" s="1328"/>
      <c r="G46" s="1328"/>
      <c r="H46" s="1328"/>
      <c r="I46" s="1340"/>
      <c r="J46" s="1328"/>
      <c r="K46" s="2491"/>
      <c r="L46" s="2487"/>
      <c r="M46" s="2487"/>
      <c r="N46" s="2488"/>
      <c r="O46" s="2489"/>
      <c r="P46" s="2488"/>
      <c r="Q46" s="2488"/>
      <c r="R46" s="2488"/>
      <c r="S46" s="2488"/>
      <c r="T46" s="2488"/>
      <c r="U46" s="2488"/>
    </row>
    <row r="47" spans="1:28">
      <c r="A47" s="1371" t="s">
        <v>1443</v>
      </c>
      <c r="B47" s="1372"/>
      <c r="C47" s="1362"/>
      <c r="D47" s="1328"/>
      <c r="E47" s="1328"/>
      <c r="F47" s="1328"/>
      <c r="G47" s="1328"/>
      <c r="H47" s="1328"/>
      <c r="I47" s="1329"/>
      <c r="J47" s="1328"/>
      <c r="K47" s="2491"/>
      <c r="L47" s="2487"/>
      <c r="M47" s="2487"/>
      <c r="N47" s="2488"/>
      <c r="O47" s="2489"/>
      <c r="P47" s="2488"/>
      <c r="Q47" s="2488"/>
      <c r="R47" s="2488"/>
      <c r="S47" s="2488"/>
      <c r="T47" s="2488"/>
      <c r="U47" s="2488"/>
    </row>
    <row r="48" spans="1:28" ht="28.5">
      <c r="A48" s="1333" t="s">
        <v>1444</v>
      </c>
      <c r="B48" s="1323" t="s">
        <v>1445</v>
      </c>
      <c r="C48" s="1323" t="s">
        <v>1446</v>
      </c>
      <c r="D48" s="1323" t="s">
        <v>1447</v>
      </c>
      <c r="E48" s="1323" t="s">
        <v>1448</v>
      </c>
      <c r="F48" s="1323" t="s">
        <v>1449</v>
      </c>
      <c r="G48" s="1323" t="s">
        <v>1450</v>
      </c>
      <c r="H48" s="1323" t="s">
        <v>1451</v>
      </c>
      <c r="I48" s="1323" t="s">
        <v>1452</v>
      </c>
      <c r="J48" s="1400"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30"/>
      <c r="B49" s="1363"/>
      <c r="C49" s="1363"/>
      <c r="D49" s="1363"/>
      <c r="E49" s="1363"/>
      <c r="F49" s="1363"/>
      <c r="G49" s="1363"/>
      <c r="H49" s="1363"/>
      <c r="I49" s="1363"/>
      <c r="J49" s="1453"/>
      <c r="K49" s="2503"/>
      <c r="L49" s="2503"/>
      <c r="M49" s="1369"/>
      <c r="N49" s="1369"/>
      <c r="O49" s="1369"/>
      <c r="P49" s="1369"/>
      <c r="Q49" s="1369"/>
      <c r="R49" s="1369"/>
      <c r="S49" s="2488"/>
      <c r="T49" s="2488"/>
      <c r="U49" s="2488"/>
    </row>
    <row r="50" spans="1:21">
      <c r="A50" s="1330"/>
      <c r="B50" s="1330"/>
      <c r="C50" s="1363"/>
      <c r="D50" s="1363"/>
      <c r="E50" s="1363"/>
      <c r="F50" s="1363"/>
      <c r="G50" s="1363"/>
      <c r="H50" s="1363"/>
      <c r="I50" s="1363"/>
      <c r="J50" s="1453"/>
      <c r="K50" s="2503"/>
      <c r="L50" s="2503"/>
      <c r="M50" s="1369"/>
      <c r="N50" s="1369"/>
      <c r="O50" s="1369"/>
      <c r="P50" s="1369"/>
      <c r="Q50" s="1369"/>
      <c r="R50" s="1369"/>
      <c r="S50" s="2488"/>
      <c r="T50" s="2488"/>
      <c r="U50" s="2488"/>
    </row>
    <row r="51" spans="1:21">
      <c r="A51" s="1330"/>
      <c r="B51" s="1330"/>
      <c r="C51" s="1363"/>
      <c r="D51" s="1363"/>
      <c r="E51" s="1363"/>
      <c r="F51" s="1363"/>
      <c r="G51" s="1363"/>
      <c r="H51" s="1363"/>
      <c r="I51" s="1363"/>
      <c r="J51" s="1453"/>
      <c r="K51" s="2503"/>
      <c r="L51" s="2503"/>
      <c r="M51" s="1369"/>
      <c r="N51" s="1369"/>
      <c r="O51" s="1369"/>
      <c r="P51" s="1369"/>
      <c r="Q51" s="1369"/>
      <c r="R51" s="1369"/>
      <c r="S51" s="2488"/>
      <c r="T51" s="2488"/>
      <c r="U51" s="2488"/>
    </row>
    <row r="52" spans="1:21">
      <c r="A52" s="1330"/>
      <c r="B52" s="1330"/>
      <c r="C52" s="1363"/>
      <c r="D52" s="1363"/>
      <c r="E52" s="1363"/>
      <c r="F52" s="1363"/>
      <c r="G52" s="1363"/>
      <c r="H52" s="1363"/>
      <c r="I52" s="1363"/>
      <c r="J52" s="1453"/>
      <c r="K52" s="2503"/>
      <c r="L52" s="2503"/>
      <c r="M52" s="1369"/>
      <c r="N52" s="1369"/>
      <c r="O52" s="1369"/>
      <c r="P52" s="1369"/>
      <c r="Q52" s="1369"/>
      <c r="R52" s="1369"/>
      <c r="S52" s="2488"/>
      <c r="T52" s="2488"/>
      <c r="U52" s="2488"/>
    </row>
    <row r="53" spans="1:21">
      <c r="A53" s="1330"/>
      <c r="B53" s="1330"/>
      <c r="C53" s="1363"/>
      <c r="D53" s="1363"/>
      <c r="E53" s="1363"/>
      <c r="F53" s="1363"/>
      <c r="G53" s="1363"/>
      <c r="H53" s="1363"/>
      <c r="I53" s="1363"/>
      <c r="J53" s="1453"/>
      <c r="K53" s="2503"/>
      <c r="L53" s="2503"/>
      <c r="M53" s="1369"/>
      <c r="N53" s="1369"/>
      <c r="O53" s="1369"/>
      <c r="P53" s="1369"/>
      <c r="Q53" s="1369"/>
      <c r="R53" s="1369"/>
      <c r="S53" s="2488"/>
      <c r="T53" s="2488"/>
      <c r="U53" s="2488"/>
    </row>
    <row r="54" spans="1:21">
      <c r="A54" s="1330"/>
      <c r="B54" s="1330"/>
      <c r="C54" s="1330"/>
      <c r="D54" s="1330"/>
      <c r="E54" s="1330"/>
      <c r="F54" s="1363"/>
      <c r="G54" s="1330"/>
      <c r="H54" s="1330"/>
      <c r="I54" s="1330"/>
      <c r="J54" s="1454"/>
      <c r="K54" s="2503"/>
      <c r="L54" s="2503"/>
      <c r="M54" s="2503"/>
      <c r="N54" s="2456"/>
      <c r="O54" s="2456"/>
      <c r="P54" s="2456"/>
      <c r="Q54" s="2456"/>
      <c r="R54" s="2456"/>
      <c r="S54" s="2488"/>
      <c r="T54" s="2488"/>
      <c r="U54" s="2488"/>
    </row>
    <row r="55" spans="1:21">
      <c r="A55" s="1330"/>
      <c r="B55" s="1330"/>
      <c r="C55" s="1330"/>
      <c r="D55" s="1330"/>
      <c r="E55" s="1330"/>
      <c r="F55" s="1363"/>
      <c r="G55" s="1330"/>
      <c r="H55" s="1330"/>
      <c r="I55" s="1330"/>
      <c r="J55" s="1454"/>
      <c r="K55" s="2503"/>
      <c r="L55" s="2503"/>
      <c r="M55" s="2503"/>
      <c r="N55" s="2456"/>
      <c r="O55" s="2456"/>
      <c r="P55" s="2456"/>
      <c r="Q55" s="2456"/>
      <c r="R55" s="2456"/>
      <c r="S55" s="2488"/>
      <c r="T55" s="2488"/>
      <c r="U55" s="2488"/>
    </row>
    <row r="56" spans="1:21">
      <c r="A56" s="1330"/>
      <c r="B56" s="1330"/>
      <c r="C56" s="1330"/>
      <c r="D56" s="1330"/>
      <c r="E56" s="1330"/>
      <c r="F56" s="1363"/>
      <c r="G56" s="1330"/>
      <c r="H56" s="1330"/>
      <c r="I56" s="1330"/>
      <c r="J56" s="1454"/>
      <c r="K56" s="2503"/>
      <c r="L56" s="2503"/>
      <c r="M56" s="2503"/>
      <c r="N56" s="2456"/>
      <c r="O56" s="2456"/>
      <c r="P56" s="2456"/>
      <c r="Q56" s="2456"/>
      <c r="R56" s="2456"/>
      <c r="S56" s="2488"/>
      <c r="T56" s="2488"/>
      <c r="U56" s="2488"/>
    </row>
    <row r="57" spans="1:21">
      <c r="A57" s="1330"/>
      <c r="B57" s="1330"/>
      <c r="C57" s="1330"/>
      <c r="D57" s="1330"/>
      <c r="E57" s="1330"/>
      <c r="F57" s="1363"/>
      <c r="G57" s="1330"/>
      <c r="H57" s="1330"/>
      <c r="I57" s="1330"/>
      <c r="J57" s="1454"/>
      <c r="K57" s="2503"/>
      <c r="L57" s="2503"/>
      <c r="M57" s="2503"/>
      <c r="N57" s="2456"/>
      <c r="O57" s="2456"/>
      <c r="P57" s="2456"/>
      <c r="Q57" s="2456"/>
      <c r="R57" s="2456"/>
      <c r="S57" s="2488"/>
      <c r="T57" s="2488"/>
      <c r="U57" s="2488"/>
    </row>
    <row r="58" spans="1:21">
      <c r="A58" s="1330"/>
      <c r="B58" s="1330"/>
      <c r="C58" s="1330"/>
      <c r="D58" s="1330"/>
      <c r="E58" s="1330"/>
      <c r="F58" s="1363"/>
      <c r="G58" s="1330"/>
      <c r="H58" s="1330"/>
      <c r="I58" s="1330"/>
      <c r="J58" s="1454"/>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AJ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70"/>
      <c r="E2" s="844"/>
      <c r="F2" s="39"/>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17" t="s">
        <v>133</v>
      </c>
      <c r="AZ2" s="1831" t="s">
        <v>1607</v>
      </c>
      <c r="BA2" s="1832" t="s">
        <v>1606</v>
      </c>
      <c r="BB2" s="970"/>
      <c r="BC2" s="970"/>
      <c r="BD2" s="970"/>
      <c r="BE2" s="970"/>
      <c r="BF2" s="970"/>
      <c r="BG2" s="970"/>
      <c r="BH2" s="970"/>
      <c r="BI2" s="970"/>
      <c r="BJ2" s="970"/>
      <c r="BK2" s="970"/>
      <c r="BL2" s="970"/>
      <c r="BM2" s="970"/>
      <c r="BN2" s="970"/>
      <c r="BO2" s="970"/>
      <c r="BP2" s="970"/>
      <c r="BQ2" s="970"/>
      <c r="BR2" s="970"/>
      <c r="BS2" s="970"/>
      <c r="BT2" s="970"/>
    </row>
    <row r="3" spans="1:72" s="15" customFormat="1" ht="12.75">
      <c r="A3" s="18">
        <f>面积表!B2</f>
        <v>12128</v>
      </c>
      <c r="B3" s="19">
        <f>IF(C3="否",G5-AT5,G5)</f>
        <v>29082.55</v>
      </c>
      <c r="C3" s="2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21"/>
      <c r="AZ3" s="9"/>
      <c r="BA3" s="1833"/>
      <c r="BB3" s="970"/>
      <c r="BC3" s="970"/>
      <c r="BD3" s="970"/>
      <c r="BE3" s="970"/>
      <c r="BF3" s="970"/>
      <c r="BG3" s="970"/>
      <c r="BH3" s="970"/>
      <c r="BI3" s="970"/>
      <c r="BJ3" s="970"/>
      <c r="BK3" s="970"/>
      <c r="BL3" s="970"/>
      <c r="BM3" s="970"/>
      <c r="BN3" s="970"/>
      <c r="BO3" s="970"/>
      <c r="BP3" s="970"/>
      <c r="BQ3" s="970"/>
      <c r="BR3" s="970"/>
      <c r="BS3" s="970"/>
      <c r="BT3" s="970"/>
    </row>
    <row r="4" spans="1:72" s="22" customFormat="1" ht="13.5" thickBot="1">
      <c r="A4" s="971"/>
      <c r="B4" s="972"/>
      <c r="C4" s="973"/>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4"/>
      <c r="BB4" s="970"/>
      <c r="BC4" s="970"/>
      <c r="BD4" s="970"/>
      <c r="BE4" s="970"/>
      <c r="BF4" s="970"/>
      <c r="BG4" s="970"/>
      <c r="BH4" s="970"/>
      <c r="BI4" s="970"/>
      <c r="BJ4" s="970"/>
      <c r="BK4" s="970"/>
      <c r="BL4" s="970"/>
      <c r="BM4" s="970"/>
      <c r="BN4" s="970"/>
      <c r="BO4" s="970"/>
      <c r="BP4" s="970"/>
      <c r="BQ4" s="970"/>
      <c r="BR4" s="970"/>
      <c r="BS4" s="970"/>
      <c r="BT4" s="970"/>
    </row>
    <row r="5" spans="1:72" s="15" customFormat="1" ht="12.75">
      <c r="A5" s="23" t="s">
        <v>134</v>
      </c>
      <c r="B5" s="830"/>
      <c r="C5" s="830"/>
      <c r="D5" s="837"/>
      <c r="E5" s="24" t="s">
        <v>0</v>
      </c>
      <c r="F5" s="24">
        <f>SUM(F13:F572)</f>
        <v>0</v>
      </c>
      <c r="G5" s="24">
        <f>SUM(G13:G572)</f>
        <v>29082.55</v>
      </c>
      <c r="H5" s="24">
        <f t="shared" ref="H5:AT5" si="0">SUM(H13:H641)</f>
        <v>29082.55</v>
      </c>
      <c r="I5" s="24">
        <f t="shared" si="0"/>
        <v>29082.55</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9"/>
      <c r="AV5" s="23" t="s">
        <v>134</v>
      </c>
      <c r="AW5" s="830"/>
      <c r="AX5" s="830"/>
      <c r="AY5" s="25" t="s">
        <v>2</v>
      </c>
      <c r="AZ5" s="26">
        <f t="shared" ref="AZ5:BT5" si="1">SUM(AZ13:AZ641)</f>
        <v>29082.55</v>
      </c>
      <c r="BA5" s="26">
        <f t="shared" si="1"/>
        <v>29082.55</v>
      </c>
      <c r="BB5" s="26">
        <f t="shared" si="1"/>
        <v>29082.55</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12128</v>
      </c>
      <c r="F6" s="24" t="s">
        <v>0</v>
      </c>
      <c r="G6" s="24" t="s">
        <v>1</v>
      </c>
      <c r="H6" s="30">
        <f>SUMIF(I$12:AB$12,"总值",I6:AB6)</f>
        <v>12128</v>
      </c>
      <c r="I6" s="24">
        <f t="shared" ref="I6:AB6" si="2">ROUND($A$3*I5/$B$3,2)</f>
        <v>12128</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12128</v>
      </c>
      <c r="AZ6" s="24" t="s">
        <v>2</v>
      </c>
      <c r="BA6" s="24">
        <f>ROUND($AY$6*BA5/$AZ$5,2)</f>
        <v>12128</v>
      </c>
      <c r="BB6" s="24">
        <f>ROUND($AY$6*BB5/$AZ$5,2)</f>
        <v>12128</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9"/>
      <c r="AU7" s="37" t="s">
        <v>143</v>
      </c>
      <c r="AV7" s="38" t="s">
        <v>144</v>
      </c>
      <c r="AW7" s="39" t="s">
        <v>145</v>
      </c>
      <c r="AX7" s="38" t="s">
        <v>146</v>
      </c>
      <c r="AY7" s="83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2"/>
      <c r="K8" s="842"/>
      <c r="L8" s="842"/>
      <c r="M8" s="842"/>
      <c r="N8" s="842"/>
      <c r="O8" s="842"/>
      <c r="P8" s="842"/>
      <c r="Q8" s="842"/>
      <c r="R8" s="842"/>
      <c r="S8" s="842"/>
      <c r="T8" s="842"/>
      <c r="U8" s="842"/>
      <c r="V8" s="46"/>
      <c r="W8" s="842"/>
      <c r="X8" s="842"/>
      <c r="Y8" s="842"/>
      <c r="Z8" s="842"/>
      <c r="AA8" s="46"/>
      <c r="AB8" s="47"/>
      <c r="AC8" s="48" t="s">
        <v>150</v>
      </c>
      <c r="AD8" s="49"/>
      <c r="AE8" s="40"/>
      <c r="AF8" s="842"/>
      <c r="AG8" s="842"/>
      <c r="AH8" s="842"/>
      <c r="AI8" s="842"/>
      <c r="AJ8" s="842"/>
      <c r="AK8" s="842"/>
      <c r="AL8" s="842"/>
      <c r="AM8" s="842"/>
      <c r="AN8" s="842"/>
      <c r="AO8" s="842"/>
      <c r="AP8" s="842"/>
      <c r="AQ8" s="842"/>
      <c r="AR8" s="842"/>
      <c r="AS8" s="1810"/>
      <c r="AT8" s="1822" t="s">
        <v>793</v>
      </c>
      <c r="AU8" s="42" t="s">
        <v>151</v>
      </c>
      <c r="AV8" s="52"/>
      <c r="AW8" s="844"/>
      <c r="AX8" s="52"/>
      <c r="AY8" s="39" t="s">
        <v>152</v>
      </c>
      <c r="AZ8" s="841" t="s">
        <v>153</v>
      </c>
      <c r="BA8" s="842"/>
      <c r="BB8" s="842"/>
      <c r="BC8" s="842"/>
      <c r="BD8" s="842"/>
      <c r="BE8" s="842"/>
      <c r="BF8" s="842"/>
      <c r="BG8" s="842"/>
      <c r="BH8" s="842"/>
      <c r="BI8" s="842"/>
      <c r="BJ8" s="842"/>
      <c r="BK8" s="842"/>
      <c r="BL8" s="842"/>
      <c r="BM8" s="842"/>
      <c r="BN8" s="842"/>
      <c r="BO8" s="842"/>
      <c r="BP8" s="842"/>
      <c r="BQ8" s="842"/>
      <c r="BR8" s="842"/>
      <c r="BS8" s="842"/>
      <c r="BT8" s="53"/>
    </row>
    <row r="9" spans="1:72" s="54" customFormat="1" ht="12.75">
      <c r="A9" s="42"/>
      <c r="B9" s="42"/>
      <c r="C9" s="42"/>
      <c r="D9" s="42"/>
      <c r="E9" s="42"/>
      <c r="F9" s="42"/>
      <c r="G9" s="52"/>
      <c r="H9" s="55" t="s">
        <v>154</v>
      </c>
      <c r="I9" s="2202" t="s">
        <v>3171</v>
      </c>
      <c r="J9" s="48"/>
      <c r="K9" s="2202"/>
      <c r="L9" s="48"/>
      <c r="M9" s="2202"/>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4" t="s">
        <v>157</v>
      </c>
      <c r="AQ9" s="966"/>
      <c r="AR9" s="964" t="s">
        <v>158</v>
      </c>
      <c r="AS9" s="1823"/>
      <c r="AT9" s="42"/>
      <c r="AU9" s="42" t="s">
        <v>160</v>
      </c>
      <c r="AV9" s="52"/>
      <c r="AW9" s="844"/>
      <c r="AX9" s="52"/>
      <c r="AY9" s="59"/>
      <c r="AZ9" s="59" t="s">
        <v>161</v>
      </c>
      <c r="BA9" s="60" t="s">
        <v>162</v>
      </c>
      <c r="BB9" s="61"/>
      <c r="BC9" s="836"/>
      <c r="BD9" s="836"/>
      <c r="BE9" s="836"/>
      <c r="BF9" s="836"/>
      <c r="BG9" s="836"/>
      <c r="BH9" s="836"/>
      <c r="BI9" s="836"/>
      <c r="BJ9" s="836"/>
      <c r="BK9" s="62"/>
      <c r="BL9" s="23" t="s">
        <v>163</v>
      </c>
      <c r="BM9" s="842"/>
      <c r="BN9" s="45"/>
      <c r="BO9" s="842"/>
      <c r="BP9" s="842"/>
      <c r="BQ9" s="842"/>
      <c r="BR9" s="842"/>
      <c r="BS9" s="842"/>
      <c r="BT9" s="53"/>
    </row>
    <row r="10" spans="1:72" s="54" customFormat="1" ht="12.75">
      <c r="A10" s="42"/>
      <c r="B10" s="42"/>
      <c r="C10" s="42"/>
      <c r="D10" s="42"/>
      <c r="E10" s="42"/>
      <c r="F10" s="42"/>
      <c r="G10" s="52"/>
      <c r="H10" s="59"/>
      <c r="I10" s="2202" t="s">
        <v>2643</v>
      </c>
      <c r="J10" s="48"/>
      <c r="K10" s="2204"/>
      <c r="L10" s="48"/>
      <c r="M10" s="2204"/>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4" t="s">
        <v>165</v>
      </c>
      <c r="AQ10" s="966"/>
      <c r="AR10" s="964" t="s">
        <v>165</v>
      </c>
      <c r="AS10" s="966"/>
      <c r="AT10" s="42"/>
      <c r="AU10" s="42"/>
      <c r="AV10" s="52"/>
      <c r="AW10" s="84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841" t="str">
        <f>AD9</f>
        <v>地上</v>
      </c>
      <c r="BN10" s="66" t="str">
        <f>AF9</f>
        <v>地下</v>
      </c>
      <c r="BO10" s="841" t="str">
        <f>AH9</f>
        <v>地上</v>
      </c>
      <c r="BP10" s="66" t="str">
        <f>AJ9</f>
        <v>地下</v>
      </c>
      <c r="BQ10" s="841" t="str">
        <f>AL9</f>
        <v>地上</v>
      </c>
      <c r="BR10" s="66" t="str">
        <f>AN9</f>
        <v>地下</v>
      </c>
      <c r="BS10" s="841" t="str">
        <f>AP9</f>
        <v>地上</v>
      </c>
      <c r="BT10" s="839"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3"/>
      <c r="AF11" s="1828" t="s">
        <v>1604</v>
      </c>
      <c r="AG11" s="843"/>
      <c r="AH11" s="1828" t="s">
        <v>1603</v>
      </c>
      <c r="AI11" s="1829"/>
      <c r="AJ11" s="1828" t="s">
        <v>1603</v>
      </c>
      <c r="AK11" s="1827"/>
      <c r="AL11" s="841"/>
      <c r="AM11" s="843"/>
      <c r="AN11" s="841"/>
      <c r="AO11" s="843"/>
      <c r="AP11" s="965"/>
      <c r="AQ11" s="967"/>
      <c r="AR11" s="965"/>
      <c r="AS11" s="967"/>
      <c r="AT11" s="844"/>
      <c r="AU11" s="42"/>
      <c r="AV11" s="52"/>
      <c r="AW11" s="844"/>
      <c r="AX11" s="52"/>
      <c r="AY11" s="59"/>
      <c r="AZ11" s="59"/>
      <c r="BA11" s="59"/>
      <c r="BB11" s="47" t="str">
        <f>I10</f>
        <v>公共服务</v>
      </c>
      <c r="BC11" s="47">
        <f>K10</f>
        <v>0</v>
      </c>
      <c r="BD11" s="47">
        <f>M10</f>
        <v>0</v>
      </c>
      <c r="BE11" s="47">
        <f>O10</f>
        <v>0</v>
      </c>
      <c r="BF11" s="47">
        <f>Q10</f>
        <v>0</v>
      </c>
      <c r="BG11" s="47">
        <f>S10</f>
        <v>0</v>
      </c>
      <c r="BH11" s="47">
        <f>U10</f>
        <v>0</v>
      </c>
      <c r="BI11" s="47">
        <f>W10</f>
        <v>0</v>
      </c>
      <c r="BJ11" s="47">
        <f>Y10</f>
        <v>0</v>
      </c>
      <c r="BK11" s="47">
        <f>AA10</f>
        <v>0</v>
      </c>
      <c r="BL11" s="52"/>
      <c r="BM11" s="841" t="str">
        <f>AD10</f>
        <v>公共配套设施</v>
      </c>
      <c r="BN11" s="841" t="str">
        <f>AF10</f>
        <v>公共配套设施</v>
      </c>
      <c r="BO11" s="50" t="str">
        <f>AH10</f>
        <v>物业管理用房</v>
      </c>
      <c r="BP11" s="50" t="str">
        <f>AJ10</f>
        <v>物业管理用房</v>
      </c>
      <c r="BQ11" s="50" t="str">
        <f>AL10</f>
        <v>设备及其他</v>
      </c>
      <c r="BR11" s="50" t="str">
        <f>AN10</f>
        <v>设备及其他</v>
      </c>
      <c r="BS11" s="51" t="str">
        <f>AP10</f>
        <v>未注明</v>
      </c>
      <c r="BT11" s="838" t="str">
        <f>AR10</f>
        <v>未注明</v>
      </c>
    </row>
    <row r="12" spans="1:72" s="15" customFormat="1" ht="12.75">
      <c r="A12" s="69"/>
      <c r="B12" s="69"/>
      <c r="C12" s="69"/>
      <c r="D12" s="69"/>
      <c r="E12" s="69"/>
      <c r="F12" s="69"/>
      <c r="G12" s="70"/>
      <c r="H12" s="71"/>
      <c r="I12" s="83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9" t="s">
        <v>167</v>
      </c>
      <c r="W12" s="14" t="s">
        <v>166</v>
      </c>
      <c r="X12" s="14" t="s">
        <v>167</v>
      </c>
      <c r="Y12" s="14" t="s">
        <v>166</v>
      </c>
      <c r="Z12" s="14" t="s">
        <v>167</v>
      </c>
      <c r="AA12" s="14" t="s">
        <v>166</v>
      </c>
      <c r="AB12" s="14" t="s">
        <v>167</v>
      </c>
      <c r="AC12" s="72"/>
      <c r="AD12" s="837" t="s">
        <v>166</v>
      </c>
      <c r="AE12" s="14" t="s">
        <v>167</v>
      </c>
      <c r="AF12" s="14" t="s">
        <v>166</v>
      </c>
      <c r="AG12" s="14" t="s">
        <v>167</v>
      </c>
      <c r="AH12" s="14" t="s">
        <v>166</v>
      </c>
      <c r="AI12" s="14" t="s">
        <v>167</v>
      </c>
      <c r="AJ12" s="14" t="s">
        <v>166</v>
      </c>
      <c r="AK12" s="14" t="s">
        <v>167</v>
      </c>
      <c r="AL12" s="14" t="s">
        <v>166</v>
      </c>
      <c r="AM12" s="14" t="s">
        <v>167</v>
      </c>
      <c r="AN12" s="14" t="s">
        <v>166</v>
      </c>
      <c r="AO12" s="14" t="s">
        <v>167</v>
      </c>
      <c r="AP12" s="963" t="s">
        <v>166</v>
      </c>
      <c r="AQ12" s="963" t="s">
        <v>167</v>
      </c>
      <c r="AR12" s="969" t="s">
        <v>166</v>
      </c>
      <c r="AS12" s="96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1" t="str">
        <f>AD11</f>
        <v>（住宅）</v>
      </c>
      <c r="BN12" s="841" t="str">
        <f>AF11</f>
        <v>（住宅）</v>
      </c>
      <c r="BO12" s="50" t="str">
        <f>AH11</f>
        <v>（住宅、计出让金）</v>
      </c>
      <c r="BP12" s="50" t="str">
        <f>AJ11</f>
        <v>（住宅、计出让金）</v>
      </c>
      <c r="BQ12" s="50">
        <f>AL11</f>
        <v>0</v>
      </c>
      <c r="BR12" s="50">
        <f>AN11</f>
        <v>0</v>
      </c>
      <c r="BS12" s="51">
        <f>AP11</f>
        <v>0</v>
      </c>
      <c r="BT12" s="838">
        <f>AR11</f>
        <v>0</v>
      </c>
    </row>
    <row r="13" spans="1:72" s="15" customFormat="1" ht="12.75">
      <c r="A13" s="2198"/>
      <c r="B13" s="2198"/>
      <c r="C13" s="2198"/>
      <c r="D13" s="2199" t="s">
        <v>3172</v>
      </c>
      <c r="E13" s="24">
        <f t="shared" ref="E13:E20" si="6">IF($C$3="是",ROUND($A$3*G13/$B$3,2),ROUND($A$3*(G13-AT13)/$B$3,2))</f>
        <v>12128</v>
      </c>
      <c r="F13" s="77"/>
      <c r="G13" s="78">
        <f t="shared" ref="G13:G20" si="7">H13+AC13+AT13</f>
        <v>29082.55</v>
      </c>
      <c r="H13" s="30">
        <f t="shared" ref="H13:H20" si="8">SUMIF(I$12:AB$12,"总值",I13:AB13)</f>
        <v>29082.55</v>
      </c>
      <c r="I13" s="2201">
        <f>面积表!F7</f>
        <v>29082.55</v>
      </c>
      <c r="J13" s="2201"/>
      <c r="K13" s="2201"/>
      <c r="L13" s="2201"/>
      <c r="M13" s="2201"/>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f t="shared" si="10"/>
        <v>0</v>
      </c>
      <c r="AY13" s="837">
        <f t="shared" ref="AY13:AY20" si="11">ROUND($AY$6*AZ13/$AZ$5,2)</f>
        <v>12128</v>
      </c>
      <c r="AZ13" s="24">
        <f t="shared" ref="AZ13:AZ20" si="12">BA13+BL13</f>
        <v>29082.55</v>
      </c>
      <c r="BA13" s="24">
        <f t="shared" ref="BA13:BA20" si="13">SUM(BB13:BK13)</f>
        <v>29082.55</v>
      </c>
      <c r="BB13" s="24">
        <f t="shared" ref="BB13:BB20" si="14">IF($D13="是",I13-J13,0)</f>
        <v>29082.55</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7"/>
      <c r="J18" s="86"/>
      <c r="K18" s="1097"/>
      <c r="L18" s="86"/>
      <c r="M18" s="86"/>
      <c r="N18" s="86"/>
      <c r="O18" s="86"/>
      <c r="P18" s="86"/>
      <c r="Q18" s="86"/>
      <c r="R18" s="86"/>
      <c r="S18" s="86"/>
      <c r="T18" s="86"/>
      <c r="U18" s="86"/>
      <c r="V18" s="86"/>
      <c r="W18" s="86"/>
      <c r="X18" s="86"/>
      <c r="Y18" s="86"/>
      <c r="Z18" s="86"/>
      <c r="AA18" s="86"/>
      <c r="AB18" s="86"/>
      <c r="AC18" s="82">
        <f t="shared" si="9"/>
        <v>0</v>
      </c>
      <c r="AD18" s="87"/>
      <c r="AE18" s="87"/>
      <c r="AF18" s="1097"/>
      <c r="AG18" s="87"/>
      <c r="AH18" s="87"/>
      <c r="AI18" s="87"/>
      <c r="AJ18" s="87"/>
      <c r="AK18" s="87"/>
      <c r="AL18" s="1075"/>
      <c r="AM18" s="87"/>
      <c r="AN18" s="1097"/>
      <c r="AO18" s="87"/>
      <c r="AP18" s="87"/>
      <c r="AQ18" s="87"/>
      <c r="AR18" s="87"/>
      <c r="AS18" s="87"/>
      <c r="AT18" s="88"/>
      <c r="AU18" s="89"/>
      <c r="AV18" s="833">
        <f t="shared" si="10"/>
        <v>0</v>
      </c>
      <c r="AW18" s="833">
        <f t="shared" si="10"/>
        <v>0</v>
      </c>
      <c r="AX18" s="83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1"/>
      <c r="C19" s="1097"/>
      <c r="D19" s="2199"/>
      <c r="E19" s="82">
        <f t="shared" si="6"/>
        <v>0</v>
      </c>
      <c r="F19" s="83"/>
      <c r="G19" s="84">
        <f t="shared" si="7"/>
        <v>0</v>
      </c>
      <c r="H19" s="85">
        <f t="shared" si="8"/>
        <v>0</v>
      </c>
      <c r="I19" s="1097"/>
      <c r="J19" s="86"/>
      <c r="K19" s="1097"/>
      <c r="L19" s="86"/>
      <c r="M19" s="86"/>
      <c r="N19" s="86"/>
      <c r="O19" s="86"/>
      <c r="P19" s="86"/>
      <c r="Q19" s="86"/>
      <c r="R19" s="86"/>
      <c r="S19" s="86"/>
      <c r="T19" s="86"/>
      <c r="U19" s="86"/>
      <c r="V19" s="86"/>
      <c r="W19" s="86"/>
      <c r="X19" s="86"/>
      <c r="Y19" s="86"/>
      <c r="Z19" s="86"/>
      <c r="AA19" s="86"/>
      <c r="AB19" s="86"/>
      <c r="AC19" s="82">
        <f t="shared" si="9"/>
        <v>0</v>
      </c>
      <c r="AD19" s="87"/>
      <c r="AE19" s="87"/>
      <c r="AF19" s="1097"/>
      <c r="AG19" s="87"/>
      <c r="AH19" s="87"/>
      <c r="AI19" s="87"/>
      <c r="AJ19" s="87"/>
      <c r="AK19" s="87"/>
      <c r="AL19" s="87"/>
      <c r="AM19" s="87"/>
      <c r="AN19" s="1097"/>
      <c r="AO19" s="87"/>
      <c r="AP19" s="87"/>
      <c r="AQ19" s="87"/>
      <c r="AR19" s="87"/>
      <c r="AS19" s="87"/>
      <c r="AT19" s="88"/>
      <c r="AU19" s="89"/>
      <c r="AV19" s="833">
        <f t="shared" si="10"/>
        <v>0</v>
      </c>
      <c r="AW19" s="833">
        <f t="shared" si="10"/>
        <v>0</v>
      </c>
      <c r="AX19" s="83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1"/>
      <c r="C20" s="1097"/>
      <c r="D20" s="2199"/>
      <c r="E20" s="82">
        <f t="shared" si="6"/>
        <v>0</v>
      </c>
      <c r="F20" s="83"/>
      <c r="G20" s="84">
        <f t="shared" si="7"/>
        <v>0</v>
      </c>
      <c r="H20" s="85">
        <f t="shared" si="8"/>
        <v>0</v>
      </c>
      <c r="I20" s="1097"/>
      <c r="J20" s="86"/>
      <c r="K20" s="1097"/>
      <c r="L20" s="86"/>
      <c r="M20" s="86"/>
      <c r="N20" s="86"/>
      <c r="O20" s="86"/>
      <c r="P20" s="86"/>
      <c r="Q20" s="86"/>
      <c r="R20" s="86"/>
      <c r="S20" s="86"/>
      <c r="T20" s="86"/>
      <c r="U20" s="86"/>
      <c r="V20" s="86"/>
      <c r="W20" s="86"/>
      <c r="X20" s="86"/>
      <c r="Y20" s="86"/>
      <c r="Z20" s="86"/>
      <c r="AA20" s="86"/>
      <c r="AB20" s="86"/>
      <c r="AC20" s="82">
        <f t="shared" si="9"/>
        <v>0</v>
      </c>
      <c r="AD20" s="87"/>
      <c r="AE20" s="87"/>
      <c r="AF20" s="1097"/>
      <c r="AG20" s="87"/>
      <c r="AH20" s="87"/>
      <c r="AI20" s="87"/>
      <c r="AJ20" s="87"/>
      <c r="AK20" s="87"/>
      <c r="AL20" s="87"/>
      <c r="AM20" s="87"/>
      <c r="AN20" s="1097"/>
      <c r="AO20" s="87"/>
      <c r="AP20" s="87"/>
      <c r="AQ20" s="87"/>
      <c r="AR20" s="87"/>
      <c r="AS20" s="87"/>
      <c r="AT20" s="88"/>
      <c r="AU20" s="89"/>
      <c r="AV20" s="833">
        <f t="shared" si="10"/>
        <v>0</v>
      </c>
      <c r="AW20" s="833">
        <f t="shared" si="10"/>
        <v>0</v>
      </c>
      <c r="AX20" s="83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6"/>
      <c r="C21" s="1097"/>
      <c r="D21" s="2199"/>
      <c r="E21" s="82">
        <f t="shared" ref="E21:E112" si="33">IF($C$3="是",ROUND($A$3*G21/$B$3,2),ROUND($A$3*(G21-AT21)/$B$3,2))</f>
        <v>0</v>
      </c>
      <c r="F21" s="83"/>
      <c r="G21" s="84">
        <f t="shared" ref="G21:G109" si="34">H21+AC21+AT21</f>
        <v>0</v>
      </c>
      <c r="H21" s="85">
        <f t="shared" ref="H21:H109" si="35">SUMIF(I$12:AB$12,"总值",I21:AB21)</f>
        <v>0</v>
      </c>
      <c r="I21" s="1099"/>
      <c r="J21" s="86"/>
      <c r="K21" s="1099"/>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100"/>
      <c r="AG21" s="87"/>
      <c r="AH21" s="87"/>
      <c r="AI21" s="87"/>
      <c r="AJ21" s="87"/>
      <c r="AK21" s="87"/>
      <c r="AL21" s="87"/>
      <c r="AM21" s="87"/>
      <c r="AN21" s="1075"/>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6"/>
      <c r="C22" s="1097"/>
      <c r="D22" s="2199"/>
      <c r="E22" s="82">
        <f t="shared" si="33"/>
        <v>0</v>
      </c>
      <c r="F22" s="83"/>
      <c r="G22" s="84">
        <f t="shared" si="34"/>
        <v>0</v>
      </c>
      <c r="H22" s="85">
        <f t="shared" si="35"/>
        <v>0</v>
      </c>
      <c r="I22" s="1099"/>
      <c r="J22" s="86"/>
      <c r="K22" s="1099"/>
      <c r="L22" s="86"/>
      <c r="M22" s="1075"/>
      <c r="N22" s="86"/>
      <c r="O22" s="86"/>
      <c r="P22" s="86"/>
      <c r="Q22" s="86"/>
      <c r="R22" s="86"/>
      <c r="S22" s="86"/>
      <c r="T22" s="86"/>
      <c r="U22" s="86"/>
      <c r="V22" s="86"/>
      <c r="W22" s="86"/>
      <c r="X22" s="86"/>
      <c r="Y22" s="86"/>
      <c r="Z22" s="86"/>
      <c r="AA22" s="86"/>
      <c r="AB22" s="86"/>
      <c r="AC22" s="82">
        <f t="shared" si="36"/>
        <v>0</v>
      </c>
      <c r="AD22" s="1075"/>
      <c r="AE22" s="87"/>
      <c r="AF22" s="1100"/>
      <c r="AG22" s="87"/>
      <c r="AH22" s="87"/>
      <c r="AI22" s="87"/>
      <c r="AJ22" s="87"/>
      <c r="AK22" s="87"/>
      <c r="AL22" s="1075"/>
      <c r="AM22" s="87"/>
      <c r="AN22" s="1075"/>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6"/>
      <c r="C23" s="1097"/>
      <c r="D23" s="2199"/>
      <c r="E23" s="82">
        <f t="shared" si="33"/>
        <v>0</v>
      </c>
      <c r="F23" s="83"/>
      <c r="G23" s="84">
        <f t="shared" si="34"/>
        <v>0</v>
      </c>
      <c r="H23" s="85">
        <f t="shared" si="35"/>
        <v>0</v>
      </c>
      <c r="I23" s="1099"/>
      <c r="J23" s="86"/>
      <c r="K23" s="1099"/>
      <c r="L23" s="86"/>
      <c r="M23" s="1075"/>
      <c r="N23" s="86"/>
      <c r="O23" s="86"/>
      <c r="P23" s="86"/>
      <c r="Q23" s="86"/>
      <c r="R23" s="86"/>
      <c r="S23" s="86"/>
      <c r="T23" s="86"/>
      <c r="U23" s="86"/>
      <c r="V23" s="86"/>
      <c r="W23" s="86"/>
      <c r="X23" s="86"/>
      <c r="Y23" s="86"/>
      <c r="Z23" s="86"/>
      <c r="AA23" s="86"/>
      <c r="AB23" s="86"/>
      <c r="AC23" s="82">
        <f t="shared" si="36"/>
        <v>0</v>
      </c>
      <c r="AD23" s="87"/>
      <c r="AE23" s="87"/>
      <c r="AF23" s="1100"/>
      <c r="AG23" s="87"/>
      <c r="AH23" s="87"/>
      <c r="AI23" s="87"/>
      <c r="AJ23" s="87"/>
      <c r="AK23" s="87"/>
      <c r="AL23" s="1075"/>
      <c r="AM23" s="87"/>
      <c r="AN23" s="1075"/>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6"/>
      <c r="C24" s="1097"/>
      <c r="D24" s="2199"/>
      <c r="E24" s="82">
        <f t="shared" si="33"/>
        <v>0</v>
      </c>
      <c r="F24" s="83"/>
      <c r="G24" s="84">
        <f t="shared" si="34"/>
        <v>0</v>
      </c>
      <c r="H24" s="85">
        <f t="shared" si="35"/>
        <v>0</v>
      </c>
      <c r="I24" s="1099"/>
      <c r="J24" s="86"/>
      <c r="K24" s="1099"/>
      <c r="L24" s="86"/>
      <c r="M24" s="86"/>
      <c r="N24" s="86"/>
      <c r="O24" s="1075"/>
      <c r="P24" s="86"/>
      <c r="Q24" s="86"/>
      <c r="R24" s="86"/>
      <c r="S24" s="86"/>
      <c r="T24" s="86"/>
      <c r="U24" s="86"/>
      <c r="V24" s="86"/>
      <c r="W24" s="86"/>
      <c r="X24" s="86"/>
      <c r="Y24" s="86"/>
      <c r="Z24" s="86"/>
      <c r="AA24" s="86"/>
      <c r="AB24" s="86"/>
      <c r="AC24" s="82">
        <f t="shared" si="36"/>
        <v>0</v>
      </c>
      <c r="AD24" s="87"/>
      <c r="AE24" s="87"/>
      <c r="AF24" s="1100"/>
      <c r="AG24" s="87"/>
      <c r="AH24" s="87"/>
      <c r="AI24" s="87"/>
      <c r="AJ24" s="87"/>
      <c r="AK24" s="87"/>
      <c r="AL24" s="87"/>
      <c r="AM24" s="87"/>
      <c r="AN24" s="1075"/>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6"/>
      <c r="C25" s="1097"/>
      <c r="D25" s="2199"/>
      <c r="E25" s="82">
        <f t="shared" si="33"/>
        <v>0</v>
      </c>
      <c r="F25" s="83"/>
      <c r="G25" s="84">
        <f t="shared" si="34"/>
        <v>0</v>
      </c>
      <c r="H25" s="85">
        <f t="shared" si="35"/>
        <v>0</v>
      </c>
      <c r="I25" s="1099"/>
      <c r="J25" s="86"/>
      <c r="K25" s="1099"/>
      <c r="L25" s="86"/>
      <c r="M25" s="86"/>
      <c r="N25" s="86"/>
      <c r="O25" s="86"/>
      <c r="P25" s="86"/>
      <c r="Q25" s="86"/>
      <c r="R25" s="86"/>
      <c r="S25" s="86"/>
      <c r="T25" s="86"/>
      <c r="U25" s="86"/>
      <c r="V25" s="86"/>
      <c r="W25" s="86"/>
      <c r="X25" s="86"/>
      <c r="Y25" s="86"/>
      <c r="Z25" s="86"/>
      <c r="AA25" s="86"/>
      <c r="AB25" s="86"/>
      <c r="AC25" s="82">
        <f t="shared" si="36"/>
        <v>0</v>
      </c>
      <c r="AD25" s="87"/>
      <c r="AE25" s="87"/>
      <c r="AF25" s="1100"/>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6"/>
      <c r="C26" s="1097"/>
      <c r="D26" s="2199"/>
      <c r="E26" s="82">
        <f t="shared" si="33"/>
        <v>0</v>
      </c>
      <c r="F26" s="83"/>
      <c r="G26" s="84">
        <f t="shared" si="34"/>
        <v>0</v>
      </c>
      <c r="H26" s="85">
        <f t="shared" si="35"/>
        <v>0</v>
      </c>
      <c r="I26" s="1099"/>
      <c r="J26" s="86"/>
      <c r="K26" s="1099"/>
      <c r="L26" s="86"/>
      <c r="M26" s="86"/>
      <c r="N26" s="86"/>
      <c r="O26" s="86"/>
      <c r="P26" s="86"/>
      <c r="Q26" s="86"/>
      <c r="R26" s="86"/>
      <c r="S26" s="86"/>
      <c r="T26" s="86"/>
      <c r="U26" s="86"/>
      <c r="V26" s="86"/>
      <c r="W26" s="86"/>
      <c r="X26" s="86"/>
      <c r="Y26" s="86"/>
      <c r="Z26" s="86"/>
      <c r="AA26" s="86"/>
      <c r="AB26" s="86"/>
      <c r="AC26" s="82">
        <f t="shared" si="36"/>
        <v>0</v>
      </c>
      <c r="AD26" s="87"/>
      <c r="AE26" s="87"/>
      <c r="AF26" s="1100"/>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6"/>
      <c r="C27" s="1097"/>
      <c r="D27" s="2199"/>
      <c r="E27" s="82">
        <f t="shared" si="33"/>
        <v>0</v>
      </c>
      <c r="F27" s="83"/>
      <c r="G27" s="84">
        <f t="shared" si="34"/>
        <v>0</v>
      </c>
      <c r="H27" s="85">
        <f t="shared" si="35"/>
        <v>0</v>
      </c>
      <c r="I27" s="1099"/>
      <c r="J27" s="86"/>
      <c r="K27" s="1099"/>
      <c r="L27" s="86"/>
      <c r="M27" s="86"/>
      <c r="N27" s="86"/>
      <c r="O27" s="86"/>
      <c r="P27" s="86"/>
      <c r="Q27" s="86"/>
      <c r="R27" s="86"/>
      <c r="S27" s="86"/>
      <c r="T27" s="86"/>
      <c r="U27" s="86"/>
      <c r="V27" s="86"/>
      <c r="W27" s="86"/>
      <c r="X27" s="86"/>
      <c r="Y27" s="86"/>
      <c r="Z27" s="86"/>
      <c r="AA27" s="86"/>
      <c r="AB27" s="86"/>
      <c r="AC27" s="82">
        <f t="shared" si="36"/>
        <v>0</v>
      </c>
      <c r="AD27" s="87"/>
      <c r="AE27" s="87"/>
      <c r="AF27" s="1100"/>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6"/>
      <c r="C28" s="1097"/>
      <c r="D28" s="2199"/>
      <c r="E28" s="82">
        <f t="shared" si="33"/>
        <v>0</v>
      </c>
      <c r="F28" s="83"/>
      <c r="G28" s="84">
        <f t="shared" si="34"/>
        <v>0</v>
      </c>
      <c r="H28" s="85">
        <f t="shared" si="35"/>
        <v>0</v>
      </c>
      <c r="I28" s="1099"/>
      <c r="J28" s="86"/>
      <c r="K28" s="1099"/>
      <c r="L28" s="86"/>
      <c r="M28" s="86"/>
      <c r="N28" s="86"/>
      <c r="O28" s="86"/>
      <c r="P28" s="86"/>
      <c r="Q28" s="86"/>
      <c r="R28" s="86"/>
      <c r="S28" s="86"/>
      <c r="T28" s="86"/>
      <c r="U28" s="86"/>
      <c r="V28" s="86"/>
      <c r="W28" s="86"/>
      <c r="X28" s="86"/>
      <c r="Y28" s="86"/>
      <c r="Z28" s="86"/>
      <c r="AA28" s="86"/>
      <c r="AB28" s="86"/>
      <c r="AC28" s="82">
        <f t="shared" si="36"/>
        <v>0</v>
      </c>
      <c r="AD28" s="87"/>
      <c r="AE28" s="87"/>
      <c r="AF28" s="1099"/>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8"/>
      <c r="C29" s="1099"/>
      <c r="D29" s="2199"/>
      <c r="E29" s="82">
        <f t="shared" si="33"/>
        <v>0</v>
      </c>
      <c r="F29" s="83"/>
      <c r="G29" s="84">
        <f t="shared" si="34"/>
        <v>0</v>
      </c>
      <c r="H29" s="85">
        <f t="shared" si="35"/>
        <v>0</v>
      </c>
      <c r="I29" s="1099"/>
      <c r="J29" s="86"/>
      <c r="K29" s="1099"/>
      <c r="L29" s="86"/>
      <c r="M29" s="86"/>
      <c r="N29" s="86"/>
      <c r="O29" s="86"/>
      <c r="P29" s="86"/>
      <c r="Q29" s="86"/>
      <c r="R29" s="86"/>
      <c r="S29" s="86"/>
      <c r="T29" s="86"/>
      <c r="U29" s="86"/>
      <c r="V29" s="86"/>
      <c r="W29" s="86"/>
      <c r="X29" s="86"/>
      <c r="Y29" s="86"/>
      <c r="Z29" s="86"/>
      <c r="AA29" s="86"/>
      <c r="AB29" s="86"/>
      <c r="AC29" s="82">
        <f t="shared" si="36"/>
        <v>0</v>
      </c>
      <c r="AD29" s="87"/>
      <c r="AE29" s="87"/>
      <c r="AF29" s="1099"/>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6"/>
      <c r="C30" s="1097"/>
      <c r="D30" s="2199"/>
      <c r="E30" s="82">
        <f t="shared" si="33"/>
        <v>0</v>
      </c>
      <c r="F30" s="83"/>
      <c r="G30" s="84">
        <f t="shared" si="34"/>
        <v>0</v>
      </c>
      <c r="H30" s="85">
        <f t="shared" si="35"/>
        <v>0</v>
      </c>
      <c r="I30" s="1099"/>
      <c r="J30" s="86"/>
      <c r="K30" s="1099"/>
      <c r="L30" s="86"/>
      <c r="M30" s="86"/>
      <c r="N30" s="86"/>
      <c r="O30" s="86"/>
      <c r="P30" s="86"/>
      <c r="Q30" s="86"/>
      <c r="R30" s="86"/>
      <c r="S30" s="86"/>
      <c r="T30" s="86"/>
      <c r="U30" s="86"/>
      <c r="V30" s="86"/>
      <c r="W30" s="86"/>
      <c r="X30" s="86"/>
      <c r="Y30" s="86"/>
      <c r="Z30" s="86"/>
      <c r="AA30" s="86"/>
      <c r="AB30" s="86"/>
      <c r="AC30" s="82">
        <f t="shared" si="36"/>
        <v>0</v>
      </c>
      <c r="AD30" s="87"/>
      <c r="AE30" s="87"/>
      <c r="AF30" s="1099"/>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6"/>
      <c r="C31" s="1097"/>
      <c r="D31" s="2199"/>
      <c r="E31" s="82">
        <f t="shared" si="33"/>
        <v>0</v>
      </c>
      <c r="F31" s="83"/>
      <c r="G31" s="84">
        <f t="shared" si="34"/>
        <v>0</v>
      </c>
      <c r="H31" s="85">
        <f t="shared" si="35"/>
        <v>0</v>
      </c>
      <c r="I31" s="1099"/>
      <c r="J31" s="86"/>
      <c r="K31" s="1099"/>
      <c r="L31" s="86"/>
      <c r="M31" s="86"/>
      <c r="N31" s="86"/>
      <c r="O31" s="86"/>
      <c r="P31" s="86"/>
      <c r="Q31" s="86"/>
      <c r="R31" s="86"/>
      <c r="S31" s="86"/>
      <c r="T31" s="86"/>
      <c r="U31" s="86"/>
      <c r="V31" s="86"/>
      <c r="W31" s="86"/>
      <c r="X31" s="86"/>
      <c r="Y31" s="86"/>
      <c r="Z31" s="86"/>
      <c r="AA31" s="86"/>
      <c r="AB31" s="86"/>
      <c r="AC31" s="82">
        <f t="shared" si="36"/>
        <v>0</v>
      </c>
      <c r="AD31" s="87"/>
      <c r="AE31" s="87"/>
      <c r="AF31" s="1099"/>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6"/>
      <c r="C32" s="1097"/>
      <c r="D32" s="2199"/>
      <c r="E32" s="82">
        <f t="shared" si="33"/>
        <v>0</v>
      </c>
      <c r="F32" s="83"/>
      <c r="G32" s="84">
        <f t="shared" si="34"/>
        <v>0</v>
      </c>
      <c r="H32" s="85">
        <f t="shared" si="35"/>
        <v>0</v>
      </c>
      <c r="I32" s="1099"/>
      <c r="J32" s="86"/>
      <c r="K32" s="1099"/>
      <c r="L32" s="86"/>
      <c r="M32" s="86"/>
      <c r="N32" s="86"/>
      <c r="O32" s="86"/>
      <c r="P32" s="86"/>
      <c r="Q32" s="86"/>
      <c r="R32" s="86"/>
      <c r="S32" s="86"/>
      <c r="T32" s="86"/>
      <c r="U32" s="86"/>
      <c r="V32" s="86"/>
      <c r="W32" s="86"/>
      <c r="X32" s="86"/>
      <c r="Y32" s="86"/>
      <c r="Z32" s="86"/>
      <c r="AA32" s="86"/>
      <c r="AB32" s="86"/>
      <c r="AC32" s="82">
        <f t="shared" si="36"/>
        <v>0</v>
      </c>
      <c r="AD32" s="87"/>
      <c r="AE32" s="87"/>
      <c r="AF32" s="1099"/>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6"/>
      <c r="C33" s="1097"/>
      <c r="D33" s="2199"/>
      <c r="E33" s="82">
        <f t="shared" si="33"/>
        <v>0</v>
      </c>
      <c r="F33" s="83"/>
      <c r="G33" s="84">
        <f t="shared" si="34"/>
        <v>0</v>
      </c>
      <c r="H33" s="85">
        <f t="shared" si="35"/>
        <v>0</v>
      </c>
      <c r="I33" s="1099"/>
      <c r="J33" s="86"/>
      <c r="K33" s="1099"/>
      <c r="L33" s="86"/>
      <c r="M33" s="86"/>
      <c r="N33" s="86"/>
      <c r="O33" s="86"/>
      <c r="P33" s="86"/>
      <c r="Q33" s="86"/>
      <c r="R33" s="86"/>
      <c r="S33" s="86"/>
      <c r="T33" s="86"/>
      <c r="U33" s="86"/>
      <c r="V33" s="86"/>
      <c r="W33" s="86"/>
      <c r="X33" s="86"/>
      <c r="Y33" s="86"/>
      <c r="Z33" s="86"/>
      <c r="AA33" s="86"/>
      <c r="AB33" s="86"/>
      <c r="AC33" s="82">
        <f t="shared" si="36"/>
        <v>0</v>
      </c>
      <c r="AD33" s="87"/>
      <c r="AE33" s="87"/>
      <c r="AF33" s="1099"/>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6"/>
      <c r="C34" s="1097"/>
      <c r="D34" s="2199"/>
      <c r="E34" s="82">
        <f t="shared" si="33"/>
        <v>0</v>
      </c>
      <c r="F34" s="83"/>
      <c r="G34" s="84">
        <f t="shared" si="34"/>
        <v>0</v>
      </c>
      <c r="H34" s="85">
        <f t="shared" si="35"/>
        <v>0</v>
      </c>
      <c r="I34" s="1099"/>
      <c r="J34" s="86"/>
      <c r="K34" s="1099"/>
      <c r="L34" s="86"/>
      <c r="M34" s="86"/>
      <c r="N34" s="86"/>
      <c r="O34" s="86"/>
      <c r="P34" s="86"/>
      <c r="Q34" s="86"/>
      <c r="R34" s="86"/>
      <c r="S34" s="86"/>
      <c r="T34" s="86"/>
      <c r="U34" s="86"/>
      <c r="V34" s="86"/>
      <c r="W34" s="86"/>
      <c r="X34" s="86"/>
      <c r="Y34" s="86"/>
      <c r="Z34" s="86"/>
      <c r="AA34" s="86"/>
      <c r="AB34" s="86"/>
      <c r="AC34" s="82">
        <f t="shared" si="36"/>
        <v>0</v>
      </c>
      <c r="AD34" s="87"/>
      <c r="AE34" s="87"/>
      <c r="AF34" s="1099"/>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6"/>
      <c r="C35" s="1097"/>
      <c r="D35" s="2199"/>
      <c r="E35" s="82">
        <f t="shared" si="33"/>
        <v>0</v>
      </c>
      <c r="F35" s="83"/>
      <c r="G35" s="84">
        <f t="shared" si="34"/>
        <v>0</v>
      </c>
      <c r="H35" s="85">
        <f t="shared" si="35"/>
        <v>0</v>
      </c>
      <c r="I35" s="1099"/>
      <c r="J35" s="86"/>
      <c r="K35" s="1099"/>
      <c r="L35" s="86"/>
      <c r="M35" s="86"/>
      <c r="N35" s="86"/>
      <c r="O35" s="86"/>
      <c r="P35" s="86"/>
      <c r="Q35" s="86"/>
      <c r="R35" s="86"/>
      <c r="S35" s="86"/>
      <c r="T35" s="86"/>
      <c r="U35" s="86"/>
      <c r="V35" s="86"/>
      <c r="W35" s="86"/>
      <c r="X35" s="86"/>
      <c r="Y35" s="86"/>
      <c r="Z35" s="86"/>
      <c r="AA35" s="86"/>
      <c r="AB35" s="86"/>
      <c r="AC35" s="82">
        <f t="shared" si="36"/>
        <v>0</v>
      </c>
      <c r="AD35" s="87"/>
      <c r="AE35" s="87"/>
      <c r="AF35" s="1099"/>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6"/>
      <c r="C36" s="1097"/>
      <c r="D36" s="2199"/>
      <c r="E36" s="82">
        <f t="shared" si="33"/>
        <v>0</v>
      </c>
      <c r="F36" s="83"/>
      <c r="G36" s="84">
        <f t="shared" si="34"/>
        <v>0</v>
      </c>
      <c r="H36" s="85">
        <f t="shared" si="35"/>
        <v>0</v>
      </c>
      <c r="I36" s="1099"/>
      <c r="J36" s="86"/>
      <c r="K36" s="1099"/>
      <c r="L36" s="86"/>
      <c r="M36" s="86"/>
      <c r="N36" s="86"/>
      <c r="O36" s="86"/>
      <c r="P36" s="86"/>
      <c r="Q36" s="86"/>
      <c r="R36" s="86"/>
      <c r="S36" s="86"/>
      <c r="T36" s="86"/>
      <c r="U36" s="86"/>
      <c r="V36" s="86"/>
      <c r="W36" s="86"/>
      <c r="X36" s="86"/>
      <c r="Y36" s="86"/>
      <c r="Z36" s="86"/>
      <c r="AA36" s="86"/>
      <c r="AB36" s="86"/>
      <c r="AC36" s="82">
        <f t="shared" si="36"/>
        <v>0</v>
      </c>
      <c r="AD36" s="87"/>
      <c r="AE36" s="87"/>
      <c r="AF36" s="1099"/>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6"/>
      <c r="C37" s="1097"/>
      <c r="D37" s="2199"/>
      <c r="E37" s="82">
        <f t="shared" si="33"/>
        <v>0</v>
      </c>
      <c r="F37" s="83"/>
      <c r="G37" s="84">
        <f t="shared" si="34"/>
        <v>0</v>
      </c>
      <c r="H37" s="85">
        <f t="shared" si="35"/>
        <v>0</v>
      </c>
      <c r="I37" s="1099"/>
      <c r="J37" s="86"/>
      <c r="K37" s="1099"/>
      <c r="L37" s="86"/>
      <c r="M37" s="86"/>
      <c r="N37" s="86"/>
      <c r="O37" s="86"/>
      <c r="P37" s="86"/>
      <c r="Q37" s="86"/>
      <c r="R37" s="86"/>
      <c r="S37" s="86"/>
      <c r="T37" s="86"/>
      <c r="U37" s="86"/>
      <c r="V37" s="86"/>
      <c r="W37" s="86"/>
      <c r="X37" s="86"/>
      <c r="Y37" s="86"/>
      <c r="Z37" s="86"/>
      <c r="AA37" s="86"/>
      <c r="AB37" s="86"/>
      <c r="AC37" s="82">
        <f t="shared" si="36"/>
        <v>0</v>
      </c>
      <c r="AD37" s="87"/>
      <c r="AE37" s="87"/>
      <c r="AF37" s="1099"/>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6"/>
      <c r="C38" s="1097"/>
      <c r="D38" s="2199"/>
      <c r="E38" s="82">
        <f t="shared" si="33"/>
        <v>0</v>
      </c>
      <c r="F38" s="83"/>
      <c r="G38" s="84">
        <f t="shared" si="34"/>
        <v>0</v>
      </c>
      <c r="H38" s="85">
        <f t="shared" si="35"/>
        <v>0</v>
      </c>
      <c r="I38" s="1099"/>
      <c r="J38" s="86"/>
      <c r="K38" s="1099"/>
      <c r="L38" s="86"/>
      <c r="M38" s="86"/>
      <c r="N38" s="86"/>
      <c r="O38" s="86"/>
      <c r="P38" s="86"/>
      <c r="Q38" s="86"/>
      <c r="R38" s="86"/>
      <c r="S38" s="86"/>
      <c r="T38" s="86"/>
      <c r="U38" s="86"/>
      <c r="V38" s="86"/>
      <c r="W38" s="86"/>
      <c r="X38" s="86"/>
      <c r="Y38" s="86"/>
      <c r="Z38" s="86"/>
      <c r="AA38" s="86"/>
      <c r="AB38" s="86"/>
      <c r="AC38" s="82">
        <f t="shared" si="36"/>
        <v>0</v>
      </c>
      <c r="AD38" s="87"/>
      <c r="AE38" s="87"/>
      <c r="AF38" s="1099"/>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6"/>
      <c r="C39" s="1097"/>
      <c r="D39" s="2199"/>
      <c r="E39" s="82">
        <f t="shared" si="33"/>
        <v>0</v>
      </c>
      <c r="F39" s="83"/>
      <c r="G39" s="84">
        <f t="shared" si="34"/>
        <v>0</v>
      </c>
      <c r="H39" s="85">
        <f t="shared" si="35"/>
        <v>0</v>
      </c>
      <c r="I39" s="1099"/>
      <c r="J39" s="86"/>
      <c r="K39" s="1099"/>
      <c r="L39" s="86"/>
      <c r="M39" s="86"/>
      <c r="N39" s="86"/>
      <c r="O39" s="86"/>
      <c r="P39" s="86"/>
      <c r="Q39" s="86"/>
      <c r="R39" s="86"/>
      <c r="S39" s="86"/>
      <c r="T39" s="86"/>
      <c r="U39" s="86"/>
      <c r="V39" s="86"/>
      <c r="W39" s="86"/>
      <c r="X39" s="86"/>
      <c r="Y39" s="86"/>
      <c r="Z39" s="86"/>
      <c r="AA39" s="86"/>
      <c r="AB39" s="86"/>
      <c r="AC39" s="82">
        <f t="shared" si="36"/>
        <v>0</v>
      </c>
      <c r="AD39" s="87"/>
      <c r="AE39" s="87"/>
      <c r="AF39" s="1099"/>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6"/>
      <c r="C40" s="1097"/>
      <c r="D40" s="2199"/>
      <c r="E40" s="82">
        <f t="shared" si="33"/>
        <v>0</v>
      </c>
      <c r="F40" s="83"/>
      <c r="G40" s="84">
        <f t="shared" si="34"/>
        <v>0</v>
      </c>
      <c r="H40" s="85">
        <f t="shared" si="35"/>
        <v>0</v>
      </c>
      <c r="I40" s="1099"/>
      <c r="J40" s="86"/>
      <c r="K40" s="1099"/>
      <c r="L40" s="86"/>
      <c r="M40" s="86"/>
      <c r="N40" s="86"/>
      <c r="O40" s="86"/>
      <c r="P40" s="86"/>
      <c r="Q40" s="86"/>
      <c r="R40" s="86"/>
      <c r="S40" s="86"/>
      <c r="T40" s="86"/>
      <c r="U40" s="86"/>
      <c r="V40" s="86"/>
      <c r="W40" s="86"/>
      <c r="X40" s="86"/>
      <c r="Y40" s="86"/>
      <c r="Z40" s="86"/>
      <c r="AA40" s="86"/>
      <c r="AB40" s="86"/>
      <c r="AC40" s="82">
        <f t="shared" si="36"/>
        <v>0</v>
      </c>
      <c r="AD40" s="87"/>
      <c r="AE40" s="87"/>
      <c r="AF40" s="1099"/>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6"/>
      <c r="C41" s="1097"/>
      <c r="D41" s="2199"/>
      <c r="E41" s="82">
        <f t="shared" si="33"/>
        <v>0</v>
      </c>
      <c r="F41" s="83"/>
      <c r="G41" s="84">
        <f t="shared" si="34"/>
        <v>0</v>
      </c>
      <c r="H41" s="85">
        <f t="shared" si="35"/>
        <v>0</v>
      </c>
      <c r="I41" s="1099"/>
      <c r="J41" s="86"/>
      <c r="K41" s="1099"/>
      <c r="L41" s="86"/>
      <c r="M41" s="86"/>
      <c r="N41" s="86"/>
      <c r="O41" s="86"/>
      <c r="P41" s="86"/>
      <c r="Q41" s="86"/>
      <c r="R41" s="86"/>
      <c r="S41" s="86"/>
      <c r="T41" s="86"/>
      <c r="U41" s="86"/>
      <c r="V41" s="86"/>
      <c r="W41" s="86"/>
      <c r="X41" s="86"/>
      <c r="Y41" s="86"/>
      <c r="Z41" s="86"/>
      <c r="AA41" s="86"/>
      <c r="AB41" s="86"/>
      <c r="AC41" s="82">
        <f t="shared" si="36"/>
        <v>0</v>
      </c>
      <c r="AD41" s="87"/>
      <c r="AE41" s="87"/>
      <c r="AF41" s="1099"/>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6"/>
      <c r="C42" s="1097"/>
      <c r="D42" s="2199"/>
      <c r="E42" s="82">
        <f t="shared" si="33"/>
        <v>0</v>
      </c>
      <c r="F42" s="83"/>
      <c r="G42" s="84">
        <f t="shared" si="34"/>
        <v>0</v>
      </c>
      <c r="H42" s="85">
        <f t="shared" si="35"/>
        <v>0</v>
      </c>
      <c r="I42" s="1099"/>
      <c r="J42" s="86"/>
      <c r="K42" s="1099"/>
      <c r="L42" s="86"/>
      <c r="M42" s="86"/>
      <c r="N42" s="86"/>
      <c r="O42" s="86"/>
      <c r="P42" s="86"/>
      <c r="Q42" s="86"/>
      <c r="R42" s="86"/>
      <c r="S42" s="86"/>
      <c r="T42" s="86"/>
      <c r="U42" s="86"/>
      <c r="V42" s="86"/>
      <c r="W42" s="86"/>
      <c r="X42" s="86"/>
      <c r="Y42" s="86"/>
      <c r="Z42" s="86"/>
      <c r="AA42" s="86"/>
      <c r="AB42" s="86"/>
      <c r="AC42" s="82">
        <f t="shared" si="36"/>
        <v>0</v>
      </c>
      <c r="AD42" s="87"/>
      <c r="AE42" s="87"/>
      <c r="AF42" s="1099"/>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6"/>
      <c r="C43" s="1097"/>
      <c r="D43" s="2199"/>
      <c r="E43" s="82">
        <f t="shared" si="33"/>
        <v>0</v>
      </c>
      <c r="F43" s="83"/>
      <c r="G43" s="84">
        <f t="shared" si="34"/>
        <v>0</v>
      </c>
      <c r="H43" s="85">
        <f t="shared" si="35"/>
        <v>0</v>
      </c>
      <c r="I43" s="1099"/>
      <c r="J43" s="86"/>
      <c r="K43" s="1099"/>
      <c r="L43" s="86"/>
      <c r="M43" s="86"/>
      <c r="N43" s="86"/>
      <c r="O43" s="86"/>
      <c r="P43" s="86"/>
      <c r="Q43" s="86"/>
      <c r="R43" s="86"/>
      <c r="S43" s="86"/>
      <c r="T43" s="86"/>
      <c r="U43" s="86"/>
      <c r="V43" s="86"/>
      <c r="W43" s="86"/>
      <c r="X43" s="86"/>
      <c r="Y43" s="86"/>
      <c r="Z43" s="86"/>
      <c r="AA43" s="86"/>
      <c r="AB43" s="86"/>
      <c r="AC43" s="82">
        <f t="shared" si="36"/>
        <v>0</v>
      </c>
      <c r="AD43" s="87"/>
      <c r="AE43" s="87"/>
      <c r="AF43" s="1099"/>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6"/>
      <c r="C44" s="1097"/>
      <c r="D44" s="2199"/>
      <c r="E44" s="82">
        <f t="shared" si="33"/>
        <v>0</v>
      </c>
      <c r="F44" s="83"/>
      <c r="G44" s="84">
        <f t="shared" si="34"/>
        <v>0</v>
      </c>
      <c r="H44" s="85">
        <f t="shared" si="35"/>
        <v>0</v>
      </c>
      <c r="I44" s="1099"/>
      <c r="J44" s="86"/>
      <c r="K44" s="1099"/>
      <c r="L44" s="86"/>
      <c r="M44" s="86"/>
      <c r="N44" s="86"/>
      <c r="O44" s="86"/>
      <c r="P44" s="86"/>
      <c r="Q44" s="86"/>
      <c r="R44" s="86"/>
      <c r="S44" s="86"/>
      <c r="T44" s="86"/>
      <c r="U44" s="86"/>
      <c r="V44" s="86"/>
      <c r="W44" s="86"/>
      <c r="X44" s="86"/>
      <c r="Y44" s="86"/>
      <c r="Z44" s="86"/>
      <c r="AA44" s="86"/>
      <c r="AB44" s="86"/>
      <c r="AC44" s="82">
        <f t="shared" si="36"/>
        <v>0</v>
      </c>
      <c r="AD44" s="87"/>
      <c r="AE44" s="87"/>
      <c r="AF44" s="1099"/>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6"/>
      <c r="C45" s="1097"/>
      <c r="D45" s="2199"/>
      <c r="E45" s="82">
        <f t="shared" si="33"/>
        <v>0</v>
      </c>
      <c r="F45" s="83"/>
      <c r="G45" s="84">
        <f t="shared" si="34"/>
        <v>0</v>
      </c>
      <c r="H45" s="85">
        <f t="shared" si="35"/>
        <v>0</v>
      </c>
      <c r="I45" s="1099"/>
      <c r="J45" s="86"/>
      <c r="K45" s="1099"/>
      <c r="L45" s="86"/>
      <c r="M45" s="86"/>
      <c r="N45" s="86"/>
      <c r="O45" s="86"/>
      <c r="P45" s="86"/>
      <c r="Q45" s="86"/>
      <c r="R45" s="86"/>
      <c r="S45" s="86"/>
      <c r="T45" s="86"/>
      <c r="U45" s="86"/>
      <c r="V45" s="86"/>
      <c r="W45" s="86"/>
      <c r="X45" s="86"/>
      <c r="Y45" s="86"/>
      <c r="Z45" s="86"/>
      <c r="AA45" s="86"/>
      <c r="AB45" s="86"/>
      <c r="AC45" s="82">
        <f t="shared" si="36"/>
        <v>0</v>
      </c>
      <c r="AD45" s="87"/>
      <c r="AE45" s="87"/>
      <c r="AF45" s="1099"/>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6"/>
      <c r="C46" s="1097"/>
      <c r="D46" s="2199"/>
      <c r="E46" s="82">
        <f t="shared" si="33"/>
        <v>0</v>
      </c>
      <c r="F46" s="83"/>
      <c r="G46" s="84">
        <f t="shared" si="34"/>
        <v>0</v>
      </c>
      <c r="H46" s="85">
        <f t="shared" si="35"/>
        <v>0</v>
      </c>
      <c r="I46" s="1099"/>
      <c r="J46" s="86"/>
      <c r="K46" s="1099"/>
      <c r="L46" s="86"/>
      <c r="M46" s="86"/>
      <c r="N46" s="86"/>
      <c r="O46" s="86"/>
      <c r="P46" s="86"/>
      <c r="Q46" s="86"/>
      <c r="R46" s="86"/>
      <c r="S46" s="86"/>
      <c r="T46" s="86"/>
      <c r="U46" s="86"/>
      <c r="V46" s="86"/>
      <c r="W46" s="86"/>
      <c r="X46" s="86"/>
      <c r="Y46" s="86"/>
      <c r="Z46" s="86"/>
      <c r="AA46" s="86"/>
      <c r="AB46" s="86"/>
      <c r="AC46" s="82">
        <f t="shared" si="36"/>
        <v>0</v>
      </c>
      <c r="AD46" s="87"/>
      <c r="AE46" s="87"/>
      <c r="AF46" s="1099"/>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6"/>
      <c r="C47" s="1097"/>
      <c r="D47" s="2199"/>
      <c r="E47" s="82">
        <f t="shared" si="33"/>
        <v>0</v>
      </c>
      <c r="F47" s="83"/>
      <c r="G47" s="84">
        <f t="shared" si="34"/>
        <v>0</v>
      </c>
      <c r="H47" s="85">
        <f t="shared" si="35"/>
        <v>0</v>
      </c>
      <c r="I47" s="1099"/>
      <c r="J47" s="86"/>
      <c r="K47" s="1099"/>
      <c r="L47" s="86"/>
      <c r="M47" s="86"/>
      <c r="N47" s="86"/>
      <c r="O47" s="86"/>
      <c r="P47" s="86"/>
      <c r="Q47" s="86"/>
      <c r="R47" s="86"/>
      <c r="S47" s="86"/>
      <c r="T47" s="86"/>
      <c r="U47" s="86"/>
      <c r="V47" s="86"/>
      <c r="W47" s="86"/>
      <c r="X47" s="86"/>
      <c r="Y47" s="86"/>
      <c r="Z47" s="86"/>
      <c r="AA47" s="86"/>
      <c r="AB47" s="86"/>
      <c r="AC47" s="82">
        <f t="shared" si="36"/>
        <v>0</v>
      </c>
      <c r="AD47" s="87"/>
      <c r="AE47" s="87"/>
      <c r="AF47" s="1097"/>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6"/>
      <c r="C48" s="1097"/>
      <c r="D48" s="2199"/>
      <c r="E48" s="82">
        <f t="shared" si="33"/>
        <v>0</v>
      </c>
      <c r="F48" s="83"/>
      <c r="G48" s="84">
        <f t="shared" si="34"/>
        <v>0</v>
      </c>
      <c r="H48" s="85">
        <f t="shared" si="35"/>
        <v>0</v>
      </c>
      <c r="I48" s="1097"/>
      <c r="J48" s="86"/>
      <c r="K48" s="1097"/>
      <c r="L48" s="86"/>
      <c r="M48" s="86"/>
      <c r="N48" s="86"/>
      <c r="O48" s="86"/>
      <c r="P48" s="86"/>
      <c r="Q48" s="86"/>
      <c r="R48" s="86"/>
      <c r="S48" s="86"/>
      <c r="T48" s="86"/>
      <c r="U48" s="86"/>
      <c r="V48" s="86"/>
      <c r="W48" s="86"/>
      <c r="X48" s="86"/>
      <c r="Y48" s="86"/>
      <c r="Z48" s="86"/>
      <c r="AA48" s="86"/>
      <c r="AB48" s="86"/>
      <c r="AC48" s="82">
        <f t="shared" si="36"/>
        <v>0</v>
      </c>
      <c r="AD48" s="87"/>
      <c r="AE48" s="87"/>
      <c r="AF48" s="1097"/>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6"/>
      <c r="C49" s="1097"/>
      <c r="D49" s="2199"/>
      <c r="E49" s="82">
        <f t="shared" si="33"/>
        <v>0</v>
      </c>
      <c r="F49" s="83"/>
      <c r="G49" s="84">
        <f t="shared" si="34"/>
        <v>0</v>
      </c>
      <c r="H49" s="85">
        <f t="shared" si="35"/>
        <v>0</v>
      </c>
      <c r="I49" s="1097"/>
      <c r="J49" s="86"/>
      <c r="K49" s="1097"/>
      <c r="L49" s="86"/>
      <c r="M49" s="86"/>
      <c r="N49" s="86"/>
      <c r="O49" s="86"/>
      <c r="P49" s="86"/>
      <c r="Q49" s="86"/>
      <c r="R49" s="86"/>
      <c r="S49" s="86"/>
      <c r="T49" s="86"/>
      <c r="U49" s="86"/>
      <c r="V49" s="86"/>
      <c r="W49" s="86"/>
      <c r="X49" s="86"/>
      <c r="Y49" s="86"/>
      <c r="Z49" s="86"/>
      <c r="AA49" s="86"/>
      <c r="AB49" s="86"/>
      <c r="AC49" s="82">
        <f t="shared" si="36"/>
        <v>0</v>
      </c>
      <c r="AD49" s="87"/>
      <c r="AE49" s="87"/>
      <c r="AF49" s="1097"/>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6"/>
      <c r="C50" s="1097"/>
      <c r="D50" s="2199"/>
      <c r="E50" s="82">
        <f t="shared" si="33"/>
        <v>0</v>
      </c>
      <c r="F50" s="83"/>
      <c r="G50" s="84">
        <f t="shared" si="34"/>
        <v>0</v>
      </c>
      <c r="H50" s="85">
        <f t="shared" si="35"/>
        <v>0</v>
      </c>
      <c r="I50" s="1097"/>
      <c r="J50" s="86"/>
      <c r="K50" s="1097"/>
      <c r="L50" s="86"/>
      <c r="M50" s="86"/>
      <c r="N50" s="86"/>
      <c r="O50" s="86"/>
      <c r="P50" s="86"/>
      <c r="Q50" s="86"/>
      <c r="R50" s="86"/>
      <c r="S50" s="86"/>
      <c r="T50" s="86"/>
      <c r="U50" s="86"/>
      <c r="V50" s="86"/>
      <c r="W50" s="86"/>
      <c r="X50" s="86"/>
      <c r="Y50" s="86"/>
      <c r="Z50" s="86"/>
      <c r="AA50" s="86"/>
      <c r="AB50" s="86"/>
      <c r="AC50" s="82">
        <f t="shared" si="36"/>
        <v>0</v>
      </c>
      <c r="AD50" s="87"/>
      <c r="AE50" s="87"/>
      <c r="AF50" s="1097"/>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6"/>
      <c r="C51" s="1097"/>
      <c r="D51" s="2199"/>
      <c r="E51" s="82">
        <f t="shared" si="33"/>
        <v>0</v>
      </c>
      <c r="F51" s="83"/>
      <c r="G51" s="84">
        <f t="shared" si="34"/>
        <v>0</v>
      </c>
      <c r="H51" s="85">
        <f t="shared" si="35"/>
        <v>0</v>
      </c>
      <c r="I51" s="1097"/>
      <c r="J51" s="86"/>
      <c r="K51" s="1097"/>
      <c r="L51" s="86"/>
      <c r="M51" s="86"/>
      <c r="N51" s="86"/>
      <c r="O51" s="86"/>
      <c r="P51" s="86"/>
      <c r="Q51" s="86"/>
      <c r="R51" s="86"/>
      <c r="S51" s="86"/>
      <c r="T51" s="86"/>
      <c r="U51" s="86"/>
      <c r="V51" s="86"/>
      <c r="W51" s="86"/>
      <c r="X51" s="86"/>
      <c r="Y51" s="86"/>
      <c r="Z51" s="86"/>
      <c r="AA51" s="86"/>
      <c r="AB51" s="86"/>
      <c r="AC51" s="82">
        <f t="shared" si="36"/>
        <v>0</v>
      </c>
      <c r="AD51" s="87"/>
      <c r="AE51" s="87"/>
      <c r="AF51" s="1097"/>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6"/>
      <c r="C52" s="1097"/>
      <c r="D52" s="2199"/>
      <c r="E52" s="82">
        <f t="shared" si="33"/>
        <v>0</v>
      </c>
      <c r="F52" s="83"/>
      <c r="G52" s="84">
        <f t="shared" si="34"/>
        <v>0</v>
      </c>
      <c r="H52" s="85">
        <f t="shared" si="35"/>
        <v>0</v>
      </c>
      <c r="I52" s="1097"/>
      <c r="J52" s="86"/>
      <c r="K52" s="1097"/>
      <c r="L52" s="86"/>
      <c r="M52" s="86"/>
      <c r="N52" s="86"/>
      <c r="O52" s="86"/>
      <c r="P52" s="86"/>
      <c r="Q52" s="86"/>
      <c r="R52" s="86"/>
      <c r="S52" s="86"/>
      <c r="T52" s="86"/>
      <c r="U52" s="86"/>
      <c r="V52" s="86"/>
      <c r="W52" s="86"/>
      <c r="X52" s="86"/>
      <c r="Y52" s="86"/>
      <c r="Z52" s="86"/>
      <c r="AA52" s="86"/>
      <c r="AB52" s="86"/>
      <c r="AC52" s="82">
        <f t="shared" si="36"/>
        <v>0</v>
      </c>
      <c r="AD52" s="87"/>
      <c r="AE52" s="87"/>
      <c r="AF52" s="1097"/>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6"/>
      <c r="C53" s="1097"/>
      <c r="D53" s="2199"/>
      <c r="E53" s="82">
        <f t="shared" si="33"/>
        <v>0</v>
      </c>
      <c r="F53" s="83"/>
      <c r="G53" s="84">
        <f t="shared" si="34"/>
        <v>0</v>
      </c>
      <c r="H53" s="85">
        <f t="shared" si="35"/>
        <v>0</v>
      </c>
      <c r="I53" s="1097"/>
      <c r="J53" s="86"/>
      <c r="K53" s="1097"/>
      <c r="L53" s="86"/>
      <c r="M53" s="86"/>
      <c r="N53" s="86"/>
      <c r="O53" s="86"/>
      <c r="P53" s="86"/>
      <c r="Q53" s="86"/>
      <c r="R53" s="86"/>
      <c r="S53" s="86"/>
      <c r="T53" s="86"/>
      <c r="U53" s="86"/>
      <c r="V53" s="86"/>
      <c r="W53" s="86"/>
      <c r="X53" s="86"/>
      <c r="Y53" s="86"/>
      <c r="Z53" s="86"/>
      <c r="AA53" s="86"/>
      <c r="AB53" s="86"/>
      <c r="AC53" s="82">
        <f t="shared" si="36"/>
        <v>0</v>
      </c>
      <c r="AD53" s="87"/>
      <c r="AE53" s="87"/>
      <c r="AF53" s="1097"/>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6"/>
      <c r="C54" s="1097"/>
      <c r="D54" s="2199"/>
      <c r="E54" s="82">
        <f t="shared" si="33"/>
        <v>0</v>
      </c>
      <c r="F54" s="83"/>
      <c r="G54" s="84">
        <f t="shared" si="34"/>
        <v>0</v>
      </c>
      <c r="H54" s="85">
        <f t="shared" si="35"/>
        <v>0</v>
      </c>
      <c r="I54" s="1097"/>
      <c r="J54" s="86"/>
      <c r="K54" s="1097"/>
      <c r="L54" s="86"/>
      <c r="M54" s="86"/>
      <c r="N54" s="86"/>
      <c r="O54" s="86"/>
      <c r="P54" s="86"/>
      <c r="Q54" s="86"/>
      <c r="R54" s="86"/>
      <c r="S54" s="86"/>
      <c r="T54" s="86"/>
      <c r="U54" s="86"/>
      <c r="V54" s="86"/>
      <c r="W54" s="86"/>
      <c r="X54" s="86"/>
      <c r="Y54" s="86"/>
      <c r="Z54" s="86"/>
      <c r="AA54" s="86"/>
      <c r="AB54" s="86"/>
      <c r="AC54" s="82">
        <f t="shared" si="36"/>
        <v>0</v>
      </c>
      <c r="AD54" s="87"/>
      <c r="AE54" s="87"/>
      <c r="AF54" s="1097"/>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8"/>
      <c r="C55" s="1099"/>
      <c r="D55" s="2199"/>
      <c r="E55" s="82">
        <f t="shared" si="33"/>
        <v>0</v>
      </c>
      <c r="F55" s="83"/>
      <c r="G55" s="84">
        <f t="shared" si="34"/>
        <v>0</v>
      </c>
      <c r="H55" s="85">
        <f t="shared" si="35"/>
        <v>0</v>
      </c>
      <c r="I55" s="1097"/>
      <c r="J55" s="86"/>
      <c r="K55" s="1097"/>
      <c r="L55" s="86"/>
      <c r="M55" s="1097"/>
      <c r="N55" s="86"/>
      <c r="O55" s="86"/>
      <c r="P55" s="86"/>
      <c r="Q55" s="86"/>
      <c r="R55" s="86"/>
      <c r="S55" s="86"/>
      <c r="T55" s="86"/>
      <c r="U55" s="86"/>
      <c r="V55" s="86"/>
      <c r="W55" s="86"/>
      <c r="X55" s="86"/>
      <c r="Y55" s="86"/>
      <c r="Z55" s="86"/>
      <c r="AA55" s="86"/>
      <c r="AB55" s="86"/>
      <c r="AC55" s="82">
        <f t="shared" si="36"/>
        <v>0</v>
      </c>
      <c r="AD55" s="87"/>
      <c r="AE55" s="87"/>
      <c r="AF55" s="1097"/>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6"/>
      <c r="C113" s="1097"/>
      <c r="D113" s="2199"/>
      <c r="E113" s="82">
        <f t="shared" ref="E113:E144" si="87">IF($C$3="是",ROUND($A$3*G113/$B$3,2),ROUND($A$3*(G113-AT113)/$B$3,2))</f>
        <v>0</v>
      </c>
      <c r="F113" s="83"/>
      <c r="G113" s="84">
        <f t="shared" si="62"/>
        <v>0</v>
      </c>
      <c r="H113" s="85">
        <f t="shared" si="63"/>
        <v>0</v>
      </c>
      <c r="I113" s="1099"/>
      <c r="J113" s="86"/>
      <c r="K113" s="1099"/>
      <c r="L113" s="86"/>
      <c r="M113" s="86"/>
      <c r="N113" s="86"/>
      <c r="O113" s="86"/>
      <c r="P113" s="86"/>
      <c r="Q113" s="86"/>
      <c r="R113" s="86"/>
      <c r="S113" s="86"/>
      <c r="T113" s="86"/>
      <c r="U113" s="86"/>
      <c r="V113" s="86"/>
      <c r="W113" s="86"/>
      <c r="X113" s="86"/>
      <c r="Y113" s="86"/>
      <c r="Z113" s="86"/>
      <c r="AA113" s="86"/>
      <c r="AB113" s="86"/>
      <c r="AC113" s="82">
        <f t="shared" si="64"/>
        <v>0</v>
      </c>
      <c r="AD113" s="87"/>
      <c r="AE113" s="87"/>
      <c r="AF113" s="1100"/>
      <c r="AG113" s="87"/>
      <c r="AH113" s="87"/>
      <c r="AI113" s="87"/>
      <c r="AJ113" s="87"/>
      <c r="AK113" s="87"/>
      <c r="AL113" s="87"/>
      <c r="AM113" s="87"/>
      <c r="AN113" s="1075"/>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6"/>
      <c r="C114" s="1097"/>
      <c r="D114" s="2199"/>
      <c r="E114" s="82">
        <f t="shared" si="87"/>
        <v>0</v>
      </c>
      <c r="F114" s="83"/>
      <c r="G114" s="84">
        <f t="shared" si="62"/>
        <v>0</v>
      </c>
      <c r="H114" s="85">
        <f t="shared" si="63"/>
        <v>0</v>
      </c>
      <c r="I114" s="1099"/>
      <c r="J114" s="86"/>
      <c r="K114" s="1099"/>
      <c r="L114" s="86"/>
      <c r="M114" s="1075"/>
      <c r="N114" s="86"/>
      <c r="O114" s="86"/>
      <c r="P114" s="86"/>
      <c r="Q114" s="86"/>
      <c r="R114" s="86"/>
      <c r="S114" s="86"/>
      <c r="T114" s="86"/>
      <c r="U114" s="86"/>
      <c r="V114" s="86"/>
      <c r="W114" s="86"/>
      <c r="X114" s="86"/>
      <c r="Y114" s="86"/>
      <c r="Z114" s="86"/>
      <c r="AA114" s="86"/>
      <c r="AB114" s="86"/>
      <c r="AC114" s="82">
        <f t="shared" si="64"/>
        <v>0</v>
      </c>
      <c r="AD114" s="1075"/>
      <c r="AE114" s="87"/>
      <c r="AF114" s="1100"/>
      <c r="AG114" s="87"/>
      <c r="AH114" s="87"/>
      <c r="AI114" s="87"/>
      <c r="AJ114" s="87"/>
      <c r="AK114" s="87"/>
      <c r="AL114" s="1075"/>
      <c r="AM114" s="87"/>
      <c r="AN114" s="1075"/>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6"/>
      <c r="C115" s="1097"/>
      <c r="D115" s="2199"/>
      <c r="E115" s="82">
        <f t="shared" si="87"/>
        <v>0</v>
      </c>
      <c r="F115" s="83"/>
      <c r="G115" s="84">
        <f t="shared" si="62"/>
        <v>0</v>
      </c>
      <c r="H115" s="85">
        <f t="shared" si="63"/>
        <v>0</v>
      </c>
      <c r="I115" s="1099"/>
      <c r="J115" s="86"/>
      <c r="K115" s="1099"/>
      <c r="L115" s="86"/>
      <c r="M115" s="1075"/>
      <c r="N115" s="86"/>
      <c r="O115" s="86"/>
      <c r="P115" s="86"/>
      <c r="Q115" s="86"/>
      <c r="R115" s="86"/>
      <c r="S115" s="86"/>
      <c r="T115" s="86"/>
      <c r="U115" s="86"/>
      <c r="V115" s="86"/>
      <c r="W115" s="86"/>
      <c r="X115" s="86"/>
      <c r="Y115" s="86"/>
      <c r="Z115" s="86"/>
      <c r="AA115" s="86"/>
      <c r="AB115" s="86"/>
      <c r="AC115" s="82">
        <f t="shared" si="64"/>
        <v>0</v>
      </c>
      <c r="AD115" s="87"/>
      <c r="AE115" s="87"/>
      <c r="AF115" s="1100"/>
      <c r="AG115" s="87"/>
      <c r="AH115" s="87"/>
      <c r="AI115" s="87"/>
      <c r="AJ115" s="87"/>
      <c r="AK115" s="87"/>
      <c r="AL115" s="1075"/>
      <c r="AM115" s="87"/>
      <c r="AN115" s="1075"/>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6"/>
      <c r="C116" s="1097"/>
      <c r="D116" s="2199"/>
      <c r="E116" s="82">
        <f t="shared" si="87"/>
        <v>0</v>
      </c>
      <c r="F116" s="83"/>
      <c r="G116" s="84">
        <f t="shared" si="62"/>
        <v>0</v>
      </c>
      <c r="H116" s="85">
        <f t="shared" si="63"/>
        <v>0</v>
      </c>
      <c r="I116" s="1099"/>
      <c r="J116" s="86"/>
      <c r="K116" s="1099"/>
      <c r="L116" s="86"/>
      <c r="M116" s="86"/>
      <c r="N116" s="86"/>
      <c r="O116" s="1075"/>
      <c r="P116" s="86"/>
      <c r="Q116" s="86"/>
      <c r="R116" s="86"/>
      <c r="S116" s="86"/>
      <c r="T116" s="86"/>
      <c r="U116" s="86"/>
      <c r="V116" s="86"/>
      <c r="W116" s="86"/>
      <c r="X116" s="86"/>
      <c r="Y116" s="86"/>
      <c r="Z116" s="86"/>
      <c r="AA116" s="86"/>
      <c r="AB116" s="86"/>
      <c r="AC116" s="82">
        <f t="shared" si="64"/>
        <v>0</v>
      </c>
      <c r="AD116" s="87"/>
      <c r="AE116" s="87"/>
      <c r="AF116" s="1100"/>
      <c r="AG116" s="87"/>
      <c r="AH116" s="87"/>
      <c r="AI116" s="87"/>
      <c r="AJ116" s="87"/>
      <c r="AK116" s="87"/>
      <c r="AL116" s="87"/>
      <c r="AM116" s="87"/>
      <c r="AN116" s="1075"/>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6"/>
      <c r="C117" s="1097"/>
      <c r="D117" s="2199"/>
      <c r="E117" s="82">
        <f t="shared" si="87"/>
        <v>0</v>
      </c>
      <c r="F117" s="83"/>
      <c r="G117" s="84">
        <f t="shared" si="62"/>
        <v>0</v>
      </c>
      <c r="H117" s="85">
        <f t="shared" si="63"/>
        <v>0</v>
      </c>
      <c r="I117" s="1099"/>
      <c r="J117" s="86"/>
      <c r="K117" s="1099"/>
      <c r="L117" s="86"/>
      <c r="M117" s="86"/>
      <c r="N117" s="86"/>
      <c r="O117" s="86"/>
      <c r="P117" s="86"/>
      <c r="Q117" s="86"/>
      <c r="R117" s="86"/>
      <c r="S117" s="86"/>
      <c r="T117" s="86"/>
      <c r="U117" s="86"/>
      <c r="V117" s="86"/>
      <c r="W117" s="86"/>
      <c r="X117" s="86"/>
      <c r="Y117" s="86"/>
      <c r="Z117" s="86"/>
      <c r="AA117" s="86"/>
      <c r="AB117" s="86"/>
      <c r="AC117" s="82">
        <f t="shared" si="64"/>
        <v>0</v>
      </c>
      <c r="AD117" s="87"/>
      <c r="AE117" s="87"/>
      <c r="AF117" s="1100"/>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6"/>
      <c r="C118" s="1097"/>
      <c r="D118" s="2199"/>
      <c r="E118" s="82">
        <f t="shared" si="87"/>
        <v>0</v>
      </c>
      <c r="F118" s="83"/>
      <c r="G118" s="84">
        <f t="shared" si="62"/>
        <v>0</v>
      </c>
      <c r="H118" s="85">
        <f t="shared" si="63"/>
        <v>0</v>
      </c>
      <c r="I118" s="1099"/>
      <c r="J118" s="86"/>
      <c r="K118" s="1099"/>
      <c r="L118" s="86"/>
      <c r="M118" s="86"/>
      <c r="N118" s="86"/>
      <c r="O118" s="86"/>
      <c r="P118" s="86"/>
      <c r="Q118" s="86"/>
      <c r="R118" s="86"/>
      <c r="S118" s="86"/>
      <c r="T118" s="86"/>
      <c r="U118" s="86"/>
      <c r="V118" s="86"/>
      <c r="W118" s="86"/>
      <c r="X118" s="86"/>
      <c r="Y118" s="86"/>
      <c r="Z118" s="86"/>
      <c r="AA118" s="86"/>
      <c r="AB118" s="86"/>
      <c r="AC118" s="82">
        <f t="shared" si="64"/>
        <v>0</v>
      </c>
      <c r="AD118" s="87"/>
      <c r="AE118" s="87"/>
      <c r="AF118" s="1100"/>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6"/>
      <c r="C119" s="1097"/>
      <c r="D119" s="2199"/>
      <c r="E119" s="82">
        <f t="shared" si="87"/>
        <v>0</v>
      </c>
      <c r="F119" s="83"/>
      <c r="G119" s="84">
        <f t="shared" si="62"/>
        <v>0</v>
      </c>
      <c r="H119" s="85">
        <f t="shared" si="63"/>
        <v>0</v>
      </c>
      <c r="I119" s="1099"/>
      <c r="J119" s="86"/>
      <c r="K119" s="1099"/>
      <c r="L119" s="86"/>
      <c r="M119" s="86"/>
      <c r="N119" s="86"/>
      <c r="O119" s="86"/>
      <c r="P119" s="86"/>
      <c r="Q119" s="86"/>
      <c r="R119" s="86"/>
      <c r="S119" s="86"/>
      <c r="T119" s="86"/>
      <c r="U119" s="86"/>
      <c r="V119" s="86"/>
      <c r="W119" s="86"/>
      <c r="X119" s="86"/>
      <c r="Y119" s="86"/>
      <c r="Z119" s="86"/>
      <c r="AA119" s="86"/>
      <c r="AB119" s="86"/>
      <c r="AC119" s="82">
        <f t="shared" si="64"/>
        <v>0</v>
      </c>
      <c r="AD119" s="87"/>
      <c r="AE119" s="87"/>
      <c r="AF119" s="1100"/>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6"/>
      <c r="C120" s="1097"/>
      <c r="D120" s="2199"/>
      <c r="E120" s="82">
        <f t="shared" si="87"/>
        <v>0</v>
      </c>
      <c r="F120" s="83"/>
      <c r="G120" s="84">
        <f t="shared" si="62"/>
        <v>0</v>
      </c>
      <c r="H120" s="85">
        <f t="shared" si="63"/>
        <v>0</v>
      </c>
      <c r="I120" s="1099"/>
      <c r="J120" s="86"/>
      <c r="K120" s="1099"/>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9"/>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8"/>
      <c r="C121" s="1099"/>
      <c r="D121" s="2199"/>
      <c r="E121" s="82">
        <f t="shared" si="87"/>
        <v>0</v>
      </c>
      <c r="F121" s="83"/>
      <c r="G121" s="84">
        <f t="shared" si="62"/>
        <v>0</v>
      </c>
      <c r="H121" s="85">
        <f t="shared" si="63"/>
        <v>0</v>
      </c>
      <c r="I121" s="1099"/>
      <c r="J121" s="86"/>
      <c r="K121" s="1099"/>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9"/>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6"/>
      <c r="C122" s="1097"/>
      <c r="D122" s="2199"/>
      <c r="E122" s="82">
        <f t="shared" si="87"/>
        <v>0</v>
      </c>
      <c r="F122" s="83"/>
      <c r="G122" s="84">
        <f t="shared" si="62"/>
        <v>0</v>
      </c>
      <c r="H122" s="85">
        <f t="shared" si="63"/>
        <v>0</v>
      </c>
      <c r="I122" s="1099"/>
      <c r="J122" s="86"/>
      <c r="K122" s="1099"/>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9"/>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6"/>
      <c r="C123" s="1097"/>
      <c r="D123" s="2199"/>
      <c r="E123" s="82">
        <f t="shared" si="87"/>
        <v>0</v>
      </c>
      <c r="F123" s="83"/>
      <c r="G123" s="84">
        <f t="shared" si="62"/>
        <v>0</v>
      </c>
      <c r="H123" s="85">
        <f t="shared" si="63"/>
        <v>0</v>
      </c>
      <c r="I123" s="1099"/>
      <c r="J123" s="86"/>
      <c r="K123" s="1099"/>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9"/>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6"/>
      <c r="C124" s="1097"/>
      <c r="D124" s="2199"/>
      <c r="E124" s="82">
        <f t="shared" si="87"/>
        <v>0</v>
      </c>
      <c r="F124" s="83"/>
      <c r="G124" s="84">
        <f t="shared" si="62"/>
        <v>0</v>
      </c>
      <c r="H124" s="85">
        <f t="shared" si="63"/>
        <v>0</v>
      </c>
      <c r="I124" s="1099"/>
      <c r="J124" s="86"/>
      <c r="K124" s="1099"/>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9"/>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6"/>
      <c r="C125" s="1097"/>
      <c r="D125" s="2199"/>
      <c r="E125" s="82">
        <f t="shared" si="87"/>
        <v>0</v>
      </c>
      <c r="F125" s="83"/>
      <c r="G125" s="84">
        <f t="shared" si="62"/>
        <v>0</v>
      </c>
      <c r="H125" s="85">
        <f t="shared" si="63"/>
        <v>0</v>
      </c>
      <c r="I125" s="1099"/>
      <c r="J125" s="86"/>
      <c r="K125" s="1099"/>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9"/>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6"/>
      <c r="C126" s="1097"/>
      <c r="D126" s="2199"/>
      <c r="E126" s="82">
        <f t="shared" si="87"/>
        <v>0</v>
      </c>
      <c r="F126" s="83"/>
      <c r="G126" s="84">
        <f t="shared" si="62"/>
        <v>0</v>
      </c>
      <c r="H126" s="85">
        <f t="shared" si="63"/>
        <v>0</v>
      </c>
      <c r="I126" s="1099"/>
      <c r="J126" s="86"/>
      <c r="K126" s="1099"/>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9"/>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6"/>
      <c r="C127" s="1097"/>
      <c r="D127" s="2199"/>
      <c r="E127" s="82">
        <f t="shared" si="87"/>
        <v>0</v>
      </c>
      <c r="F127" s="83"/>
      <c r="G127" s="84">
        <f t="shared" si="62"/>
        <v>0</v>
      </c>
      <c r="H127" s="85">
        <f t="shared" si="63"/>
        <v>0</v>
      </c>
      <c r="I127" s="1099"/>
      <c r="J127" s="86"/>
      <c r="K127" s="1099"/>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9"/>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6"/>
      <c r="C128" s="1097"/>
      <c r="D128" s="2199"/>
      <c r="E128" s="82">
        <f t="shared" si="87"/>
        <v>0</v>
      </c>
      <c r="F128" s="83"/>
      <c r="G128" s="84">
        <f t="shared" si="62"/>
        <v>0</v>
      </c>
      <c r="H128" s="85">
        <f t="shared" si="63"/>
        <v>0</v>
      </c>
      <c r="I128" s="1099"/>
      <c r="J128" s="86"/>
      <c r="K128" s="1099"/>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9"/>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6"/>
      <c r="C129" s="1097"/>
      <c r="D129" s="2199"/>
      <c r="E129" s="82">
        <f t="shared" si="87"/>
        <v>0</v>
      </c>
      <c r="F129" s="83"/>
      <c r="G129" s="84">
        <f t="shared" si="62"/>
        <v>0</v>
      </c>
      <c r="H129" s="85">
        <f t="shared" si="63"/>
        <v>0</v>
      </c>
      <c r="I129" s="1099"/>
      <c r="J129" s="86"/>
      <c r="K129" s="1099"/>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9"/>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6"/>
      <c r="C130" s="1097"/>
      <c r="D130" s="2199"/>
      <c r="E130" s="82">
        <f t="shared" si="87"/>
        <v>0</v>
      </c>
      <c r="F130" s="83"/>
      <c r="G130" s="84">
        <f t="shared" si="62"/>
        <v>0</v>
      </c>
      <c r="H130" s="85">
        <f t="shared" si="63"/>
        <v>0</v>
      </c>
      <c r="I130" s="1099"/>
      <c r="J130" s="86"/>
      <c r="K130" s="1099"/>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9"/>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6"/>
      <c r="C131" s="1097"/>
      <c r="D131" s="2199"/>
      <c r="E131" s="82">
        <f t="shared" si="87"/>
        <v>0</v>
      </c>
      <c r="F131" s="83"/>
      <c r="G131" s="84">
        <f t="shared" si="62"/>
        <v>0</v>
      </c>
      <c r="H131" s="85">
        <f t="shared" si="63"/>
        <v>0</v>
      </c>
      <c r="I131" s="1099"/>
      <c r="J131" s="86"/>
      <c r="K131" s="1099"/>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9"/>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6"/>
      <c r="C132" s="1097"/>
      <c r="D132" s="2199"/>
      <c r="E132" s="82">
        <f t="shared" si="87"/>
        <v>0</v>
      </c>
      <c r="F132" s="83"/>
      <c r="G132" s="84">
        <f t="shared" si="62"/>
        <v>0</v>
      </c>
      <c r="H132" s="85">
        <f t="shared" si="63"/>
        <v>0</v>
      </c>
      <c r="I132" s="1099"/>
      <c r="J132" s="86"/>
      <c r="K132" s="1099"/>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9"/>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6"/>
      <c r="C133" s="1097"/>
      <c r="D133" s="2199"/>
      <c r="E133" s="82">
        <f t="shared" si="87"/>
        <v>0</v>
      </c>
      <c r="F133" s="83"/>
      <c r="G133" s="84">
        <f t="shared" si="62"/>
        <v>0</v>
      </c>
      <c r="H133" s="85">
        <f t="shared" si="63"/>
        <v>0</v>
      </c>
      <c r="I133" s="1099"/>
      <c r="J133" s="86"/>
      <c r="K133" s="1099"/>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9"/>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6"/>
      <c r="C134" s="1097"/>
      <c r="D134" s="2199"/>
      <c r="E134" s="82">
        <f t="shared" si="87"/>
        <v>0</v>
      </c>
      <c r="F134" s="83"/>
      <c r="G134" s="84">
        <f t="shared" si="62"/>
        <v>0</v>
      </c>
      <c r="H134" s="85">
        <f t="shared" si="63"/>
        <v>0</v>
      </c>
      <c r="I134" s="1099"/>
      <c r="J134" s="86"/>
      <c r="K134" s="1099"/>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9"/>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6"/>
      <c r="C135" s="1097"/>
      <c r="D135" s="2199"/>
      <c r="E135" s="82">
        <f t="shared" si="87"/>
        <v>0</v>
      </c>
      <c r="F135" s="83"/>
      <c r="G135" s="84">
        <f t="shared" si="62"/>
        <v>0</v>
      </c>
      <c r="H135" s="85">
        <f t="shared" si="63"/>
        <v>0</v>
      </c>
      <c r="I135" s="1099"/>
      <c r="J135" s="86"/>
      <c r="K135" s="1099"/>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9"/>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6"/>
      <c r="C136" s="1097"/>
      <c r="D136" s="2199"/>
      <c r="E136" s="82">
        <f t="shared" si="87"/>
        <v>0</v>
      </c>
      <c r="F136" s="83"/>
      <c r="G136" s="84">
        <f t="shared" si="62"/>
        <v>0</v>
      </c>
      <c r="H136" s="85">
        <f t="shared" si="63"/>
        <v>0</v>
      </c>
      <c r="I136" s="1099"/>
      <c r="J136" s="86"/>
      <c r="K136" s="1099"/>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9"/>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6"/>
      <c r="C137" s="1097"/>
      <c r="D137" s="2199"/>
      <c r="E137" s="82">
        <f t="shared" si="87"/>
        <v>0</v>
      </c>
      <c r="F137" s="83"/>
      <c r="G137" s="84">
        <f t="shared" si="62"/>
        <v>0</v>
      </c>
      <c r="H137" s="85">
        <f t="shared" si="63"/>
        <v>0</v>
      </c>
      <c r="I137" s="1099"/>
      <c r="J137" s="86"/>
      <c r="K137" s="1099"/>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9"/>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6"/>
      <c r="C138" s="1097"/>
      <c r="D138" s="2199"/>
      <c r="E138" s="82">
        <f t="shared" si="87"/>
        <v>0</v>
      </c>
      <c r="F138" s="83"/>
      <c r="G138" s="84">
        <f t="shared" si="62"/>
        <v>0</v>
      </c>
      <c r="H138" s="85">
        <f t="shared" si="63"/>
        <v>0</v>
      </c>
      <c r="I138" s="1099"/>
      <c r="J138" s="86"/>
      <c r="K138" s="1099"/>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9"/>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6"/>
      <c r="C139" s="1097"/>
      <c r="D139" s="2199"/>
      <c r="E139" s="82">
        <f t="shared" si="87"/>
        <v>0</v>
      </c>
      <c r="F139" s="83"/>
      <c r="G139" s="84">
        <f t="shared" si="62"/>
        <v>0</v>
      </c>
      <c r="H139" s="85">
        <f t="shared" si="63"/>
        <v>0</v>
      </c>
      <c r="I139" s="1099"/>
      <c r="J139" s="86"/>
      <c r="K139" s="1099"/>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7"/>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6"/>
      <c r="C140" s="1097"/>
      <c r="D140" s="2199"/>
      <c r="E140" s="82">
        <f t="shared" si="87"/>
        <v>0</v>
      </c>
      <c r="F140" s="83"/>
      <c r="G140" s="84">
        <f t="shared" si="62"/>
        <v>0</v>
      </c>
      <c r="H140" s="85">
        <f t="shared" si="63"/>
        <v>0</v>
      </c>
      <c r="I140" s="1097"/>
      <c r="J140" s="86"/>
      <c r="K140" s="1097"/>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7"/>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6"/>
      <c r="C141" s="1097"/>
      <c r="D141" s="2199"/>
      <c r="E141" s="82">
        <f t="shared" si="87"/>
        <v>0</v>
      </c>
      <c r="F141" s="83"/>
      <c r="G141" s="84">
        <f t="shared" si="62"/>
        <v>0</v>
      </c>
      <c r="H141" s="85">
        <f t="shared" si="63"/>
        <v>0</v>
      </c>
      <c r="I141" s="1097"/>
      <c r="J141" s="86"/>
      <c r="K141" s="1097"/>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7"/>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6"/>
      <c r="C142" s="1097"/>
      <c r="D142" s="2199"/>
      <c r="E142" s="82">
        <f t="shared" si="87"/>
        <v>0</v>
      </c>
      <c r="F142" s="83"/>
      <c r="G142" s="84">
        <f t="shared" ref="G142:G173" si="91">H142+AC142+AT142</f>
        <v>0</v>
      </c>
      <c r="H142" s="85">
        <f t="shared" ref="H142:H173" si="92">SUMIF(I$12:AB$12,"总值",I142:AB142)</f>
        <v>0</v>
      </c>
      <c r="I142" s="1097"/>
      <c r="J142" s="86"/>
      <c r="K142" s="1097"/>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7"/>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6"/>
      <c r="C143" s="1097"/>
      <c r="D143" s="2199"/>
      <c r="E143" s="82">
        <f t="shared" si="87"/>
        <v>0</v>
      </c>
      <c r="F143" s="83"/>
      <c r="G143" s="84">
        <f t="shared" si="91"/>
        <v>0</v>
      </c>
      <c r="H143" s="85">
        <f t="shared" si="92"/>
        <v>0</v>
      </c>
      <c r="I143" s="1097"/>
      <c r="J143" s="86"/>
      <c r="K143" s="1097"/>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7"/>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6"/>
      <c r="C144" s="1097"/>
      <c r="D144" s="2199"/>
      <c r="E144" s="82">
        <f t="shared" si="87"/>
        <v>0</v>
      </c>
      <c r="F144" s="83"/>
      <c r="G144" s="84">
        <f t="shared" si="91"/>
        <v>0</v>
      </c>
      <c r="H144" s="85">
        <f t="shared" si="92"/>
        <v>0</v>
      </c>
      <c r="I144" s="1097"/>
      <c r="J144" s="86"/>
      <c r="K144" s="1097"/>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7"/>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6"/>
      <c r="C145" s="1097"/>
      <c r="D145" s="2199"/>
      <c r="E145" s="82">
        <f t="shared" ref="E145:E176" si="116">IF($C$3="是",ROUND($A$3*G145/$B$3,2),ROUND($A$3*(G145-AT145)/$B$3,2))</f>
        <v>0</v>
      </c>
      <c r="F145" s="83"/>
      <c r="G145" s="84">
        <f t="shared" si="91"/>
        <v>0</v>
      </c>
      <c r="H145" s="85">
        <f t="shared" si="92"/>
        <v>0</v>
      </c>
      <c r="I145" s="1097"/>
      <c r="J145" s="86"/>
      <c r="K145" s="1097"/>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7"/>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6"/>
      <c r="C146" s="1097"/>
      <c r="D146" s="2199"/>
      <c r="E146" s="82">
        <f t="shared" si="116"/>
        <v>0</v>
      </c>
      <c r="F146" s="83"/>
      <c r="G146" s="84">
        <f t="shared" si="91"/>
        <v>0</v>
      </c>
      <c r="H146" s="85">
        <f t="shared" si="92"/>
        <v>0</v>
      </c>
      <c r="I146" s="1097"/>
      <c r="J146" s="86"/>
      <c r="K146" s="1097"/>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7"/>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8"/>
      <c r="C147" s="1099"/>
      <c r="D147" s="2199"/>
      <c r="E147" s="82">
        <f t="shared" si="116"/>
        <v>0</v>
      </c>
      <c r="F147" s="83"/>
      <c r="G147" s="84">
        <f t="shared" si="91"/>
        <v>0</v>
      </c>
      <c r="H147" s="85">
        <f t="shared" si="92"/>
        <v>0</v>
      </c>
      <c r="I147" s="1097"/>
      <c r="J147" s="86"/>
      <c r="K147" s="1097"/>
      <c r="L147" s="86"/>
      <c r="M147" s="1097"/>
      <c r="N147" s="86"/>
      <c r="O147" s="86"/>
      <c r="P147" s="86"/>
      <c r="Q147" s="86"/>
      <c r="R147" s="86"/>
      <c r="S147" s="86"/>
      <c r="T147" s="86"/>
      <c r="U147" s="86"/>
      <c r="V147" s="86"/>
      <c r="W147" s="86"/>
      <c r="X147" s="86"/>
      <c r="Y147" s="86"/>
      <c r="Z147" s="86"/>
      <c r="AA147" s="86"/>
      <c r="AB147" s="86"/>
      <c r="AC147" s="82">
        <f t="shared" si="93"/>
        <v>0</v>
      </c>
      <c r="AD147" s="87"/>
      <c r="AE147" s="87"/>
      <c r="AF147" s="1097"/>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6"/>
      <c r="C205" s="1097"/>
      <c r="D205" s="2199"/>
      <c r="E205" s="82">
        <f t="shared" ref="E205:E296" si="149">IF($C$3="是",ROUND($A$3*G205/$B$3,2),ROUND($A$3*(G205-AT205)/$B$3,2))</f>
        <v>0</v>
      </c>
      <c r="F205" s="83"/>
      <c r="G205" s="84">
        <f t="shared" ref="G205:G293" si="150">H205+AC205+AT205</f>
        <v>0</v>
      </c>
      <c r="H205" s="85">
        <f t="shared" ref="H205:H293" si="151">SUMIF(I$12:AB$12,"总值",I205:AB205)</f>
        <v>0</v>
      </c>
      <c r="I205" s="1099"/>
      <c r="J205" s="86"/>
      <c r="K205" s="1099"/>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100"/>
      <c r="AG205" s="87"/>
      <c r="AH205" s="87"/>
      <c r="AI205" s="87"/>
      <c r="AJ205" s="87"/>
      <c r="AK205" s="87"/>
      <c r="AL205" s="87"/>
      <c r="AM205" s="87"/>
      <c r="AN205" s="1075"/>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6"/>
      <c r="C206" s="1097"/>
      <c r="D206" s="2199"/>
      <c r="E206" s="82">
        <f t="shared" si="149"/>
        <v>0</v>
      </c>
      <c r="F206" s="83"/>
      <c r="G206" s="84">
        <f t="shared" si="150"/>
        <v>0</v>
      </c>
      <c r="H206" s="85">
        <f t="shared" si="151"/>
        <v>0</v>
      </c>
      <c r="I206" s="1099"/>
      <c r="J206" s="86"/>
      <c r="K206" s="1099"/>
      <c r="L206" s="86"/>
      <c r="M206" s="1075"/>
      <c r="N206" s="86"/>
      <c r="O206" s="86"/>
      <c r="P206" s="86"/>
      <c r="Q206" s="86"/>
      <c r="R206" s="86"/>
      <c r="S206" s="86"/>
      <c r="T206" s="86"/>
      <c r="U206" s="86"/>
      <c r="V206" s="86"/>
      <c r="W206" s="86"/>
      <c r="X206" s="86"/>
      <c r="Y206" s="86"/>
      <c r="Z206" s="86"/>
      <c r="AA206" s="86"/>
      <c r="AB206" s="86"/>
      <c r="AC206" s="82">
        <f t="shared" si="152"/>
        <v>0</v>
      </c>
      <c r="AD206" s="1075"/>
      <c r="AE206" s="87"/>
      <c r="AF206" s="1100"/>
      <c r="AG206" s="87"/>
      <c r="AH206" s="87"/>
      <c r="AI206" s="87"/>
      <c r="AJ206" s="87"/>
      <c r="AK206" s="87"/>
      <c r="AL206" s="1075"/>
      <c r="AM206" s="87"/>
      <c r="AN206" s="1075"/>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6"/>
      <c r="C207" s="1097"/>
      <c r="D207" s="2199"/>
      <c r="E207" s="82">
        <f t="shared" si="149"/>
        <v>0</v>
      </c>
      <c r="F207" s="83"/>
      <c r="G207" s="84">
        <f t="shared" si="150"/>
        <v>0</v>
      </c>
      <c r="H207" s="85">
        <f t="shared" si="151"/>
        <v>0</v>
      </c>
      <c r="I207" s="1099"/>
      <c r="J207" s="86"/>
      <c r="K207" s="1099"/>
      <c r="L207" s="86"/>
      <c r="M207" s="1075"/>
      <c r="N207" s="86"/>
      <c r="O207" s="86"/>
      <c r="P207" s="86"/>
      <c r="Q207" s="86"/>
      <c r="R207" s="86"/>
      <c r="S207" s="86"/>
      <c r="T207" s="86"/>
      <c r="U207" s="86"/>
      <c r="V207" s="86"/>
      <c r="W207" s="86"/>
      <c r="X207" s="86"/>
      <c r="Y207" s="86"/>
      <c r="Z207" s="86"/>
      <c r="AA207" s="86"/>
      <c r="AB207" s="86"/>
      <c r="AC207" s="82">
        <f t="shared" si="152"/>
        <v>0</v>
      </c>
      <c r="AD207" s="87"/>
      <c r="AE207" s="87"/>
      <c r="AF207" s="1100"/>
      <c r="AG207" s="87"/>
      <c r="AH207" s="87"/>
      <c r="AI207" s="87"/>
      <c r="AJ207" s="87"/>
      <c r="AK207" s="87"/>
      <c r="AL207" s="1075"/>
      <c r="AM207" s="87"/>
      <c r="AN207" s="1075"/>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6"/>
      <c r="C208" s="1097"/>
      <c r="D208" s="2199"/>
      <c r="E208" s="82">
        <f t="shared" si="149"/>
        <v>0</v>
      </c>
      <c r="F208" s="83"/>
      <c r="G208" s="84">
        <f t="shared" si="150"/>
        <v>0</v>
      </c>
      <c r="H208" s="85">
        <f t="shared" si="151"/>
        <v>0</v>
      </c>
      <c r="I208" s="1099"/>
      <c r="J208" s="86"/>
      <c r="K208" s="1099"/>
      <c r="L208" s="86"/>
      <c r="M208" s="86"/>
      <c r="N208" s="86"/>
      <c r="O208" s="1075"/>
      <c r="P208" s="86"/>
      <c r="Q208" s="86"/>
      <c r="R208" s="86"/>
      <c r="S208" s="86"/>
      <c r="T208" s="86"/>
      <c r="U208" s="86"/>
      <c r="V208" s="86"/>
      <c r="W208" s="86"/>
      <c r="X208" s="86"/>
      <c r="Y208" s="86"/>
      <c r="Z208" s="86"/>
      <c r="AA208" s="86"/>
      <c r="AB208" s="86"/>
      <c r="AC208" s="82">
        <f t="shared" si="152"/>
        <v>0</v>
      </c>
      <c r="AD208" s="87"/>
      <c r="AE208" s="87"/>
      <c r="AF208" s="1100"/>
      <c r="AG208" s="87"/>
      <c r="AH208" s="87"/>
      <c r="AI208" s="87"/>
      <c r="AJ208" s="87"/>
      <c r="AK208" s="87"/>
      <c r="AL208" s="87"/>
      <c r="AM208" s="87"/>
      <c r="AN208" s="1075"/>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6"/>
      <c r="C209" s="1097"/>
      <c r="D209" s="2199"/>
      <c r="E209" s="82">
        <f t="shared" si="149"/>
        <v>0</v>
      </c>
      <c r="F209" s="83"/>
      <c r="G209" s="84">
        <f t="shared" si="150"/>
        <v>0</v>
      </c>
      <c r="H209" s="85">
        <f t="shared" si="151"/>
        <v>0</v>
      </c>
      <c r="I209" s="1099"/>
      <c r="J209" s="86"/>
      <c r="K209" s="1099"/>
      <c r="L209" s="86"/>
      <c r="M209" s="86"/>
      <c r="N209" s="86"/>
      <c r="O209" s="86"/>
      <c r="P209" s="86"/>
      <c r="Q209" s="86"/>
      <c r="R209" s="86"/>
      <c r="S209" s="86"/>
      <c r="T209" s="86"/>
      <c r="U209" s="86"/>
      <c r="V209" s="86"/>
      <c r="W209" s="86"/>
      <c r="X209" s="86"/>
      <c r="Y209" s="86"/>
      <c r="Z209" s="86"/>
      <c r="AA209" s="86"/>
      <c r="AB209" s="86"/>
      <c r="AC209" s="82">
        <f t="shared" si="152"/>
        <v>0</v>
      </c>
      <c r="AD209" s="87"/>
      <c r="AE209" s="87"/>
      <c r="AF209" s="1100"/>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6"/>
      <c r="C210" s="1097"/>
      <c r="D210" s="2199"/>
      <c r="E210" s="82">
        <f t="shared" si="149"/>
        <v>0</v>
      </c>
      <c r="F210" s="83"/>
      <c r="G210" s="84">
        <f t="shared" si="150"/>
        <v>0</v>
      </c>
      <c r="H210" s="85">
        <f t="shared" si="151"/>
        <v>0</v>
      </c>
      <c r="I210" s="1099"/>
      <c r="J210" s="86"/>
      <c r="K210" s="1099"/>
      <c r="L210" s="86"/>
      <c r="M210" s="86"/>
      <c r="N210" s="86"/>
      <c r="O210" s="86"/>
      <c r="P210" s="86"/>
      <c r="Q210" s="86"/>
      <c r="R210" s="86"/>
      <c r="S210" s="86"/>
      <c r="T210" s="86"/>
      <c r="U210" s="86"/>
      <c r="V210" s="86"/>
      <c r="W210" s="86"/>
      <c r="X210" s="86"/>
      <c r="Y210" s="86"/>
      <c r="Z210" s="86"/>
      <c r="AA210" s="86"/>
      <c r="AB210" s="86"/>
      <c r="AC210" s="82">
        <f t="shared" si="152"/>
        <v>0</v>
      </c>
      <c r="AD210" s="87"/>
      <c r="AE210" s="87"/>
      <c r="AF210" s="1100"/>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6"/>
      <c r="C211" s="1097"/>
      <c r="D211" s="2199"/>
      <c r="E211" s="82">
        <f t="shared" si="149"/>
        <v>0</v>
      </c>
      <c r="F211" s="83"/>
      <c r="G211" s="84">
        <f t="shared" si="150"/>
        <v>0</v>
      </c>
      <c r="H211" s="85">
        <f t="shared" si="151"/>
        <v>0</v>
      </c>
      <c r="I211" s="1099"/>
      <c r="J211" s="86"/>
      <c r="K211" s="1099"/>
      <c r="L211" s="86"/>
      <c r="M211" s="86"/>
      <c r="N211" s="86"/>
      <c r="O211" s="86"/>
      <c r="P211" s="86"/>
      <c r="Q211" s="86"/>
      <c r="R211" s="86"/>
      <c r="S211" s="86"/>
      <c r="T211" s="86"/>
      <c r="U211" s="86"/>
      <c r="V211" s="86"/>
      <c r="W211" s="86"/>
      <c r="X211" s="86"/>
      <c r="Y211" s="86"/>
      <c r="Z211" s="86"/>
      <c r="AA211" s="86"/>
      <c r="AB211" s="86"/>
      <c r="AC211" s="82">
        <f t="shared" si="152"/>
        <v>0</v>
      </c>
      <c r="AD211" s="87"/>
      <c r="AE211" s="87"/>
      <c r="AF211" s="1100"/>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6"/>
      <c r="C212" s="1097"/>
      <c r="D212" s="2199"/>
      <c r="E212" s="82">
        <f t="shared" si="149"/>
        <v>0</v>
      </c>
      <c r="F212" s="83"/>
      <c r="G212" s="84">
        <f t="shared" si="150"/>
        <v>0</v>
      </c>
      <c r="H212" s="85">
        <f t="shared" si="151"/>
        <v>0</v>
      </c>
      <c r="I212" s="1099"/>
      <c r="J212" s="86"/>
      <c r="K212" s="1099"/>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9"/>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8"/>
      <c r="C213" s="1099"/>
      <c r="D213" s="2199"/>
      <c r="E213" s="82">
        <f t="shared" si="149"/>
        <v>0</v>
      </c>
      <c r="F213" s="83"/>
      <c r="G213" s="84">
        <f t="shared" si="150"/>
        <v>0</v>
      </c>
      <c r="H213" s="85">
        <f t="shared" si="151"/>
        <v>0</v>
      </c>
      <c r="I213" s="1099"/>
      <c r="J213" s="86"/>
      <c r="K213" s="1099"/>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9"/>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6"/>
      <c r="C214" s="1097"/>
      <c r="D214" s="2199"/>
      <c r="E214" s="82">
        <f t="shared" si="149"/>
        <v>0</v>
      </c>
      <c r="F214" s="83"/>
      <c r="G214" s="84">
        <f t="shared" si="150"/>
        <v>0</v>
      </c>
      <c r="H214" s="85">
        <f t="shared" si="151"/>
        <v>0</v>
      </c>
      <c r="I214" s="1099"/>
      <c r="J214" s="86"/>
      <c r="K214" s="1099"/>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9"/>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6"/>
      <c r="C215" s="1097"/>
      <c r="D215" s="2199"/>
      <c r="E215" s="82">
        <f t="shared" si="149"/>
        <v>0</v>
      </c>
      <c r="F215" s="83"/>
      <c r="G215" s="84">
        <f t="shared" si="150"/>
        <v>0</v>
      </c>
      <c r="H215" s="85">
        <f t="shared" si="151"/>
        <v>0</v>
      </c>
      <c r="I215" s="1099"/>
      <c r="J215" s="86"/>
      <c r="K215" s="1099"/>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9"/>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6"/>
      <c r="C216" s="1097"/>
      <c r="D216" s="2199"/>
      <c r="E216" s="82">
        <f t="shared" si="149"/>
        <v>0</v>
      </c>
      <c r="F216" s="83"/>
      <c r="G216" s="84">
        <f t="shared" si="150"/>
        <v>0</v>
      </c>
      <c r="H216" s="85">
        <f t="shared" si="151"/>
        <v>0</v>
      </c>
      <c r="I216" s="1099"/>
      <c r="J216" s="86"/>
      <c r="K216" s="1099"/>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9"/>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6"/>
      <c r="C217" s="1097"/>
      <c r="D217" s="2199"/>
      <c r="E217" s="82">
        <f t="shared" si="149"/>
        <v>0</v>
      </c>
      <c r="F217" s="83"/>
      <c r="G217" s="84">
        <f t="shared" si="150"/>
        <v>0</v>
      </c>
      <c r="H217" s="85">
        <f t="shared" si="151"/>
        <v>0</v>
      </c>
      <c r="I217" s="1099"/>
      <c r="J217" s="86"/>
      <c r="K217" s="1099"/>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9"/>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6"/>
      <c r="C218" s="1097"/>
      <c r="D218" s="2199"/>
      <c r="E218" s="82">
        <f t="shared" si="149"/>
        <v>0</v>
      </c>
      <c r="F218" s="83"/>
      <c r="G218" s="84">
        <f t="shared" si="150"/>
        <v>0</v>
      </c>
      <c r="H218" s="85">
        <f t="shared" si="151"/>
        <v>0</v>
      </c>
      <c r="I218" s="1099"/>
      <c r="J218" s="86"/>
      <c r="K218" s="1099"/>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9"/>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6"/>
      <c r="C219" s="1097"/>
      <c r="D219" s="2199"/>
      <c r="E219" s="82">
        <f t="shared" si="149"/>
        <v>0</v>
      </c>
      <c r="F219" s="83"/>
      <c r="G219" s="84">
        <f t="shared" si="150"/>
        <v>0</v>
      </c>
      <c r="H219" s="85">
        <f t="shared" si="151"/>
        <v>0</v>
      </c>
      <c r="I219" s="1099"/>
      <c r="J219" s="86"/>
      <c r="K219" s="1099"/>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9"/>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6"/>
      <c r="C220" s="1097"/>
      <c r="D220" s="2199"/>
      <c r="E220" s="82">
        <f t="shared" si="149"/>
        <v>0</v>
      </c>
      <c r="F220" s="83"/>
      <c r="G220" s="84">
        <f t="shared" si="150"/>
        <v>0</v>
      </c>
      <c r="H220" s="85">
        <f t="shared" si="151"/>
        <v>0</v>
      </c>
      <c r="I220" s="1099"/>
      <c r="J220" s="86"/>
      <c r="K220" s="1099"/>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9"/>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6"/>
      <c r="C221" s="1097"/>
      <c r="D221" s="2199"/>
      <c r="E221" s="82">
        <f t="shared" si="149"/>
        <v>0</v>
      </c>
      <c r="F221" s="83"/>
      <c r="G221" s="84">
        <f t="shared" si="150"/>
        <v>0</v>
      </c>
      <c r="H221" s="85">
        <f t="shared" si="151"/>
        <v>0</v>
      </c>
      <c r="I221" s="1099"/>
      <c r="J221" s="86"/>
      <c r="K221" s="1099"/>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9"/>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6"/>
      <c r="C222" s="1097"/>
      <c r="D222" s="2199"/>
      <c r="E222" s="82">
        <f t="shared" si="149"/>
        <v>0</v>
      </c>
      <c r="F222" s="83"/>
      <c r="G222" s="84">
        <f t="shared" si="150"/>
        <v>0</v>
      </c>
      <c r="H222" s="85">
        <f t="shared" si="151"/>
        <v>0</v>
      </c>
      <c r="I222" s="1099"/>
      <c r="J222" s="86"/>
      <c r="K222" s="1099"/>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9"/>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6"/>
      <c r="C223" s="1097"/>
      <c r="D223" s="2199"/>
      <c r="E223" s="82">
        <f t="shared" si="149"/>
        <v>0</v>
      </c>
      <c r="F223" s="83"/>
      <c r="G223" s="84">
        <f t="shared" si="150"/>
        <v>0</v>
      </c>
      <c r="H223" s="85">
        <f t="shared" si="151"/>
        <v>0</v>
      </c>
      <c r="I223" s="1099"/>
      <c r="J223" s="86"/>
      <c r="K223" s="1099"/>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9"/>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6"/>
      <c r="C224" s="1097"/>
      <c r="D224" s="2199"/>
      <c r="E224" s="82">
        <f t="shared" si="149"/>
        <v>0</v>
      </c>
      <c r="F224" s="83"/>
      <c r="G224" s="84">
        <f t="shared" si="150"/>
        <v>0</v>
      </c>
      <c r="H224" s="85">
        <f t="shared" si="151"/>
        <v>0</v>
      </c>
      <c r="I224" s="1099"/>
      <c r="J224" s="86"/>
      <c r="K224" s="1099"/>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9"/>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6"/>
      <c r="C225" s="1097"/>
      <c r="D225" s="2199"/>
      <c r="E225" s="82">
        <f t="shared" si="149"/>
        <v>0</v>
      </c>
      <c r="F225" s="83"/>
      <c r="G225" s="84">
        <f t="shared" si="150"/>
        <v>0</v>
      </c>
      <c r="H225" s="85">
        <f t="shared" si="151"/>
        <v>0</v>
      </c>
      <c r="I225" s="1099"/>
      <c r="J225" s="86"/>
      <c r="K225" s="1099"/>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9"/>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6"/>
      <c r="C226" s="1097"/>
      <c r="D226" s="2199"/>
      <c r="E226" s="82">
        <f t="shared" si="149"/>
        <v>0</v>
      </c>
      <c r="F226" s="83"/>
      <c r="G226" s="84">
        <f t="shared" si="150"/>
        <v>0</v>
      </c>
      <c r="H226" s="85">
        <f t="shared" si="151"/>
        <v>0</v>
      </c>
      <c r="I226" s="1099"/>
      <c r="J226" s="86"/>
      <c r="K226" s="1099"/>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9"/>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6"/>
      <c r="C227" s="1097"/>
      <c r="D227" s="2199"/>
      <c r="E227" s="82">
        <f t="shared" si="149"/>
        <v>0</v>
      </c>
      <c r="F227" s="83"/>
      <c r="G227" s="84">
        <f t="shared" si="150"/>
        <v>0</v>
      </c>
      <c r="H227" s="85">
        <f t="shared" si="151"/>
        <v>0</v>
      </c>
      <c r="I227" s="1099"/>
      <c r="J227" s="86"/>
      <c r="K227" s="1099"/>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9"/>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6"/>
      <c r="C228" s="1097"/>
      <c r="D228" s="2199"/>
      <c r="E228" s="82">
        <f t="shared" si="149"/>
        <v>0</v>
      </c>
      <c r="F228" s="83"/>
      <c r="G228" s="84">
        <f t="shared" si="150"/>
        <v>0</v>
      </c>
      <c r="H228" s="85">
        <f t="shared" si="151"/>
        <v>0</v>
      </c>
      <c r="I228" s="1099"/>
      <c r="J228" s="86"/>
      <c r="K228" s="1099"/>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9"/>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6"/>
      <c r="C229" s="1097"/>
      <c r="D229" s="2199"/>
      <c r="E229" s="82">
        <f t="shared" si="149"/>
        <v>0</v>
      </c>
      <c r="F229" s="83"/>
      <c r="G229" s="84">
        <f t="shared" si="150"/>
        <v>0</v>
      </c>
      <c r="H229" s="85">
        <f t="shared" si="151"/>
        <v>0</v>
      </c>
      <c r="I229" s="1099"/>
      <c r="J229" s="86"/>
      <c r="K229" s="1099"/>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9"/>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6"/>
      <c r="C230" s="1097"/>
      <c r="D230" s="2199"/>
      <c r="E230" s="82">
        <f t="shared" si="149"/>
        <v>0</v>
      </c>
      <c r="F230" s="83"/>
      <c r="G230" s="84">
        <f t="shared" si="150"/>
        <v>0</v>
      </c>
      <c r="H230" s="85">
        <f t="shared" si="151"/>
        <v>0</v>
      </c>
      <c r="I230" s="1099"/>
      <c r="J230" s="86"/>
      <c r="K230" s="1099"/>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9"/>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6"/>
      <c r="C231" s="1097"/>
      <c r="D231" s="2199"/>
      <c r="E231" s="82">
        <f t="shared" si="149"/>
        <v>0</v>
      </c>
      <c r="F231" s="83"/>
      <c r="G231" s="84">
        <f t="shared" si="150"/>
        <v>0</v>
      </c>
      <c r="H231" s="85">
        <f t="shared" si="151"/>
        <v>0</v>
      </c>
      <c r="I231" s="1099"/>
      <c r="J231" s="86"/>
      <c r="K231" s="1099"/>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7"/>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6"/>
      <c r="C232" s="1097"/>
      <c r="D232" s="2199"/>
      <c r="E232" s="82">
        <f t="shared" si="149"/>
        <v>0</v>
      </c>
      <c r="F232" s="83"/>
      <c r="G232" s="84">
        <f t="shared" si="150"/>
        <v>0</v>
      </c>
      <c r="H232" s="85">
        <f t="shared" si="151"/>
        <v>0</v>
      </c>
      <c r="I232" s="1097"/>
      <c r="J232" s="86"/>
      <c r="K232" s="1097"/>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7"/>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6"/>
      <c r="C233" s="1097"/>
      <c r="D233" s="2199"/>
      <c r="E233" s="82">
        <f t="shared" si="149"/>
        <v>0</v>
      </c>
      <c r="F233" s="83"/>
      <c r="G233" s="84">
        <f t="shared" si="150"/>
        <v>0</v>
      </c>
      <c r="H233" s="85">
        <f t="shared" si="151"/>
        <v>0</v>
      </c>
      <c r="I233" s="1097"/>
      <c r="J233" s="86"/>
      <c r="K233" s="1097"/>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7"/>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6"/>
      <c r="C234" s="1097"/>
      <c r="D234" s="2199"/>
      <c r="E234" s="82">
        <f t="shared" si="149"/>
        <v>0</v>
      </c>
      <c r="F234" s="83"/>
      <c r="G234" s="84">
        <f t="shared" si="150"/>
        <v>0</v>
      </c>
      <c r="H234" s="85">
        <f t="shared" si="151"/>
        <v>0</v>
      </c>
      <c r="I234" s="1097"/>
      <c r="J234" s="86"/>
      <c r="K234" s="1097"/>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7"/>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6"/>
      <c r="C235" s="1097"/>
      <c r="D235" s="2199"/>
      <c r="E235" s="82">
        <f t="shared" si="149"/>
        <v>0</v>
      </c>
      <c r="F235" s="83"/>
      <c r="G235" s="84">
        <f t="shared" si="150"/>
        <v>0</v>
      </c>
      <c r="H235" s="85">
        <f t="shared" si="151"/>
        <v>0</v>
      </c>
      <c r="I235" s="1097"/>
      <c r="J235" s="86"/>
      <c r="K235" s="1097"/>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7"/>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6"/>
      <c r="C236" s="1097"/>
      <c r="D236" s="2199"/>
      <c r="E236" s="82">
        <f t="shared" si="149"/>
        <v>0</v>
      </c>
      <c r="F236" s="83"/>
      <c r="G236" s="84">
        <f t="shared" si="150"/>
        <v>0</v>
      </c>
      <c r="H236" s="85">
        <f t="shared" si="151"/>
        <v>0</v>
      </c>
      <c r="I236" s="1097"/>
      <c r="J236" s="86"/>
      <c r="K236" s="1097"/>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7"/>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6"/>
      <c r="C237" s="1097"/>
      <c r="D237" s="2199"/>
      <c r="E237" s="82">
        <f t="shared" si="149"/>
        <v>0</v>
      </c>
      <c r="F237" s="83"/>
      <c r="G237" s="84">
        <f t="shared" si="150"/>
        <v>0</v>
      </c>
      <c r="H237" s="85">
        <f t="shared" si="151"/>
        <v>0</v>
      </c>
      <c r="I237" s="1097"/>
      <c r="J237" s="86"/>
      <c r="K237" s="1097"/>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7"/>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6"/>
      <c r="C238" s="1097"/>
      <c r="D238" s="2199"/>
      <c r="E238" s="82">
        <f t="shared" si="149"/>
        <v>0</v>
      </c>
      <c r="F238" s="83"/>
      <c r="G238" s="84">
        <f t="shared" si="150"/>
        <v>0</v>
      </c>
      <c r="H238" s="85">
        <f t="shared" si="151"/>
        <v>0</v>
      </c>
      <c r="I238" s="1097"/>
      <c r="J238" s="86"/>
      <c r="K238" s="1097"/>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7"/>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8"/>
      <c r="C239" s="1099"/>
      <c r="D239" s="2199"/>
      <c r="E239" s="82">
        <f t="shared" si="149"/>
        <v>0</v>
      </c>
      <c r="F239" s="83"/>
      <c r="G239" s="84">
        <f t="shared" si="150"/>
        <v>0</v>
      </c>
      <c r="H239" s="85">
        <f t="shared" si="151"/>
        <v>0</v>
      </c>
      <c r="I239" s="1097"/>
      <c r="J239" s="86"/>
      <c r="K239" s="1097"/>
      <c r="L239" s="86"/>
      <c r="M239" s="1097"/>
      <c r="N239" s="86"/>
      <c r="O239" s="86"/>
      <c r="P239" s="86"/>
      <c r="Q239" s="86"/>
      <c r="R239" s="86"/>
      <c r="S239" s="86"/>
      <c r="T239" s="86"/>
      <c r="U239" s="86"/>
      <c r="V239" s="86"/>
      <c r="W239" s="86"/>
      <c r="X239" s="86"/>
      <c r="Y239" s="86"/>
      <c r="Z239" s="86"/>
      <c r="AA239" s="86"/>
      <c r="AB239" s="86"/>
      <c r="AC239" s="82">
        <f t="shared" si="152"/>
        <v>0</v>
      </c>
      <c r="AD239" s="87"/>
      <c r="AE239" s="87"/>
      <c r="AF239" s="1097"/>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6"/>
      <c r="C297" s="1097"/>
      <c r="D297" s="2199"/>
      <c r="E297" s="82">
        <f t="shared" ref="E297:E328" si="203">IF($C$3="是",ROUND($A$3*G297/$B$3,2),ROUND($A$3*(G297-AT297)/$B$3,2))</f>
        <v>0</v>
      </c>
      <c r="F297" s="83"/>
      <c r="G297" s="84">
        <f t="shared" si="178"/>
        <v>0</v>
      </c>
      <c r="H297" s="85">
        <f t="shared" si="179"/>
        <v>0</v>
      </c>
      <c r="I297" s="1099"/>
      <c r="J297" s="86"/>
      <c r="K297" s="1099"/>
      <c r="L297" s="86"/>
      <c r="M297" s="86"/>
      <c r="N297" s="86"/>
      <c r="O297" s="86"/>
      <c r="P297" s="86"/>
      <c r="Q297" s="86"/>
      <c r="R297" s="86"/>
      <c r="S297" s="86"/>
      <c r="T297" s="86"/>
      <c r="U297" s="86"/>
      <c r="V297" s="86"/>
      <c r="W297" s="86"/>
      <c r="X297" s="86"/>
      <c r="Y297" s="86"/>
      <c r="Z297" s="86"/>
      <c r="AA297" s="86"/>
      <c r="AB297" s="86"/>
      <c r="AC297" s="82">
        <f t="shared" si="180"/>
        <v>0</v>
      </c>
      <c r="AD297" s="87"/>
      <c r="AE297" s="87"/>
      <c r="AF297" s="1100"/>
      <c r="AG297" s="87"/>
      <c r="AH297" s="87"/>
      <c r="AI297" s="87"/>
      <c r="AJ297" s="87"/>
      <c r="AK297" s="87"/>
      <c r="AL297" s="87"/>
      <c r="AM297" s="87"/>
      <c r="AN297" s="1075"/>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6"/>
      <c r="C298" s="1097"/>
      <c r="D298" s="2199"/>
      <c r="E298" s="82">
        <f t="shared" si="203"/>
        <v>0</v>
      </c>
      <c r="F298" s="83"/>
      <c r="G298" s="84">
        <f t="shared" si="178"/>
        <v>0</v>
      </c>
      <c r="H298" s="85">
        <f t="shared" si="179"/>
        <v>0</v>
      </c>
      <c r="I298" s="1099"/>
      <c r="J298" s="86"/>
      <c r="K298" s="1099"/>
      <c r="L298" s="86"/>
      <c r="M298" s="1075"/>
      <c r="N298" s="86"/>
      <c r="O298" s="86"/>
      <c r="P298" s="86"/>
      <c r="Q298" s="86"/>
      <c r="R298" s="86"/>
      <c r="S298" s="86"/>
      <c r="T298" s="86"/>
      <c r="U298" s="86"/>
      <c r="V298" s="86"/>
      <c r="W298" s="86"/>
      <c r="X298" s="86"/>
      <c r="Y298" s="86"/>
      <c r="Z298" s="86"/>
      <c r="AA298" s="86"/>
      <c r="AB298" s="86"/>
      <c r="AC298" s="82">
        <f t="shared" si="180"/>
        <v>0</v>
      </c>
      <c r="AD298" s="1075"/>
      <c r="AE298" s="87"/>
      <c r="AF298" s="1100"/>
      <c r="AG298" s="87"/>
      <c r="AH298" s="87"/>
      <c r="AI298" s="87"/>
      <c r="AJ298" s="87"/>
      <c r="AK298" s="87"/>
      <c r="AL298" s="1075"/>
      <c r="AM298" s="87"/>
      <c r="AN298" s="1075"/>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6"/>
      <c r="C299" s="1097"/>
      <c r="D299" s="2199"/>
      <c r="E299" s="82">
        <f t="shared" si="203"/>
        <v>0</v>
      </c>
      <c r="F299" s="83"/>
      <c r="G299" s="84">
        <f t="shared" si="178"/>
        <v>0</v>
      </c>
      <c r="H299" s="85">
        <f t="shared" si="179"/>
        <v>0</v>
      </c>
      <c r="I299" s="1099"/>
      <c r="J299" s="86"/>
      <c r="K299" s="1099"/>
      <c r="L299" s="86"/>
      <c r="M299" s="1075"/>
      <c r="N299" s="86"/>
      <c r="O299" s="86"/>
      <c r="P299" s="86"/>
      <c r="Q299" s="86"/>
      <c r="R299" s="86"/>
      <c r="S299" s="86"/>
      <c r="T299" s="86"/>
      <c r="U299" s="86"/>
      <c r="V299" s="86"/>
      <c r="W299" s="86"/>
      <c r="X299" s="86"/>
      <c r="Y299" s="86"/>
      <c r="Z299" s="86"/>
      <c r="AA299" s="86"/>
      <c r="AB299" s="86"/>
      <c r="AC299" s="82">
        <f t="shared" si="180"/>
        <v>0</v>
      </c>
      <c r="AD299" s="87"/>
      <c r="AE299" s="87"/>
      <c r="AF299" s="1100"/>
      <c r="AG299" s="87"/>
      <c r="AH299" s="87"/>
      <c r="AI299" s="87"/>
      <c r="AJ299" s="87"/>
      <c r="AK299" s="87"/>
      <c r="AL299" s="1075"/>
      <c r="AM299" s="87"/>
      <c r="AN299" s="1075"/>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6"/>
      <c r="C300" s="1097"/>
      <c r="D300" s="2199"/>
      <c r="E300" s="82">
        <f t="shared" si="203"/>
        <v>0</v>
      </c>
      <c r="F300" s="83"/>
      <c r="G300" s="84">
        <f t="shared" si="178"/>
        <v>0</v>
      </c>
      <c r="H300" s="85">
        <f t="shared" si="179"/>
        <v>0</v>
      </c>
      <c r="I300" s="1099"/>
      <c r="J300" s="86"/>
      <c r="K300" s="1099"/>
      <c r="L300" s="86"/>
      <c r="M300" s="86"/>
      <c r="N300" s="86"/>
      <c r="O300" s="1075"/>
      <c r="P300" s="86"/>
      <c r="Q300" s="86"/>
      <c r="R300" s="86"/>
      <c r="S300" s="86"/>
      <c r="T300" s="86"/>
      <c r="U300" s="86"/>
      <c r="V300" s="86"/>
      <c r="W300" s="86"/>
      <c r="X300" s="86"/>
      <c r="Y300" s="86"/>
      <c r="Z300" s="86"/>
      <c r="AA300" s="86"/>
      <c r="AB300" s="86"/>
      <c r="AC300" s="82">
        <f t="shared" si="180"/>
        <v>0</v>
      </c>
      <c r="AD300" s="87"/>
      <c r="AE300" s="87"/>
      <c r="AF300" s="1100"/>
      <c r="AG300" s="87"/>
      <c r="AH300" s="87"/>
      <c r="AI300" s="87"/>
      <c r="AJ300" s="87"/>
      <c r="AK300" s="87"/>
      <c r="AL300" s="87"/>
      <c r="AM300" s="87"/>
      <c r="AN300" s="1075"/>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6"/>
      <c r="C301" s="1097"/>
      <c r="D301" s="2199"/>
      <c r="E301" s="82">
        <f t="shared" si="203"/>
        <v>0</v>
      </c>
      <c r="F301" s="83"/>
      <c r="G301" s="84">
        <f t="shared" si="178"/>
        <v>0</v>
      </c>
      <c r="H301" s="85">
        <f t="shared" si="179"/>
        <v>0</v>
      </c>
      <c r="I301" s="1099"/>
      <c r="J301" s="86"/>
      <c r="K301" s="1099"/>
      <c r="L301" s="86"/>
      <c r="M301" s="86"/>
      <c r="N301" s="86"/>
      <c r="O301" s="86"/>
      <c r="P301" s="86"/>
      <c r="Q301" s="86"/>
      <c r="R301" s="86"/>
      <c r="S301" s="86"/>
      <c r="T301" s="86"/>
      <c r="U301" s="86"/>
      <c r="V301" s="86"/>
      <c r="W301" s="86"/>
      <c r="X301" s="86"/>
      <c r="Y301" s="86"/>
      <c r="Z301" s="86"/>
      <c r="AA301" s="86"/>
      <c r="AB301" s="86"/>
      <c r="AC301" s="82">
        <f t="shared" si="180"/>
        <v>0</v>
      </c>
      <c r="AD301" s="87"/>
      <c r="AE301" s="87"/>
      <c r="AF301" s="1100"/>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6"/>
      <c r="C302" s="1097"/>
      <c r="D302" s="2199"/>
      <c r="E302" s="82">
        <f t="shared" si="203"/>
        <v>0</v>
      </c>
      <c r="F302" s="83"/>
      <c r="G302" s="84">
        <f t="shared" si="178"/>
        <v>0</v>
      </c>
      <c r="H302" s="85">
        <f t="shared" si="179"/>
        <v>0</v>
      </c>
      <c r="I302" s="1099"/>
      <c r="J302" s="86"/>
      <c r="K302" s="1099"/>
      <c r="L302" s="86"/>
      <c r="M302" s="86"/>
      <c r="N302" s="86"/>
      <c r="O302" s="86"/>
      <c r="P302" s="86"/>
      <c r="Q302" s="86"/>
      <c r="R302" s="86"/>
      <c r="S302" s="86"/>
      <c r="T302" s="86"/>
      <c r="U302" s="86"/>
      <c r="V302" s="86"/>
      <c r="W302" s="86"/>
      <c r="X302" s="86"/>
      <c r="Y302" s="86"/>
      <c r="Z302" s="86"/>
      <c r="AA302" s="86"/>
      <c r="AB302" s="86"/>
      <c r="AC302" s="82">
        <f t="shared" si="180"/>
        <v>0</v>
      </c>
      <c r="AD302" s="87"/>
      <c r="AE302" s="87"/>
      <c r="AF302" s="1100"/>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6"/>
      <c r="C303" s="1097"/>
      <c r="D303" s="2199"/>
      <c r="E303" s="82">
        <f t="shared" si="203"/>
        <v>0</v>
      </c>
      <c r="F303" s="83"/>
      <c r="G303" s="84">
        <f t="shared" si="178"/>
        <v>0</v>
      </c>
      <c r="H303" s="85">
        <f t="shared" si="179"/>
        <v>0</v>
      </c>
      <c r="I303" s="1099"/>
      <c r="J303" s="86"/>
      <c r="K303" s="1099"/>
      <c r="L303" s="86"/>
      <c r="M303" s="86"/>
      <c r="N303" s="86"/>
      <c r="O303" s="86"/>
      <c r="P303" s="86"/>
      <c r="Q303" s="86"/>
      <c r="R303" s="86"/>
      <c r="S303" s="86"/>
      <c r="T303" s="86"/>
      <c r="U303" s="86"/>
      <c r="V303" s="86"/>
      <c r="W303" s="86"/>
      <c r="X303" s="86"/>
      <c r="Y303" s="86"/>
      <c r="Z303" s="86"/>
      <c r="AA303" s="86"/>
      <c r="AB303" s="86"/>
      <c r="AC303" s="82">
        <f t="shared" si="180"/>
        <v>0</v>
      </c>
      <c r="AD303" s="87"/>
      <c r="AE303" s="87"/>
      <c r="AF303" s="1100"/>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6"/>
      <c r="C304" s="1097"/>
      <c r="D304" s="2199"/>
      <c r="E304" s="82">
        <f t="shared" si="203"/>
        <v>0</v>
      </c>
      <c r="F304" s="83"/>
      <c r="G304" s="84">
        <f t="shared" si="178"/>
        <v>0</v>
      </c>
      <c r="H304" s="85">
        <f t="shared" si="179"/>
        <v>0</v>
      </c>
      <c r="I304" s="1099"/>
      <c r="J304" s="86"/>
      <c r="K304" s="1099"/>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9"/>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8"/>
      <c r="C305" s="1099"/>
      <c r="D305" s="2199"/>
      <c r="E305" s="82">
        <f t="shared" si="203"/>
        <v>0</v>
      </c>
      <c r="F305" s="83"/>
      <c r="G305" s="84">
        <f t="shared" si="178"/>
        <v>0</v>
      </c>
      <c r="H305" s="85">
        <f t="shared" si="179"/>
        <v>0</v>
      </c>
      <c r="I305" s="1099"/>
      <c r="J305" s="86"/>
      <c r="K305" s="1099"/>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9"/>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6"/>
      <c r="C306" s="1097"/>
      <c r="D306" s="2199"/>
      <c r="E306" s="82">
        <f t="shared" si="203"/>
        <v>0</v>
      </c>
      <c r="F306" s="83"/>
      <c r="G306" s="84">
        <f t="shared" si="178"/>
        <v>0</v>
      </c>
      <c r="H306" s="85">
        <f t="shared" si="179"/>
        <v>0</v>
      </c>
      <c r="I306" s="1099"/>
      <c r="J306" s="86"/>
      <c r="K306" s="1099"/>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9"/>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6"/>
      <c r="C307" s="1097"/>
      <c r="D307" s="2199"/>
      <c r="E307" s="82">
        <f t="shared" si="203"/>
        <v>0</v>
      </c>
      <c r="F307" s="83"/>
      <c r="G307" s="84">
        <f t="shared" si="178"/>
        <v>0</v>
      </c>
      <c r="H307" s="85">
        <f t="shared" si="179"/>
        <v>0</v>
      </c>
      <c r="I307" s="1099"/>
      <c r="J307" s="86"/>
      <c r="K307" s="1099"/>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9"/>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6"/>
      <c r="C308" s="1097"/>
      <c r="D308" s="2199"/>
      <c r="E308" s="82">
        <f t="shared" si="203"/>
        <v>0</v>
      </c>
      <c r="F308" s="83"/>
      <c r="G308" s="84">
        <f t="shared" si="178"/>
        <v>0</v>
      </c>
      <c r="H308" s="85">
        <f t="shared" si="179"/>
        <v>0</v>
      </c>
      <c r="I308" s="1099"/>
      <c r="J308" s="86"/>
      <c r="K308" s="1099"/>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9"/>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6"/>
      <c r="C309" s="1097"/>
      <c r="D309" s="2199"/>
      <c r="E309" s="82">
        <f t="shared" si="203"/>
        <v>0</v>
      </c>
      <c r="F309" s="83"/>
      <c r="G309" s="84">
        <f t="shared" si="178"/>
        <v>0</v>
      </c>
      <c r="H309" s="85">
        <f t="shared" si="179"/>
        <v>0</v>
      </c>
      <c r="I309" s="1099"/>
      <c r="J309" s="86"/>
      <c r="K309" s="1099"/>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9"/>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6"/>
      <c r="C310" s="1097"/>
      <c r="D310" s="2199"/>
      <c r="E310" s="82">
        <f t="shared" si="203"/>
        <v>0</v>
      </c>
      <c r="F310" s="83"/>
      <c r="G310" s="84">
        <f t="shared" si="178"/>
        <v>0</v>
      </c>
      <c r="H310" s="85">
        <f t="shared" si="179"/>
        <v>0</v>
      </c>
      <c r="I310" s="1099"/>
      <c r="J310" s="86"/>
      <c r="K310" s="1099"/>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9"/>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6"/>
      <c r="C311" s="1097"/>
      <c r="D311" s="2199"/>
      <c r="E311" s="82">
        <f t="shared" si="203"/>
        <v>0</v>
      </c>
      <c r="F311" s="83"/>
      <c r="G311" s="84">
        <f t="shared" si="178"/>
        <v>0</v>
      </c>
      <c r="H311" s="85">
        <f t="shared" si="179"/>
        <v>0</v>
      </c>
      <c r="I311" s="1099"/>
      <c r="J311" s="86"/>
      <c r="K311" s="1099"/>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9"/>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6"/>
      <c r="C312" s="1097"/>
      <c r="D312" s="2199"/>
      <c r="E312" s="82">
        <f t="shared" si="203"/>
        <v>0</v>
      </c>
      <c r="F312" s="83"/>
      <c r="G312" s="84">
        <f t="shared" si="178"/>
        <v>0</v>
      </c>
      <c r="H312" s="85">
        <f t="shared" si="179"/>
        <v>0</v>
      </c>
      <c r="I312" s="1099"/>
      <c r="J312" s="86"/>
      <c r="K312" s="1099"/>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9"/>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6"/>
      <c r="C313" s="1097"/>
      <c r="D313" s="2199"/>
      <c r="E313" s="82">
        <f t="shared" si="203"/>
        <v>0</v>
      </c>
      <c r="F313" s="83"/>
      <c r="G313" s="84">
        <f t="shared" si="178"/>
        <v>0</v>
      </c>
      <c r="H313" s="85">
        <f t="shared" si="179"/>
        <v>0</v>
      </c>
      <c r="I313" s="1099"/>
      <c r="J313" s="86"/>
      <c r="K313" s="1099"/>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9"/>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6"/>
      <c r="C314" s="1097"/>
      <c r="D314" s="2199"/>
      <c r="E314" s="82">
        <f t="shared" si="203"/>
        <v>0</v>
      </c>
      <c r="F314" s="83"/>
      <c r="G314" s="84">
        <f t="shared" si="178"/>
        <v>0</v>
      </c>
      <c r="H314" s="85">
        <f t="shared" si="179"/>
        <v>0</v>
      </c>
      <c r="I314" s="1099"/>
      <c r="J314" s="86"/>
      <c r="K314" s="1099"/>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9"/>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6"/>
      <c r="C315" s="1097"/>
      <c r="D315" s="2199"/>
      <c r="E315" s="82">
        <f t="shared" si="203"/>
        <v>0</v>
      </c>
      <c r="F315" s="83"/>
      <c r="G315" s="84">
        <f t="shared" si="178"/>
        <v>0</v>
      </c>
      <c r="H315" s="85">
        <f t="shared" si="179"/>
        <v>0</v>
      </c>
      <c r="I315" s="1099"/>
      <c r="J315" s="86"/>
      <c r="K315" s="1099"/>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9"/>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6"/>
      <c r="C316" s="1097"/>
      <c r="D316" s="2199"/>
      <c r="E316" s="82">
        <f t="shared" si="203"/>
        <v>0</v>
      </c>
      <c r="F316" s="83"/>
      <c r="G316" s="84">
        <f t="shared" si="178"/>
        <v>0</v>
      </c>
      <c r="H316" s="85">
        <f t="shared" si="179"/>
        <v>0</v>
      </c>
      <c r="I316" s="1099"/>
      <c r="J316" s="86"/>
      <c r="K316" s="1099"/>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9"/>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6"/>
      <c r="C317" s="1097"/>
      <c r="D317" s="2199"/>
      <c r="E317" s="82">
        <f t="shared" si="203"/>
        <v>0</v>
      </c>
      <c r="F317" s="83"/>
      <c r="G317" s="84">
        <f t="shared" si="178"/>
        <v>0</v>
      </c>
      <c r="H317" s="85">
        <f t="shared" si="179"/>
        <v>0</v>
      </c>
      <c r="I317" s="1099"/>
      <c r="J317" s="86"/>
      <c r="K317" s="1099"/>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9"/>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6"/>
      <c r="C318" s="1097"/>
      <c r="D318" s="2199"/>
      <c r="E318" s="82">
        <f t="shared" si="203"/>
        <v>0</v>
      </c>
      <c r="F318" s="83"/>
      <c r="G318" s="84">
        <f t="shared" si="178"/>
        <v>0</v>
      </c>
      <c r="H318" s="85">
        <f t="shared" si="179"/>
        <v>0</v>
      </c>
      <c r="I318" s="1099"/>
      <c r="J318" s="86"/>
      <c r="K318" s="1099"/>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9"/>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6"/>
      <c r="C319" s="1097"/>
      <c r="D319" s="2199"/>
      <c r="E319" s="82">
        <f t="shared" si="203"/>
        <v>0</v>
      </c>
      <c r="F319" s="83"/>
      <c r="G319" s="84">
        <f t="shared" si="178"/>
        <v>0</v>
      </c>
      <c r="H319" s="85">
        <f t="shared" si="179"/>
        <v>0</v>
      </c>
      <c r="I319" s="1099"/>
      <c r="J319" s="86"/>
      <c r="K319" s="1099"/>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9"/>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6"/>
      <c r="C320" s="1097"/>
      <c r="D320" s="2199"/>
      <c r="E320" s="82">
        <f t="shared" si="203"/>
        <v>0</v>
      </c>
      <c r="F320" s="83"/>
      <c r="G320" s="84">
        <f t="shared" si="178"/>
        <v>0</v>
      </c>
      <c r="H320" s="85">
        <f t="shared" si="179"/>
        <v>0</v>
      </c>
      <c r="I320" s="1099"/>
      <c r="J320" s="86"/>
      <c r="K320" s="1099"/>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9"/>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6"/>
      <c r="C321" s="1097"/>
      <c r="D321" s="2199"/>
      <c r="E321" s="82">
        <f t="shared" si="203"/>
        <v>0</v>
      </c>
      <c r="F321" s="83"/>
      <c r="G321" s="84">
        <f t="shared" si="178"/>
        <v>0</v>
      </c>
      <c r="H321" s="85">
        <f t="shared" si="179"/>
        <v>0</v>
      </c>
      <c r="I321" s="1099"/>
      <c r="J321" s="86"/>
      <c r="K321" s="1099"/>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9"/>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6"/>
      <c r="C322" s="1097"/>
      <c r="D322" s="2199"/>
      <c r="E322" s="82">
        <f t="shared" si="203"/>
        <v>0</v>
      </c>
      <c r="F322" s="83"/>
      <c r="G322" s="84">
        <f t="shared" si="178"/>
        <v>0</v>
      </c>
      <c r="H322" s="85">
        <f t="shared" si="179"/>
        <v>0</v>
      </c>
      <c r="I322" s="1099"/>
      <c r="J322" s="86"/>
      <c r="K322" s="1099"/>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9"/>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6"/>
      <c r="C323" s="1097"/>
      <c r="D323" s="2199"/>
      <c r="E323" s="82">
        <f t="shared" si="203"/>
        <v>0</v>
      </c>
      <c r="F323" s="83"/>
      <c r="G323" s="84">
        <f t="shared" si="178"/>
        <v>0</v>
      </c>
      <c r="H323" s="85">
        <f t="shared" si="179"/>
        <v>0</v>
      </c>
      <c r="I323" s="1099"/>
      <c r="J323" s="86"/>
      <c r="K323" s="1099"/>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7"/>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6"/>
      <c r="C324" s="1097"/>
      <c r="D324" s="2199"/>
      <c r="E324" s="82">
        <f t="shared" si="203"/>
        <v>0</v>
      </c>
      <c r="F324" s="83"/>
      <c r="G324" s="84">
        <f t="shared" si="178"/>
        <v>0</v>
      </c>
      <c r="H324" s="85">
        <f t="shared" si="179"/>
        <v>0</v>
      </c>
      <c r="I324" s="1097"/>
      <c r="J324" s="86"/>
      <c r="K324" s="1097"/>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7"/>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6"/>
      <c r="C325" s="1097"/>
      <c r="D325" s="2199"/>
      <c r="E325" s="82">
        <f t="shared" si="203"/>
        <v>0</v>
      </c>
      <c r="F325" s="83"/>
      <c r="G325" s="84">
        <f t="shared" si="178"/>
        <v>0</v>
      </c>
      <c r="H325" s="85">
        <f t="shared" si="179"/>
        <v>0</v>
      </c>
      <c r="I325" s="1097"/>
      <c r="J325" s="86"/>
      <c r="K325" s="1097"/>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7"/>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6"/>
      <c r="C326" s="1097"/>
      <c r="D326" s="2199"/>
      <c r="E326" s="82">
        <f t="shared" si="203"/>
        <v>0</v>
      </c>
      <c r="F326" s="83"/>
      <c r="G326" s="84">
        <f t="shared" ref="G326:G357" si="207">H326+AC326+AT326</f>
        <v>0</v>
      </c>
      <c r="H326" s="85">
        <f t="shared" ref="H326:H357" si="208">SUMIF(I$12:AB$12,"总值",I326:AB326)</f>
        <v>0</v>
      </c>
      <c r="I326" s="1097"/>
      <c r="J326" s="86"/>
      <c r="K326" s="1097"/>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7"/>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6"/>
      <c r="C327" s="1097"/>
      <c r="D327" s="2199"/>
      <c r="E327" s="82">
        <f t="shared" si="203"/>
        <v>0</v>
      </c>
      <c r="F327" s="83"/>
      <c r="G327" s="84">
        <f t="shared" si="207"/>
        <v>0</v>
      </c>
      <c r="H327" s="85">
        <f t="shared" si="208"/>
        <v>0</v>
      </c>
      <c r="I327" s="1097"/>
      <c r="J327" s="86"/>
      <c r="K327" s="1097"/>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7"/>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6"/>
      <c r="C328" s="1097"/>
      <c r="D328" s="2199"/>
      <c r="E328" s="82">
        <f t="shared" si="203"/>
        <v>0</v>
      </c>
      <c r="F328" s="83"/>
      <c r="G328" s="84">
        <f t="shared" si="207"/>
        <v>0</v>
      </c>
      <c r="H328" s="85">
        <f t="shared" si="208"/>
        <v>0</v>
      </c>
      <c r="I328" s="1097"/>
      <c r="J328" s="86"/>
      <c r="K328" s="1097"/>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7"/>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6"/>
      <c r="C329" s="1097"/>
      <c r="D329" s="2199"/>
      <c r="E329" s="82">
        <f t="shared" ref="E329:E360" si="232">IF($C$3="是",ROUND($A$3*G329/$B$3,2),ROUND($A$3*(G329-AT329)/$B$3,2))</f>
        <v>0</v>
      </c>
      <c r="F329" s="83"/>
      <c r="G329" s="84">
        <f t="shared" si="207"/>
        <v>0</v>
      </c>
      <c r="H329" s="85">
        <f t="shared" si="208"/>
        <v>0</v>
      </c>
      <c r="I329" s="1097"/>
      <c r="J329" s="86"/>
      <c r="K329" s="1097"/>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7"/>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6"/>
      <c r="C330" s="1097"/>
      <c r="D330" s="2199"/>
      <c r="E330" s="82">
        <f t="shared" si="232"/>
        <v>0</v>
      </c>
      <c r="F330" s="83"/>
      <c r="G330" s="84">
        <f t="shared" si="207"/>
        <v>0</v>
      </c>
      <c r="H330" s="85">
        <f t="shared" si="208"/>
        <v>0</v>
      </c>
      <c r="I330" s="1097"/>
      <c r="J330" s="86"/>
      <c r="K330" s="1097"/>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7"/>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8"/>
      <c r="C331" s="1099"/>
      <c r="D331" s="2199"/>
      <c r="E331" s="82">
        <f t="shared" si="232"/>
        <v>0</v>
      </c>
      <c r="F331" s="83"/>
      <c r="G331" s="84">
        <f t="shared" si="207"/>
        <v>0</v>
      </c>
      <c r="H331" s="85">
        <f t="shared" si="208"/>
        <v>0</v>
      </c>
      <c r="I331" s="1097"/>
      <c r="J331" s="86"/>
      <c r="K331" s="1097"/>
      <c r="L331" s="86"/>
      <c r="M331" s="1097"/>
      <c r="N331" s="86"/>
      <c r="O331" s="86"/>
      <c r="P331" s="86"/>
      <c r="Q331" s="86"/>
      <c r="R331" s="86"/>
      <c r="S331" s="86"/>
      <c r="T331" s="86"/>
      <c r="U331" s="86"/>
      <c r="V331" s="86"/>
      <c r="W331" s="86"/>
      <c r="X331" s="86"/>
      <c r="Y331" s="86"/>
      <c r="Z331" s="86"/>
      <c r="AA331" s="86"/>
      <c r="AB331" s="86"/>
      <c r="AC331" s="82">
        <f t="shared" si="209"/>
        <v>0</v>
      </c>
      <c r="AD331" s="87"/>
      <c r="AE331" s="87"/>
      <c r="AF331" s="1097"/>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6"/>
      <c r="C389" s="1097"/>
      <c r="D389" s="2199"/>
      <c r="E389" s="82">
        <f t="shared" ref="E389:E480" si="265">IF($C$3="是",ROUND($A$3*G389/$B$3,2),ROUND($A$3*(G389-AT389)/$B$3,2))</f>
        <v>0</v>
      </c>
      <c r="F389" s="83"/>
      <c r="G389" s="84">
        <f t="shared" ref="G389:G477" si="266">H389+AC389+AT389</f>
        <v>0</v>
      </c>
      <c r="H389" s="85">
        <f t="shared" ref="H389:H477" si="267">SUMIF(I$12:AB$12,"总值",I389:AB389)</f>
        <v>0</v>
      </c>
      <c r="I389" s="1099"/>
      <c r="J389" s="86"/>
      <c r="K389" s="1099"/>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100"/>
      <c r="AG389" s="87"/>
      <c r="AH389" s="87"/>
      <c r="AI389" s="87"/>
      <c r="AJ389" s="87"/>
      <c r="AK389" s="87"/>
      <c r="AL389" s="87"/>
      <c r="AM389" s="87"/>
      <c r="AN389" s="1075"/>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6"/>
      <c r="C390" s="1097"/>
      <c r="D390" s="2199"/>
      <c r="E390" s="82">
        <f t="shared" si="265"/>
        <v>0</v>
      </c>
      <c r="F390" s="83"/>
      <c r="G390" s="84">
        <f t="shared" si="266"/>
        <v>0</v>
      </c>
      <c r="H390" s="85">
        <f t="shared" si="267"/>
        <v>0</v>
      </c>
      <c r="I390" s="1099"/>
      <c r="J390" s="86"/>
      <c r="K390" s="1099"/>
      <c r="L390" s="86"/>
      <c r="M390" s="1075"/>
      <c r="N390" s="86"/>
      <c r="O390" s="86"/>
      <c r="P390" s="86"/>
      <c r="Q390" s="86"/>
      <c r="R390" s="86"/>
      <c r="S390" s="86"/>
      <c r="T390" s="86"/>
      <c r="U390" s="86"/>
      <c r="V390" s="86"/>
      <c r="W390" s="86"/>
      <c r="X390" s="86"/>
      <c r="Y390" s="86"/>
      <c r="Z390" s="86"/>
      <c r="AA390" s="86"/>
      <c r="AB390" s="86"/>
      <c r="AC390" s="82">
        <f t="shared" si="268"/>
        <v>0</v>
      </c>
      <c r="AD390" s="1075"/>
      <c r="AE390" s="87"/>
      <c r="AF390" s="1100"/>
      <c r="AG390" s="87"/>
      <c r="AH390" s="87"/>
      <c r="AI390" s="87"/>
      <c r="AJ390" s="87"/>
      <c r="AK390" s="87"/>
      <c r="AL390" s="1075"/>
      <c r="AM390" s="87"/>
      <c r="AN390" s="1075"/>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6"/>
      <c r="C391" s="1097"/>
      <c r="D391" s="2199"/>
      <c r="E391" s="82">
        <f t="shared" si="265"/>
        <v>0</v>
      </c>
      <c r="F391" s="83"/>
      <c r="G391" s="84">
        <f t="shared" si="266"/>
        <v>0</v>
      </c>
      <c r="H391" s="85">
        <f t="shared" si="267"/>
        <v>0</v>
      </c>
      <c r="I391" s="1099"/>
      <c r="J391" s="86"/>
      <c r="K391" s="1099"/>
      <c r="L391" s="86"/>
      <c r="M391" s="1075"/>
      <c r="N391" s="86"/>
      <c r="O391" s="86"/>
      <c r="P391" s="86"/>
      <c r="Q391" s="86"/>
      <c r="R391" s="86"/>
      <c r="S391" s="86"/>
      <c r="T391" s="86"/>
      <c r="U391" s="86"/>
      <c r="V391" s="86"/>
      <c r="W391" s="86"/>
      <c r="X391" s="86"/>
      <c r="Y391" s="86"/>
      <c r="Z391" s="86"/>
      <c r="AA391" s="86"/>
      <c r="AB391" s="86"/>
      <c r="AC391" s="82">
        <f t="shared" si="268"/>
        <v>0</v>
      </c>
      <c r="AD391" s="87"/>
      <c r="AE391" s="87"/>
      <c r="AF391" s="1100"/>
      <c r="AG391" s="87"/>
      <c r="AH391" s="87"/>
      <c r="AI391" s="87"/>
      <c r="AJ391" s="87"/>
      <c r="AK391" s="87"/>
      <c r="AL391" s="1075"/>
      <c r="AM391" s="87"/>
      <c r="AN391" s="1075"/>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6"/>
      <c r="C392" s="1097"/>
      <c r="D392" s="2199"/>
      <c r="E392" s="82">
        <f t="shared" si="265"/>
        <v>0</v>
      </c>
      <c r="F392" s="83"/>
      <c r="G392" s="84">
        <f t="shared" si="266"/>
        <v>0</v>
      </c>
      <c r="H392" s="85">
        <f t="shared" si="267"/>
        <v>0</v>
      </c>
      <c r="I392" s="1099"/>
      <c r="J392" s="86"/>
      <c r="K392" s="1099"/>
      <c r="L392" s="86"/>
      <c r="M392" s="86"/>
      <c r="N392" s="86"/>
      <c r="O392" s="1075"/>
      <c r="P392" s="86"/>
      <c r="Q392" s="86"/>
      <c r="R392" s="86"/>
      <c r="S392" s="86"/>
      <c r="T392" s="86"/>
      <c r="U392" s="86"/>
      <c r="V392" s="86"/>
      <c r="W392" s="86"/>
      <c r="X392" s="86"/>
      <c r="Y392" s="86"/>
      <c r="Z392" s="86"/>
      <c r="AA392" s="86"/>
      <c r="AB392" s="86"/>
      <c r="AC392" s="82">
        <f t="shared" si="268"/>
        <v>0</v>
      </c>
      <c r="AD392" s="87"/>
      <c r="AE392" s="87"/>
      <c r="AF392" s="1100"/>
      <c r="AG392" s="87"/>
      <c r="AH392" s="87"/>
      <c r="AI392" s="87"/>
      <c r="AJ392" s="87"/>
      <c r="AK392" s="87"/>
      <c r="AL392" s="87"/>
      <c r="AM392" s="87"/>
      <c r="AN392" s="1075"/>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6"/>
      <c r="C393" s="1097"/>
      <c r="D393" s="2199"/>
      <c r="E393" s="82">
        <f t="shared" si="265"/>
        <v>0</v>
      </c>
      <c r="F393" s="83"/>
      <c r="G393" s="84">
        <f t="shared" si="266"/>
        <v>0</v>
      </c>
      <c r="H393" s="85">
        <f t="shared" si="267"/>
        <v>0</v>
      </c>
      <c r="I393" s="1099"/>
      <c r="J393" s="86"/>
      <c r="K393" s="1099"/>
      <c r="L393" s="86"/>
      <c r="M393" s="86"/>
      <c r="N393" s="86"/>
      <c r="O393" s="86"/>
      <c r="P393" s="86"/>
      <c r="Q393" s="86"/>
      <c r="R393" s="86"/>
      <c r="S393" s="86"/>
      <c r="T393" s="86"/>
      <c r="U393" s="86"/>
      <c r="V393" s="86"/>
      <c r="W393" s="86"/>
      <c r="X393" s="86"/>
      <c r="Y393" s="86"/>
      <c r="Z393" s="86"/>
      <c r="AA393" s="86"/>
      <c r="AB393" s="86"/>
      <c r="AC393" s="82">
        <f t="shared" si="268"/>
        <v>0</v>
      </c>
      <c r="AD393" s="87"/>
      <c r="AE393" s="87"/>
      <c r="AF393" s="1100"/>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6"/>
      <c r="C394" s="1097"/>
      <c r="D394" s="2199"/>
      <c r="E394" s="82">
        <f t="shared" si="265"/>
        <v>0</v>
      </c>
      <c r="F394" s="83"/>
      <c r="G394" s="84">
        <f t="shared" si="266"/>
        <v>0</v>
      </c>
      <c r="H394" s="85">
        <f t="shared" si="267"/>
        <v>0</v>
      </c>
      <c r="I394" s="1099"/>
      <c r="J394" s="86"/>
      <c r="K394" s="1099"/>
      <c r="L394" s="86"/>
      <c r="M394" s="86"/>
      <c r="N394" s="86"/>
      <c r="O394" s="86"/>
      <c r="P394" s="86"/>
      <c r="Q394" s="86"/>
      <c r="R394" s="86"/>
      <c r="S394" s="86"/>
      <c r="T394" s="86"/>
      <c r="U394" s="86"/>
      <c r="V394" s="86"/>
      <c r="W394" s="86"/>
      <c r="X394" s="86"/>
      <c r="Y394" s="86"/>
      <c r="Z394" s="86"/>
      <c r="AA394" s="86"/>
      <c r="AB394" s="86"/>
      <c r="AC394" s="82">
        <f t="shared" si="268"/>
        <v>0</v>
      </c>
      <c r="AD394" s="87"/>
      <c r="AE394" s="87"/>
      <c r="AF394" s="1100"/>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6"/>
      <c r="C395" s="1097"/>
      <c r="D395" s="2199"/>
      <c r="E395" s="82">
        <f t="shared" si="265"/>
        <v>0</v>
      </c>
      <c r="F395" s="83"/>
      <c r="G395" s="84">
        <f t="shared" si="266"/>
        <v>0</v>
      </c>
      <c r="H395" s="85">
        <f t="shared" si="267"/>
        <v>0</v>
      </c>
      <c r="I395" s="1099"/>
      <c r="J395" s="86"/>
      <c r="K395" s="1099"/>
      <c r="L395" s="86"/>
      <c r="M395" s="86"/>
      <c r="N395" s="86"/>
      <c r="O395" s="86"/>
      <c r="P395" s="86"/>
      <c r="Q395" s="86"/>
      <c r="R395" s="86"/>
      <c r="S395" s="86"/>
      <c r="T395" s="86"/>
      <c r="U395" s="86"/>
      <c r="V395" s="86"/>
      <c r="W395" s="86"/>
      <c r="X395" s="86"/>
      <c r="Y395" s="86"/>
      <c r="Z395" s="86"/>
      <c r="AA395" s="86"/>
      <c r="AB395" s="86"/>
      <c r="AC395" s="82">
        <f t="shared" si="268"/>
        <v>0</v>
      </c>
      <c r="AD395" s="87"/>
      <c r="AE395" s="87"/>
      <c r="AF395" s="1100"/>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6"/>
      <c r="C396" s="1097"/>
      <c r="D396" s="2199"/>
      <c r="E396" s="82">
        <f t="shared" si="265"/>
        <v>0</v>
      </c>
      <c r="F396" s="83"/>
      <c r="G396" s="84">
        <f t="shared" si="266"/>
        <v>0</v>
      </c>
      <c r="H396" s="85">
        <f t="shared" si="267"/>
        <v>0</v>
      </c>
      <c r="I396" s="1099"/>
      <c r="J396" s="86"/>
      <c r="K396" s="1099"/>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9"/>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8"/>
      <c r="C397" s="1099"/>
      <c r="D397" s="2199"/>
      <c r="E397" s="82">
        <f t="shared" si="265"/>
        <v>0</v>
      </c>
      <c r="F397" s="83"/>
      <c r="G397" s="84">
        <f t="shared" si="266"/>
        <v>0</v>
      </c>
      <c r="H397" s="85">
        <f t="shared" si="267"/>
        <v>0</v>
      </c>
      <c r="I397" s="1099"/>
      <c r="J397" s="86"/>
      <c r="K397" s="1099"/>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9"/>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6"/>
      <c r="C398" s="1097"/>
      <c r="D398" s="2199"/>
      <c r="E398" s="82">
        <f t="shared" si="265"/>
        <v>0</v>
      </c>
      <c r="F398" s="83"/>
      <c r="G398" s="84">
        <f t="shared" si="266"/>
        <v>0</v>
      </c>
      <c r="H398" s="85">
        <f t="shared" si="267"/>
        <v>0</v>
      </c>
      <c r="I398" s="1099"/>
      <c r="J398" s="86"/>
      <c r="K398" s="1099"/>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9"/>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6"/>
      <c r="C399" s="1097"/>
      <c r="D399" s="2199"/>
      <c r="E399" s="82">
        <f t="shared" si="265"/>
        <v>0</v>
      </c>
      <c r="F399" s="83"/>
      <c r="G399" s="84">
        <f t="shared" si="266"/>
        <v>0</v>
      </c>
      <c r="H399" s="85">
        <f t="shared" si="267"/>
        <v>0</v>
      </c>
      <c r="I399" s="1099"/>
      <c r="J399" s="86"/>
      <c r="K399" s="1099"/>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9"/>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6"/>
      <c r="C400" s="1097"/>
      <c r="D400" s="2199"/>
      <c r="E400" s="82">
        <f t="shared" si="265"/>
        <v>0</v>
      </c>
      <c r="F400" s="83"/>
      <c r="G400" s="84">
        <f t="shared" si="266"/>
        <v>0</v>
      </c>
      <c r="H400" s="85">
        <f t="shared" si="267"/>
        <v>0</v>
      </c>
      <c r="I400" s="1099"/>
      <c r="J400" s="86"/>
      <c r="K400" s="1099"/>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9"/>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6"/>
      <c r="C401" s="1097"/>
      <c r="D401" s="2199"/>
      <c r="E401" s="82">
        <f t="shared" si="265"/>
        <v>0</v>
      </c>
      <c r="F401" s="83"/>
      <c r="G401" s="84">
        <f t="shared" si="266"/>
        <v>0</v>
      </c>
      <c r="H401" s="85">
        <f t="shared" si="267"/>
        <v>0</v>
      </c>
      <c r="I401" s="1099"/>
      <c r="J401" s="86"/>
      <c r="K401" s="1099"/>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9"/>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6"/>
      <c r="C402" s="1097"/>
      <c r="D402" s="2199"/>
      <c r="E402" s="82">
        <f t="shared" si="265"/>
        <v>0</v>
      </c>
      <c r="F402" s="83"/>
      <c r="G402" s="84">
        <f t="shared" si="266"/>
        <v>0</v>
      </c>
      <c r="H402" s="85">
        <f t="shared" si="267"/>
        <v>0</v>
      </c>
      <c r="I402" s="1099"/>
      <c r="J402" s="86"/>
      <c r="K402" s="1099"/>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9"/>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6"/>
      <c r="C403" s="1097"/>
      <c r="D403" s="2199"/>
      <c r="E403" s="82">
        <f t="shared" si="265"/>
        <v>0</v>
      </c>
      <c r="F403" s="83"/>
      <c r="G403" s="84">
        <f t="shared" si="266"/>
        <v>0</v>
      </c>
      <c r="H403" s="85">
        <f t="shared" si="267"/>
        <v>0</v>
      </c>
      <c r="I403" s="1099"/>
      <c r="J403" s="86"/>
      <c r="K403" s="1099"/>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9"/>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6"/>
      <c r="C404" s="1097"/>
      <c r="D404" s="2199"/>
      <c r="E404" s="82">
        <f t="shared" si="265"/>
        <v>0</v>
      </c>
      <c r="F404" s="83"/>
      <c r="G404" s="84">
        <f t="shared" si="266"/>
        <v>0</v>
      </c>
      <c r="H404" s="85">
        <f t="shared" si="267"/>
        <v>0</v>
      </c>
      <c r="I404" s="1099"/>
      <c r="J404" s="86"/>
      <c r="K404" s="1099"/>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9"/>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6"/>
      <c r="C405" s="1097"/>
      <c r="D405" s="2199"/>
      <c r="E405" s="82">
        <f t="shared" si="265"/>
        <v>0</v>
      </c>
      <c r="F405" s="83"/>
      <c r="G405" s="84">
        <f t="shared" si="266"/>
        <v>0</v>
      </c>
      <c r="H405" s="85">
        <f t="shared" si="267"/>
        <v>0</v>
      </c>
      <c r="I405" s="1099"/>
      <c r="J405" s="86"/>
      <c r="K405" s="1099"/>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9"/>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6"/>
      <c r="C406" s="1097"/>
      <c r="D406" s="2199"/>
      <c r="E406" s="82">
        <f t="shared" si="265"/>
        <v>0</v>
      </c>
      <c r="F406" s="83"/>
      <c r="G406" s="84">
        <f t="shared" si="266"/>
        <v>0</v>
      </c>
      <c r="H406" s="85">
        <f t="shared" si="267"/>
        <v>0</v>
      </c>
      <c r="I406" s="1099"/>
      <c r="J406" s="86"/>
      <c r="K406" s="1099"/>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9"/>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6"/>
      <c r="C407" s="1097"/>
      <c r="D407" s="2199"/>
      <c r="E407" s="82">
        <f t="shared" si="265"/>
        <v>0</v>
      </c>
      <c r="F407" s="83"/>
      <c r="G407" s="84">
        <f t="shared" si="266"/>
        <v>0</v>
      </c>
      <c r="H407" s="85">
        <f t="shared" si="267"/>
        <v>0</v>
      </c>
      <c r="I407" s="1099"/>
      <c r="J407" s="86"/>
      <c r="K407" s="1099"/>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9"/>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6"/>
      <c r="C408" s="1097"/>
      <c r="D408" s="2199"/>
      <c r="E408" s="82">
        <f t="shared" si="265"/>
        <v>0</v>
      </c>
      <c r="F408" s="83"/>
      <c r="G408" s="84">
        <f t="shared" si="266"/>
        <v>0</v>
      </c>
      <c r="H408" s="85">
        <f t="shared" si="267"/>
        <v>0</v>
      </c>
      <c r="I408" s="1099"/>
      <c r="J408" s="86"/>
      <c r="K408" s="1099"/>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9"/>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6"/>
      <c r="C409" s="1097"/>
      <c r="D409" s="2199"/>
      <c r="E409" s="82">
        <f t="shared" si="265"/>
        <v>0</v>
      </c>
      <c r="F409" s="83"/>
      <c r="G409" s="84">
        <f t="shared" si="266"/>
        <v>0</v>
      </c>
      <c r="H409" s="85">
        <f t="shared" si="267"/>
        <v>0</v>
      </c>
      <c r="I409" s="1099"/>
      <c r="J409" s="86"/>
      <c r="K409" s="1099"/>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9"/>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6"/>
      <c r="C410" s="1097"/>
      <c r="D410" s="2199"/>
      <c r="E410" s="82">
        <f t="shared" si="265"/>
        <v>0</v>
      </c>
      <c r="F410" s="83"/>
      <c r="G410" s="84">
        <f t="shared" si="266"/>
        <v>0</v>
      </c>
      <c r="H410" s="85">
        <f t="shared" si="267"/>
        <v>0</v>
      </c>
      <c r="I410" s="1099"/>
      <c r="J410" s="86"/>
      <c r="K410" s="1099"/>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9"/>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6"/>
      <c r="C411" s="1097"/>
      <c r="D411" s="2199"/>
      <c r="E411" s="82">
        <f t="shared" si="265"/>
        <v>0</v>
      </c>
      <c r="F411" s="83"/>
      <c r="G411" s="84">
        <f t="shared" si="266"/>
        <v>0</v>
      </c>
      <c r="H411" s="85">
        <f t="shared" si="267"/>
        <v>0</v>
      </c>
      <c r="I411" s="1099"/>
      <c r="J411" s="86"/>
      <c r="K411" s="1099"/>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9"/>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6"/>
      <c r="C412" s="1097"/>
      <c r="D412" s="2199"/>
      <c r="E412" s="82">
        <f t="shared" si="265"/>
        <v>0</v>
      </c>
      <c r="F412" s="83"/>
      <c r="G412" s="84">
        <f t="shared" si="266"/>
        <v>0</v>
      </c>
      <c r="H412" s="85">
        <f t="shared" si="267"/>
        <v>0</v>
      </c>
      <c r="I412" s="1099"/>
      <c r="J412" s="86"/>
      <c r="K412" s="1099"/>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9"/>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6"/>
      <c r="C413" s="1097"/>
      <c r="D413" s="2199"/>
      <c r="E413" s="82">
        <f t="shared" si="265"/>
        <v>0</v>
      </c>
      <c r="F413" s="83"/>
      <c r="G413" s="84">
        <f t="shared" si="266"/>
        <v>0</v>
      </c>
      <c r="H413" s="85">
        <f t="shared" si="267"/>
        <v>0</v>
      </c>
      <c r="I413" s="1099"/>
      <c r="J413" s="86"/>
      <c r="K413" s="1099"/>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9"/>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6"/>
      <c r="C414" s="1097"/>
      <c r="D414" s="2199"/>
      <c r="E414" s="82">
        <f t="shared" si="265"/>
        <v>0</v>
      </c>
      <c r="F414" s="83"/>
      <c r="G414" s="84">
        <f t="shared" si="266"/>
        <v>0</v>
      </c>
      <c r="H414" s="85">
        <f t="shared" si="267"/>
        <v>0</v>
      </c>
      <c r="I414" s="1099"/>
      <c r="J414" s="86"/>
      <c r="K414" s="1099"/>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9"/>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6"/>
      <c r="C415" s="1097"/>
      <c r="D415" s="2199"/>
      <c r="E415" s="82">
        <f t="shared" si="265"/>
        <v>0</v>
      </c>
      <c r="F415" s="83"/>
      <c r="G415" s="84">
        <f t="shared" si="266"/>
        <v>0</v>
      </c>
      <c r="H415" s="85">
        <f t="shared" si="267"/>
        <v>0</v>
      </c>
      <c r="I415" s="1099"/>
      <c r="J415" s="86"/>
      <c r="K415" s="1099"/>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7"/>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6"/>
      <c r="C416" s="1097"/>
      <c r="D416" s="2199"/>
      <c r="E416" s="82">
        <f t="shared" si="265"/>
        <v>0</v>
      </c>
      <c r="F416" s="83"/>
      <c r="G416" s="84">
        <f t="shared" si="266"/>
        <v>0</v>
      </c>
      <c r="H416" s="85">
        <f t="shared" si="267"/>
        <v>0</v>
      </c>
      <c r="I416" s="1097"/>
      <c r="J416" s="86"/>
      <c r="K416" s="1097"/>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7"/>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6"/>
      <c r="C417" s="1097"/>
      <c r="D417" s="2199"/>
      <c r="E417" s="82">
        <f t="shared" si="265"/>
        <v>0</v>
      </c>
      <c r="F417" s="83"/>
      <c r="G417" s="84">
        <f t="shared" si="266"/>
        <v>0</v>
      </c>
      <c r="H417" s="85">
        <f t="shared" si="267"/>
        <v>0</v>
      </c>
      <c r="I417" s="1097"/>
      <c r="J417" s="86"/>
      <c r="K417" s="1097"/>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7"/>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6"/>
      <c r="C418" s="1097"/>
      <c r="D418" s="2199"/>
      <c r="E418" s="82">
        <f t="shared" si="265"/>
        <v>0</v>
      </c>
      <c r="F418" s="83"/>
      <c r="G418" s="84">
        <f t="shared" si="266"/>
        <v>0</v>
      </c>
      <c r="H418" s="85">
        <f t="shared" si="267"/>
        <v>0</v>
      </c>
      <c r="I418" s="1097"/>
      <c r="J418" s="86"/>
      <c r="K418" s="1097"/>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7"/>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6"/>
      <c r="C419" s="1097"/>
      <c r="D419" s="2199"/>
      <c r="E419" s="82">
        <f t="shared" si="265"/>
        <v>0</v>
      </c>
      <c r="F419" s="83"/>
      <c r="G419" s="84">
        <f t="shared" si="266"/>
        <v>0</v>
      </c>
      <c r="H419" s="85">
        <f t="shared" si="267"/>
        <v>0</v>
      </c>
      <c r="I419" s="1097"/>
      <c r="J419" s="86"/>
      <c r="K419" s="1097"/>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7"/>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6"/>
      <c r="C420" s="1097"/>
      <c r="D420" s="2199"/>
      <c r="E420" s="82">
        <f t="shared" si="265"/>
        <v>0</v>
      </c>
      <c r="F420" s="83"/>
      <c r="G420" s="84">
        <f t="shared" si="266"/>
        <v>0</v>
      </c>
      <c r="H420" s="85">
        <f t="shared" si="267"/>
        <v>0</v>
      </c>
      <c r="I420" s="1097"/>
      <c r="J420" s="86"/>
      <c r="K420" s="1097"/>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7"/>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6"/>
      <c r="C421" s="1097"/>
      <c r="D421" s="2199"/>
      <c r="E421" s="82">
        <f t="shared" si="265"/>
        <v>0</v>
      </c>
      <c r="F421" s="83"/>
      <c r="G421" s="84">
        <f t="shared" si="266"/>
        <v>0</v>
      </c>
      <c r="H421" s="85">
        <f t="shared" si="267"/>
        <v>0</v>
      </c>
      <c r="I421" s="1097"/>
      <c r="J421" s="86"/>
      <c r="K421" s="1097"/>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7"/>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6"/>
      <c r="C422" s="1097"/>
      <c r="D422" s="2199"/>
      <c r="E422" s="82">
        <f t="shared" si="265"/>
        <v>0</v>
      </c>
      <c r="F422" s="83"/>
      <c r="G422" s="84">
        <f t="shared" si="266"/>
        <v>0</v>
      </c>
      <c r="H422" s="85">
        <f t="shared" si="267"/>
        <v>0</v>
      </c>
      <c r="I422" s="1097"/>
      <c r="J422" s="86"/>
      <c r="K422" s="1097"/>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7"/>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8"/>
      <c r="C423" s="1099"/>
      <c r="D423" s="2199"/>
      <c r="E423" s="82">
        <f t="shared" si="265"/>
        <v>0</v>
      </c>
      <c r="F423" s="83"/>
      <c r="G423" s="84">
        <f t="shared" si="266"/>
        <v>0</v>
      </c>
      <c r="H423" s="85">
        <f t="shared" si="267"/>
        <v>0</v>
      </c>
      <c r="I423" s="1097"/>
      <c r="J423" s="86"/>
      <c r="K423" s="1097"/>
      <c r="L423" s="86"/>
      <c r="M423" s="1097"/>
      <c r="N423" s="86"/>
      <c r="O423" s="86"/>
      <c r="P423" s="86"/>
      <c r="Q423" s="86"/>
      <c r="R423" s="86"/>
      <c r="S423" s="86"/>
      <c r="T423" s="86"/>
      <c r="U423" s="86"/>
      <c r="V423" s="86"/>
      <c r="W423" s="86"/>
      <c r="X423" s="86"/>
      <c r="Y423" s="86"/>
      <c r="Z423" s="86"/>
      <c r="AA423" s="86"/>
      <c r="AB423" s="86"/>
      <c r="AC423" s="82">
        <f t="shared" si="268"/>
        <v>0</v>
      </c>
      <c r="AD423" s="87"/>
      <c r="AE423" s="87"/>
      <c r="AF423" s="1097"/>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6"/>
      <c r="C481" s="1097"/>
      <c r="D481" s="2199"/>
      <c r="E481" s="82">
        <f t="shared" ref="E481:E504" si="319">IF($C$3="是",ROUND($A$3*G481/$B$3,2),ROUND($A$3*(G481-AT481)/$B$3,2))</f>
        <v>0</v>
      </c>
      <c r="F481" s="83"/>
      <c r="G481" s="84">
        <f t="shared" si="294"/>
        <v>0</v>
      </c>
      <c r="H481" s="85">
        <f t="shared" si="295"/>
        <v>0</v>
      </c>
      <c r="I481" s="1099"/>
      <c r="J481" s="86"/>
      <c r="K481" s="1099"/>
      <c r="L481" s="86"/>
      <c r="M481" s="86"/>
      <c r="N481" s="86"/>
      <c r="O481" s="86"/>
      <c r="P481" s="86"/>
      <c r="Q481" s="86"/>
      <c r="R481" s="86"/>
      <c r="S481" s="86"/>
      <c r="T481" s="86"/>
      <c r="U481" s="86"/>
      <c r="V481" s="86"/>
      <c r="W481" s="86"/>
      <c r="X481" s="86"/>
      <c r="Y481" s="86"/>
      <c r="Z481" s="86"/>
      <c r="AA481" s="86"/>
      <c r="AB481" s="86"/>
      <c r="AC481" s="82">
        <f t="shared" si="296"/>
        <v>0</v>
      </c>
      <c r="AD481" s="87"/>
      <c r="AE481" s="87"/>
      <c r="AF481" s="1100"/>
      <c r="AG481" s="87"/>
      <c r="AH481" s="87"/>
      <c r="AI481" s="87"/>
      <c r="AJ481" s="87"/>
      <c r="AK481" s="87"/>
      <c r="AL481" s="87"/>
      <c r="AM481" s="87"/>
      <c r="AN481" s="1075"/>
      <c r="AO481" s="87"/>
      <c r="AP481" s="87"/>
      <c r="AQ481" s="87"/>
      <c r="AR481" s="87"/>
      <c r="AS481" s="87"/>
      <c r="AT481" s="88"/>
      <c r="AU481" s="89"/>
      <c r="AV481" s="833">
        <f t="shared" ref="AV481:AV505" si="320">A481</f>
        <v>0</v>
      </c>
      <c r="AW481" s="833">
        <f t="shared" ref="AW481:AW505" si="321">B481</f>
        <v>0</v>
      </c>
      <c r="AX481" s="83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6"/>
      <c r="C482" s="1097"/>
      <c r="D482" s="2199"/>
      <c r="E482" s="82">
        <f t="shared" si="319"/>
        <v>0</v>
      </c>
      <c r="F482" s="83"/>
      <c r="G482" s="84">
        <f t="shared" si="294"/>
        <v>0</v>
      </c>
      <c r="H482" s="85">
        <f t="shared" si="295"/>
        <v>0</v>
      </c>
      <c r="I482" s="1099"/>
      <c r="J482" s="86"/>
      <c r="K482" s="1099"/>
      <c r="L482" s="86"/>
      <c r="M482" s="1075"/>
      <c r="N482" s="86"/>
      <c r="O482" s="86"/>
      <c r="P482" s="86"/>
      <c r="Q482" s="86"/>
      <c r="R482" s="86"/>
      <c r="S482" s="86"/>
      <c r="T482" s="86"/>
      <c r="U482" s="86"/>
      <c r="V482" s="86"/>
      <c r="W482" s="86"/>
      <c r="X482" s="86"/>
      <c r="Y482" s="86"/>
      <c r="Z482" s="86"/>
      <c r="AA482" s="86"/>
      <c r="AB482" s="86"/>
      <c r="AC482" s="82">
        <f t="shared" si="296"/>
        <v>0</v>
      </c>
      <c r="AD482" s="1075"/>
      <c r="AE482" s="87"/>
      <c r="AF482" s="1100"/>
      <c r="AG482" s="87"/>
      <c r="AH482" s="87"/>
      <c r="AI482" s="87"/>
      <c r="AJ482" s="87"/>
      <c r="AK482" s="87"/>
      <c r="AL482" s="1075"/>
      <c r="AM482" s="87"/>
      <c r="AN482" s="1075"/>
      <c r="AO482" s="87"/>
      <c r="AP482" s="87"/>
      <c r="AQ482" s="87"/>
      <c r="AR482" s="87"/>
      <c r="AS482" s="87"/>
      <c r="AT482" s="88"/>
      <c r="AU482" s="89"/>
      <c r="AV482" s="833">
        <f t="shared" si="320"/>
        <v>0</v>
      </c>
      <c r="AW482" s="833">
        <f t="shared" si="321"/>
        <v>0</v>
      </c>
      <c r="AX482" s="83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6"/>
      <c r="C483" s="1097"/>
      <c r="D483" s="2199"/>
      <c r="E483" s="82">
        <f t="shared" si="319"/>
        <v>0</v>
      </c>
      <c r="F483" s="83"/>
      <c r="G483" s="84">
        <f t="shared" si="294"/>
        <v>0</v>
      </c>
      <c r="H483" s="85">
        <f t="shared" si="295"/>
        <v>0</v>
      </c>
      <c r="I483" s="1099"/>
      <c r="J483" s="86"/>
      <c r="K483" s="1099"/>
      <c r="L483" s="86"/>
      <c r="M483" s="1075"/>
      <c r="N483" s="86"/>
      <c r="O483" s="86"/>
      <c r="P483" s="86"/>
      <c r="Q483" s="86"/>
      <c r="R483" s="86"/>
      <c r="S483" s="86"/>
      <c r="T483" s="86"/>
      <c r="U483" s="86"/>
      <c r="V483" s="86"/>
      <c r="W483" s="86"/>
      <c r="X483" s="86"/>
      <c r="Y483" s="86"/>
      <c r="Z483" s="86"/>
      <c r="AA483" s="86"/>
      <c r="AB483" s="86"/>
      <c r="AC483" s="82">
        <f t="shared" si="296"/>
        <v>0</v>
      </c>
      <c r="AD483" s="87"/>
      <c r="AE483" s="87"/>
      <c r="AF483" s="1100"/>
      <c r="AG483" s="87"/>
      <c r="AH483" s="87"/>
      <c r="AI483" s="87"/>
      <c r="AJ483" s="87"/>
      <c r="AK483" s="87"/>
      <c r="AL483" s="1075"/>
      <c r="AM483" s="87"/>
      <c r="AN483" s="1075"/>
      <c r="AO483" s="87"/>
      <c r="AP483" s="87"/>
      <c r="AQ483" s="87"/>
      <c r="AR483" s="87"/>
      <c r="AS483" s="87"/>
      <c r="AT483" s="88"/>
      <c r="AU483" s="89"/>
      <c r="AV483" s="833">
        <f t="shared" si="320"/>
        <v>0</v>
      </c>
      <c r="AW483" s="833">
        <f t="shared" si="321"/>
        <v>0</v>
      </c>
      <c r="AX483" s="83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6"/>
      <c r="C484" s="1097"/>
      <c r="D484" s="2199"/>
      <c r="E484" s="82">
        <f t="shared" si="319"/>
        <v>0</v>
      </c>
      <c r="F484" s="83"/>
      <c r="G484" s="84">
        <f t="shared" si="294"/>
        <v>0</v>
      </c>
      <c r="H484" s="85">
        <f t="shared" si="295"/>
        <v>0</v>
      </c>
      <c r="I484" s="1099"/>
      <c r="J484" s="86"/>
      <c r="K484" s="1099"/>
      <c r="L484" s="86"/>
      <c r="M484" s="86"/>
      <c r="N484" s="86"/>
      <c r="O484" s="1075"/>
      <c r="P484" s="86"/>
      <c r="Q484" s="86"/>
      <c r="R484" s="86"/>
      <c r="S484" s="86"/>
      <c r="T484" s="86"/>
      <c r="U484" s="86"/>
      <c r="V484" s="86"/>
      <c r="W484" s="86"/>
      <c r="X484" s="86"/>
      <c r="Y484" s="86"/>
      <c r="Z484" s="86"/>
      <c r="AA484" s="86"/>
      <c r="AB484" s="86"/>
      <c r="AC484" s="82">
        <f t="shared" si="296"/>
        <v>0</v>
      </c>
      <c r="AD484" s="87"/>
      <c r="AE484" s="87"/>
      <c r="AF484" s="1100"/>
      <c r="AG484" s="87"/>
      <c r="AH484" s="87"/>
      <c r="AI484" s="87"/>
      <c r="AJ484" s="87"/>
      <c r="AK484" s="87"/>
      <c r="AL484" s="87"/>
      <c r="AM484" s="87"/>
      <c r="AN484" s="1075"/>
      <c r="AO484" s="87"/>
      <c r="AP484" s="87"/>
      <c r="AQ484" s="87"/>
      <c r="AR484" s="87"/>
      <c r="AS484" s="87"/>
      <c r="AT484" s="88"/>
      <c r="AU484" s="89"/>
      <c r="AV484" s="833">
        <f t="shared" si="320"/>
        <v>0</v>
      </c>
      <c r="AW484" s="833">
        <f t="shared" si="321"/>
        <v>0</v>
      </c>
      <c r="AX484" s="83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6"/>
      <c r="C485" s="1097"/>
      <c r="D485" s="2199"/>
      <c r="E485" s="82">
        <f t="shared" si="319"/>
        <v>0</v>
      </c>
      <c r="F485" s="83"/>
      <c r="G485" s="84">
        <f t="shared" si="294"/>
        <v>0</v>
      </c>
      <c r="H485" s="85">
        <f t="shared" si="295"/>
        <v>0</v>
      </c>
      <c r="I485" s="1099"/>
      <c r="J485" s="86"/>
      <c r="K485" s="1099"/>
      <c r="L485" s="86"/>
      <c r="M485" s="86"/>
      <c r="N485" s="86"/>
      <c r="O485" s="86"/>
      <c r="P485" s="86"/>
      <c r="Q485" s="86"/>
      <c r="R485" s="86"/>
      <c r="S485" s="86"/>
      <c r="T485" s="86"/>
      <c r="U485" s="86"/>
      <c r="V485" s="86"/>
      <c r="W485" s="86"/>
      <c r="X485" s="86"/>
      <c r="Y485" s="86"/>
      <c r="Z485" s="86"/>
      <c r="AA485" s="86"/>
      <c r="AB485" s="86"/>
      <c r="AC485" s="82">
        <f t="shared" si="296"/>
        <v>0</v>
      </c>
      <c r="AD485" s="87"/>
      <c r="AE485" s="87"/>
      <c r="AF485" s="1100"/>
      <c r="AG485" s="87"/>
      <c r="AH485" s="87"/>
      <c r="AI485" s="87"/>
      <c r="AJ485" s="87"/>
      <c r="AK485" s="87"/>
      <c r="AL485" s="87"/>
      <c r="AM485" s="87"/>
      <c r="AN485" s="87"/>
      <c r="AO485" s="87"/>
      <c r="AP485" s="87"/>
      <c r="AQ485" s="87"/>
      <c r="AR485" s="87"/>
      <c r="AS485" s="87"/>
      <c r="AT485" s="88"/>
      <c r="AU485" s="89"/>
      <c r="AV485" s="833">
        <f t="shared" si="320"/>
        <v>0</v>
      </c>
      <c r="AW485" s="833">
        <f t="shared" si="321"/>
        <v>0</v>
      </c>
      <c r="AX485" s="83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6"/>
      <c r="C486" s="1097"/>
      <c r="D486" s="2199"/>
      <c r="E486" s="82">
        <f t="shared" si="319"/>
        <v>0</v>
      </c>
      <c r="F486" s="83"/>
      <c r="G486" s="84">
        <f t="shared" si="294"/>
        <v>0</v>
      </c>
      <c r="H486" s="85">
        <f t="shared" si="295"/>
        <v>0</v>
      </c>
      <c r="I486" s="1099"/>
      <c r="J486" s="86"/>
      <c r="K486" s="1099"/>
      <c r="L486" s="86"/>
      <c r="M486" s="86"/>
      <c r="N486" s="86"/>
      <c r="O486" s="86"/>
      <c r="P486" s="86"/>
      <c r="Q486" s="86"/>
      <c r="R486" s="86"/>
      <c r="S486" s="86"/>
      <c r="T486" s="86"/>
      <c r="U486" s="86"/>
      <c r="V486" s="86"/>
      <c r="W486" s="86"/>
      <c r="X486" s="86"/>
      <c r="Y486" s="86"/>
      <c r="Z486" s="86"/>
      <c r="AA486" s="86"/>
      <c r="AB486" s="86"/>
      <c r="AC486" s="82">
        <f t="shared" si="296"/>
        <v>0</v>
      </c>
      <c r="AD486" s="87"/>
      <c r="AE486" s="87"/>
      <c r="AF486" s="1100"/>
      <c r="AG486" s="87"/>
      <c r="AH486" s="87"/>
      <c r="AI486" s="87"/>
      <c r="AJ486" s="87"/>
      <c r="AK486" s="87"/>
      <c r="AL486" s="87"/>
      <c r="AM486" s="87"/>
      <c r="AN486" s="87"/>
      <c r="AO486" s="87"/>
      <c r="AP486" s="87"/>
      <c r="AQ486" s="87"/>
      <c r="AR486" s="87"/>
      <c r="AS486" s="87"/>
      <c r="AT486" s="88"/>
      <c r="AU486" s="89"/>
      <c r="AV486" s="833">
        <f t="shared" si="320"/>
        <v>0</v>
      </c>
      <c r="AW486" s="833">
        <f t="shared" si="321"/>
        <v>0</v>
      </c>
      <c r="AX486" s="83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6"/>
      <c r="C487" s="1097"/>
      <c r="D487" s="2199"/>
      <c r="E487" s="82">
        <f t="shared" si="319"/>
        <v>0</v>
      </c>
      <c r="F487" s="83"/>
      <c r="G487" s="84">
        <f t="shared" si="294"/>
        <v>0</v>
      </c>
      <c r="H487" s="85">
        <f t="shared" si="295"/>
        <v>0</v>
      </c>
      <c r="I487" s="1099"/>
      <c r="J487" s="86"/>
      <c r="K487" s="1099"/>
      <c r="L487" s="86"/>
      <c r="M487" s="86"/>
      <c r="N487" s="86"/>
      <c r="O487" s="86"/>
      <c r="P487" s="86"/>
      <c r="Q487" s="86"/>
      <c r="R487" s="86"/>
      <c r="S487" s="86"/>
      <c r="T487" s="86"/>
      <c r="U487" s="86"/>
      <c r="V487" s="86"/>
      <c r="W487" s="86"/>
      <c r="X487" s="86"/>
      <c r="Y487" s="86"/>
      <c r="Z487" s="86"/>
      <c r="AA487" s="86"/>
      <c r="AB487" s="86"/>
      <c r="AC487" s="82">
        <f t="shared" si="296"/>
        <v>0</v>
      </c>
      <c r="AD487" s="87"/>
      <c r="AE487" s="87"/>
      <c r="AF487" s="1100"/>
      <c r="AG487" s="87"/>
      <c r="AH487" s="87"/>
      <c r="AI487" s="87"/>
      <c r="AJ487" s="87"/>
      <c r="AK487" s="87"/>
      <c r="AL487" s="87"/>
      <c r="AM487" s="87"/>
      <c r="AN487" s="87"/>
      <c r="AO487" s="87"/>
      <c r="AP487" s="87"/>
      <c r="AQ487" s="87"/>
      <c r="AR487" s="87"/>
      <c r="AS487" s="87"/>
      <c r="AT487" s="88"/>
      <c r="AU487" s="89"/>
      <c r="AV487" s="833">
        <f t="shared" si="320"/>
        <v>0</v>
      </c>
      <c r="AW487" s="833">
        <f t="shared" si="321"/>
        <v>0</v>
      </c>
      <c r="AX487" s="83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6"/>
      <c r="C488" s="1097"/>
      <c r="D488" s="2199"/>
      <c r="E488" s="82">
        <f t="shared" si="319"/>
        <v>0</v>
      </c>
      <c r="F488" s="83"/>
      <c r="G488" s="84">
        <f t="shared" si="294"/>
        <v>0</v>
      </c>
      <c r="H488" s="85">
        <f t="shared" si="295"/>
        <v>0</v>
      </c>
      <c r="I488" s="1099"/>
      <c r="J488" s="86"/>
      <c r="K488" s="1099"/>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9"/>
      <c r="AG488" s="87"/>
      <c r="AH488" s="87"/>
      <c r="AI488" s="87"/>
      <c r="AJ488" s="87"/>
      <c r="AK488" s="87"/>
      <c r="AL488" s="87"/>
      <c r="AM488" s="87"/>
      <c r="AN488" s="87"/>
      <c r="AO488" s="87"/>
      <c r="AP488" s="87"/>
      <c r="AQ488" s="87"/>
      <c r="AR488" s="87"/>
      <c r="AS488" s="87"/>
      <c r="AT488" s="88"/>
      <c r="AU488" s="89"/>
      <c r="AV488" s="833">
        <f t="shared" si="320"/>
        <v>0</v>
      </c>
      <c r="AW488" s="833">
        <f t="shared" si="321"/>
        <v>0</v>
      </c>
      <c r="AX488" s="83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8"/>
      <c r="C489" s="1099"/>
      <c r="D489" s="2199"/>
      <c r="E489" s="82">
        <f t="shared" si="319"/>
        <v>0</v>
      </c>
      <c r="F489" s="83"/>
      <c r="G489" s="84">
        <f t="shared" si="294"/>
        <v>0</v>
      </c>
      <c r="H489" s="85">
        <f t="shared" si="295"/>
        <v>0</v>
      </c>
      <c r="I489" s="1099"/>
      <c r="J489" s="86"/>
      <c r="K489" s="1099"/>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9"/>
      <c r="AG489" s="87"/>
      <c r="AH489" s="87"/>
      <c r="AI489" s="87"/>
      <c r="AJ489" s="87"/>
      <c r="AK489" s="87"/>
      <c r="AL489" s="87"/>
      <c r="AM489" s="87"/>
      <c r="AN489" s="87"/>
      <c r="AO489" s="87"/>
      <c r="AP489" s="87"/>
      <c r="AQ489" s="87"/>
      <c r="AR489" s="87"/>
      <c r="AS489" s="87"/>
      <c r="AT489" s="88"/>
      <c r="AU489" s="89"/>
      <c r="AV489" s="833">
        <f t="shared" si="320"/>
        <v>0</v>
      </c>
      <c r="AW489" s="833">
        <f t="shared" si="321"/>
        <v>0</v>
      </c>
      <c r="AX489" s="83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6"/>
      <c r="C490" s="1097"/>
      <c r="D490" s="2199"/>
      <c r="E490" s="82">
        <f t="shared" si="319"/>
        <v>0</v>
      </c>
      <c r="F490" s="83"/>
      <c r="G490" s="84">
        <f t="shared" si="294"/>
        <v>0</v>
      </c>
      <c r="H490" s="85">
        <f t="shared" si="295"/>
        <v>0</v>
      </c>
      <c r="I490" s="1099"/>
      <c r="J490" s="86"/>
      <c r="K490" s="1099"/>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9"/>
      <c r="AG490" s="87"/>
      <c r="AH490" s="87"/>
      <c r="AI490" s="87"/>
      <c r="AJ490" s="87"/>
      <c r="AK490" s="87"/>
      <c r="AL490" s="87"/>
      <c r="AM490" s="87"/>
      <c r="AN490" s="87"/>
      <c r="AO490" s="87"/>
      <c r="AP490" s="87"/>
      <c r="AQ490" s="87"/>
      <c r="AR490" s="87"/>
      <c r="AS490" s="87"/>
      <c r="AT490" s="88"/>
      <c r="AU490" s="89"/>
      <c r="AV490" s="833">
        <f t="shared" si="320"/>
        <v>0</v>
      </c>
      <c r="AW490" s="833">
        <f t="shared" si="321"/>
        <v>0</v>
      </c>
      <c r="AX490" s="83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6"/>
      <c r="C491" s="1097"/>
      <c r="D491" s="2199"/>
      <c r="E491" s="82">
        <f t="shared" si="319"/>
        <v>0</v>
      </c>
      <c r="F491" s="83"/>
      <c r="G491" s="84">
        <f t="shared" si="294"/>
        <v>0</v>
      </c>
      <c r="H491" s="85">
        <f t="shared" si="295"/>
        <v>0</v>
      </c>
      <c r="I491" s="1099"/>
      <c r="J491" s="86"/>
      <c r="K491" s="1099"/>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9"/>
      <c r="AG491" s="87"/>
      <c r="AH491" s="87"/>
      <c r="AI491" s="87"/>
      <c r="AJ491" s="87"/>
      <c r="AK491" s="87"/>
      <c r="AL491" s="87"/>
      <c r="AM491" s="87"/>
      <c r="AN491" s="87"/>
      <c r="AO491" s="87"/>
      <c r="AP491" s="87"/>
      <c r="AQ491" s="87"/>
      <c r="AR491" s="87"/>
      <c r="AS491" s="87"/>
      <c r="AT491" s="88"/>
      <c r="AU491" s="89"/>
      <c r="AV491" s="833">
        <f t="shared" si="320"/>
        <v>0</v>
      </c>
      <c r="AW491" s="833">
        <f t="shared" si="321"/>
        <v>0</v>
      </c>
      <c r="AX491" s="83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6"/>
      <c r="C492" s="1097"/>
      <c r="D492" s="2199"/>
      <c r="E492" s="82">
        <f t="shared" si="319"/>
        <v>0</v>
      </c>
      <c r="F492" s="83"/>
      <c r="G492" s="84">
        <f t="shared" si="294"/>
        <v>0</v>
      </c>
      <c r="H492" s="85">
        <f t="shared" si="295"/>
        <v>0</v>
      </c>
      <c r="I492" s="1099"/>
      <c r="J492" s="86"/>
      <c r="K492" s="1099"/>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9"/>
      <c r="AG492" s="87"/>
      <c r="AH492" s="87"/>
      <c r="AI492" s="87"/>
      <c r="AJ492" s="87"/>
      <c r="AK492" s="87"/>
      <c r="AL492" s="87"/>
      <c r="AM492" s="87"/>
      <c r="AN492" s="87"/>
      <c r="AO492" s="87"/>
      <c r="AP492" s="87"/>
      <c r="AQ492" s="87"/>
      <c r="AR492" s="87"/>
      <c r="AS492" s="87"/>
      <c r="AT492" s="88"/>
      <c r="AU492" s="89"/>
      <c r="AV492" s="833">
        <f t="shared" si="320"/>
        <v>0</v>
      </c>
      <c r="AW492" s="833">
        <f t="shared" si="321"/>
        <v>0</v>
      </c>
      <c r="AX492" s="83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6"/>
      <c r="C493" s="1097"/>
      <c r="D493" s="2199"/>
      <c r="E493" s="82">
        <f t="shared" si="319"/>
        <v>0</v>
      </c>
      <c r="F493" s="83"/>
      <c r="G493" s="84">
        <f t="shared" si="294"/>
        <v>0</v>
      </c>
      <c r="H493" s="85">
        <f t="shared" si="295"/>
        <v>0</v>
      </c>
      <c r="I493" s="1099"/>
      <c r="J493" s="86"/>
      <c r="K493" s="1099"/>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9"/>
      <c r="AG493" s="87"/>
      <c r="AH493" s="87"/>
      <c r="AI493" s="87"/>
      <c r="AJ493" s="87"/>
      <c r="AK493" s="87"/>
      <c r="AL493" s="87"/>
      <c r="AM493" s="87"/>
      <c r="AN493" s="87"/>
      <c r="AO493" s="87"/>
      <c r="AP493" s="87"/>
      <c r="AQ493" s="87"/>
      <c r="AR493" s="87"/>
      <c r="AS493" s="87"/>
      <c r="AT493" s="88"/>
      <c r="AU493" s="89"/>
      <c r="AV493" s="833">
        <f t="shared" si="320"/>
        <v>0</v>
      </c>
      <c r="AW493" s="833">
        <f t="shared" si="321"/>
        <v>0</v>
      </c>
      <c r="AX493" s="83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6"/>
      <c r="C494" s="1097"/>
      <c r="D494" s="2199"/>
      <c r="E494" s="82">
        <f t="shared" si="319"/>
        <v>0</v>
      </c>
      <c r="F494" s="83"/>
      <c r="G494" s="84">
        <f t="shared" si="294"/>
        <v>0</v>
      </c>
      <c r="H494" s="85">
        <f t="shared" si="295"/>
        <v>0</v>
      </c>
      <c r="I494" s="1099"/>
      <c r="J494" s="86"/>
      <c r="K494" s="1099"/>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9"/>
      <c r="AG494" s="87"/>
      <c r="AH494" s="87"/>
      <c r="AI494" s="87"/>
      <c r="AJ494" s="87"/>
      <c r="AK494" s="87"/>
      <c r="AL494" s="87"/>
      <c r="AM494" s="87"/>
      <c r="AN494" s="87"/>
      <c r="AO494" s="87"/>
      <c r="AP494" s="87"/>
      <c r="AQ494" s="87"/>
      <c r="AR494" s="87"/>
      <c r="AS494" s="87"/>
      <c r="AT494" s="88"/>
      <c r="AU494" s="89"/>
      <c r="AV494" s="833">
        <f t="shared" si="320"/>
        <v>0</v>
      </c>
      <c r="AW494" s="833">
        <f t="shared" si="321"/>
        <v>0</v>
      </c>
      <c r="AX494" s="83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6"/>
      <c r="C495" s="1097"/>
      <c r="D495" s="2199"/>
      <c r="E495" s="82">
        <f t="shared" si="319"/>
        <v>0</v>
      </c>
      <c r="F495" s="83"/>
      <c r="G495" s="84">
        <f t="shared" si="294"/>
        <v>0</v>
      </c>
      <c r="H495" s="85">
        <f t="shared" si="295"/>
        <v>0</v>
      </c>
      <c r="I495" s="1099"/>
      <c r="J495" s="86"/>
      <c r="K495" s="1099"/>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9"/>
      <c r="AG495" s="87"/>
      <c r="AH495" s="87"/>
      <c r="AI495" s="87"/>
      <c r="AJ495" s="87"/>
      <c r="AK495" s="87"/>
      <c r="AL495" s="87"/>
      <c r="AM495" s="87"/>
      <c r="AN495" s="87"/>
      <c r="AO495" s="87"/>
      <c r="AP495" s="87"/>
      <c r="AQ495" s="87"/>
      <c r="AR495" s="87"/>
      <c r="AS495" s="87"/>
      <c r="AT495" s="88"/>
      <c r="AU495" s="89"/>
      <c r="AV495" s="833">
        <f t="shared" si="320"/>
        <v>0</v>
      </c>
      <c r="AW495" s="833">
        <f t="shared" si="321"/>
        <v>0</v>
      </c>
      <c r="AX495" s="83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6"/>
      <c r="C496" s="1097"/>
      <c r="D496" s="2199"/>
      <c r="E496" s="82">
        <f t="shared" si="319"/>
        <v>0</v>
      </c>
      <c r="F496" s="83"/>
      <c r="G496" s="84">
        <f t="shared" si="294"/>
        <v>0</v>
      </c>
      <c r="H496" s="85">
        <f t="shared" si="295"/>
        <v>0</v>
      </c>
      <c r="I496" s="1099"/>
      <c r="J496" s="86"/>
      <c r="K496" s="1099"/>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9"/>
      <c r="AG496" s="87"/>
      <c r="AH496" s="87"/>
      <c r="AI496" s="87"/>
      <c r="AJ496" s="87"/>
      <c r="AK496" s="87"/>
      <c r="AL496" s="87"/>
      <c r="AM496" s="87"/>
      <c r="AN496" s="87"/>
      <c r="AO496" s="87"/>
      <c r="AP496" s="87"/>
      <c r="AQ496" s="87"/>
      <c r="AR496" s="87"/>
      <c r="AS496" s="87"/>
      <c r="AT496" s="88"/>
      <c r="AU496" s="89"/>
      <c r="AV496" s="833">
        <f t="shared" si="320"/>
        <v>0</v>
      </c>
      <c r="AW496" s="833">
        <f t="shared" si="321"/>
        <v>0</v>
      </c>
      <c r="AX496" s="83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6"/>
      <c r="C497" s="1097"/>
      <c r="D497" s="2199"/>
      <c r="E497" s="82">
        <f t="shared" si="319"/>
        <v>0</v>
      </c>
      <c r="F497" s="83"/>
      <c r="G497" s="84">
        <f t="shared" si="294"/>
        <v>0</v>
      </c>
      <c r="H497" s="85">
        <f t="shared" si="295"/>
        <v>0</v>
      </c>
      <c r="I497" s="1099"/>
      <c r="J497" s="86"/>
      <c r="K497" s="1099"/>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9"/>
      <c r="AG497" s="87"/>
      <c r="AH497" s="87"/>
      <c r="AI497" s="87"/>
      <c r="AJ497" s="87"/>
      <c r="AK497" s="87"/>
      <c r="AL497" s="87"/>
      <c r="AM497" s="87"/>
      <c r="AN497" s="87"/>
      <c r="AO497" s="87"/>
      <c r="AP497" s="87"/>
      <c r="AQ497" s="87"/>
      <c r="AR497" s="87"/>
      <c r="AS497" s="87"/>
      <c r="AT497" s="88"/>
      <c r="AU497" s="89"/>
      <c r="AV497" s="833">
        <f t="shared" si="320"/>
        <v>0</v>
      </c>
      <c r="AW497" s="833">
        <f t="shared" si="321"/>
        <v>0</v>
      </c>
      <c r="AX497" s="83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6"/>
      <c r="C498" s="1097"/>
      <c r="D498" s="2199"/>
      <c r="E498" s="82">
        <f t="shared" si="319"/>
        <v>0</v>
      </c>
      <c r="F498" s="83"/>
      <c r="G498" s="84">
        <f t="shared" si="294"/>
        <v>0</v>
      </c>
      <c r="H498" s="85">
        <f t="shared" si="295"/>
        <v>0</v>
      </c>
      <c r="I498" s="1099"/>
      <c r="J498" s="86"/>
      <c r="K498" s="1099"/>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9"/>
      <c r="AG498" s="87"/>
      <c r="AH498" s="87"/>
      <c r="AI498" s="87"/>
      <c r="AJ498" s="87"/>
      <c r="AK498" s="87"/>
      <c r="AL498" s="87"/>
      <c r="AM498" s="87"/>
      <c r="AN498" s="87"/>
      <c r="AO498" s="87"/>
      <c r="AP498" s="87"/>
      <c r="AQ498" s="87"/>
      <c r="AR498" s="87"/>
      <c r="AS498" s="87"/>
      <c r="AT498" s="88"/>
      <c r="AU498" s="89"/>
      <c r="AV498" s="833">
        <f t="shared" si="320"/>
        <v>0</v>
      </c>
      <c r="AW498" s="833">
        <f t="shared" si="321"/>
        <v>0</v>
      </c>
      <c r="AX498" s="83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6"/>
      <c r="C499" s="1097"/>
      <c r="D499" s="2199"/>
      <c r="E499" s="82">
        <f t="shared" si="319"/>
        <v>0</v>
      </c>
      <c r="F499" s="83"/>
      <c r="G499" s="84">
        <f t="shared" si="294"/>
        <v>0</v>
      </c>
      <c r="H499" s="85">
        <f t="shared" si="295"/>
        <v>0</v>
      </c>
      <c r="I499" s="1099"/>
      <c r="J499" s="86"/>
      <c r="K499" s="1099"/>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9"/>
      <c r="AG499" s="87"/>
      <c r="AH499" s="87"/>
      <c r="AI499" s="87"/>
      <c r="AJ499" s="87"/>
      <c r="AK499" s="87"/>
      <c r="AL499" s="87"/>
      <c r="AM499" s="87"/>
      <c r="AN499" s="87"/>
      <c r="AO499" s="87"/>
      <c r="AP499" s="87"/>
      <c r="AQ499" s="87"/>
      <c r="AR499" s="87"/>
      <c r="AS499" s="87"/>
      <c r="AT499" s="88"/>
      <c r="AU499" s="89"/>
      <c r="AV499" s="833">
        <f t="shared" si="320"/>
        <v>0</v>
      </c>
      <c r="AW499" s="833">
        <f t="shared" si="321"/>
        <v>0</v>
      </c>
      <c r="AX499" s="83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6"/>
      <c r="C500" s="1097"/>
      <c r="D500" s="2199"/>
      <c r="E500" s="82">
        <f t="shared" si="319"/>
        <v>0</v>
      </c>
      <c r="F500" s="83"/>
      <c r="G500" s="84">
        <f t="shared" si="294"/>
        <v>0</v>
      </c>
      <c r="H500" s="85">
        <f t="shared" si="295"/>
        <v>0</v>
      </c>
      <c r="I500" s="1099"/>
      <c r="J500" s="86"/>
      <c r="K500" s="1099"/>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9"/>
      <c r="AG500" s="87"/>
      <c r="AH500" s="87"/>
      <c r="AI500" s="87"/>
      <c r="AJ500" s="87"/>
      <c r="AK500" s="87"/>
      <c r="AL500" s="87"/>
      <c r="AM500" s="87"/>
      <c r="AN500" s="87"/>
      <c r="AO500" s="87"/>
      <c r="AP500" s="87"/>
      <c r="AQ500" s="87"/>
      <c r="AR500" s="87"/>
      <c r="AS500" s="87"/>
      <c r="AT500" s="88"/>
      <c r="AU500" s="89"/>
      <c r="AV500" s="833">
        <f t="shared" si="320"/>
        <v>0</v>
      </c>
      <c r="AW500" s="833">
        <f t="shared" si="321"/>
        <v>0</v>
      </c>
      <c r="AX500" s="83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6"/>
      <c r="C501" s="1097"/>
      <c r="D501" s="2199"/>
      <c r="E501" s="82">
        <f t="shared" si="319"/>
        <v>0</v>
      </c>
      <c r="F501" s="83"/>
      <c r="G501" s="84">
        <f t="shared" si="294"/>
        <v>0</v>
      </c>
      <c r="H501" s="85">
        <f t="shared" si="295"/>
        <v>0</v>
      </c>
      <c r="I501" s="1099"/>
      <c r="J501" s="86"/>
      <c r="K501" s="1099"/>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9"/>
      <c r="AG501" s="87"/>
      <c r="AH501" s="87"/>
      <c r="AI501" s="87"/>
      <c r="AJ501" s="87"/>
      <c r="AK501" s="87"/>
      <c r="AL501" s="87"/>
      <c r="AM501" s="87"/>
      <c r="AN501" s="87"/>
      <c r="AO501" s="87"/>
      <c r="AP501" s="87"/>
      <c r="AQ501" s="87"/>
      <c r="AR501" s="87"/>
      <c r="AS501" s="87"/>
      <c r="AT501" s="88"/>
      <c r="AU501" s="89"/>
      <c r="AV501" s="833">
        <f t="shared" si="320"/>
        <v>0</v>
      </c>
      <c r="AW501" s="833">
        <f t="shared" si="321"/>
        <v>0</v>
      </c>
      <c r="AX501" s="83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6"/>
      <c r="C502" s="1097"/>
      <c r="D502" s="2199"/>
      <c r="E502" s="82">
        <f t="shared" si="319"/>
        <v>0</v>
      </c>
      <c r="F502" s="83"/>
      <c r="G502" s="84">
        <f t="shared" si="294"/>
        <v>0</v>
      </c>
      <c r="H502" s="85">
        <f t="shared" si="295"/>
        <v>0</v>
      </c>
      <c r="I502" s="1099"/>
      <c r="J502" s="86"/>
      <c r="K502" s="1099"/>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9"/>
      <c r="AG502" s="87"/>
      <c r="AH502" s="87"/>
      <c r="AI502" s="87"/>
      <c r="AJ502" s="87"/>
      <c r="AK502" s="87"/>
      <c r="AL502" s="87"/>
      <c r="AM502" s="87"/>
      <c r="AN502" s="87"/>
      <c r="AO502" s="87"/>
      <c r="AP502" s="87"/>
      <c r="AQ502" s="87"/>
      <c r="AR502" s="87"/>
      <c r="AS502" s="87"/>
      <c r="AT502" s="88"/>
      <c r="AU502" s="89"/>
      <c r="AV502" s="833">
        <f t="shared" si="320"/>
        <v>0</v>
      </c>
      <c r="AW502" s="833">
        <f t="shared" si="321"/>
        <v>0</v>
      </c>
      <c r="AX502" s="83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6"/>
      <c r="C503" s="1097"/>
      <c r="D503" s="2199"/>
      <c r="E503" s="82">
        <f t="shared" si="319"/>
        <v>0</v>
      </c>
      <c r="F503" s="83"/>
      <c r="G503" s="84">
        <f t="shared" si="294"/>
        <v>0</v>
      </c>
      <c r="H503" s="85">
        <f t="shared" si="295"/>
        <v>0</v>
      </c>
      <c r="I503" s="1099"/>
      <c r="J503" s="86"/>
      <c r="K503" s="1099"/>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9"/>
      <c r="AG503" s="87"/>
      <c r="AH503" s="87"/>
      <c r="AI503" s="87"/>
      <c r="AJ503" s="87"/>
      <c r="AK503" s="87"/>
      <c r="AL503" s="87"/>
      <c r="AM503" s="87"/>
      <c r="AN503" s="87"/>
      <c r="AO503" s="87"/>
      <c r="AP503" s="87"/>
      <c r="AQ503" s="87"/>
      <c r="AR503" s="87"/>
      <c r="AS503" s="87"/>
      <c r="AT503" s="88"/>
      <c r="AU503" s="89"/>
      <c r="AV503" s="833">
        <f t="shared" si="320"/>
        <v>0</v>
      </c>
      <c r="AW503" s="833">
        <f t="shared" si="321"/>
        <v>0</v>
      </c>
      <c r="AX503" s="83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6"/>
      <c r="C504" s="1097"/>
      <c r="D504" s="2199"/>
      <c r="E504" s="82">
        <f t="shared" si="319"/>
        <v>0</v>
      </c>
      <c r="F504" s="83"/>
      <c r="G504" s="84">
        <f t="shared" si="294"/>
        <v>0</v>
      </c>
      <c r="H504" s="85">
        <f t="shared" si="295"/>
        <v>0</v>
      </c>
      <c r="I504" s="1099"/>
      <c r="J504" s="86"/>
      <c r="K504" s="1099"/>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9"/>
      <c r="AG504" s="87"/>
      <c r="AH504" s="87"/>
      <c r="AI504" s="87"/>
      <c r="AJ504" s="87"/>
      <c r="AK504" s="87"/>
      <c r="AL504" s="87"/>
      <c r="AM504" s="87"/>
      <c r="AN504" s="87"/>
      <c r="AO504" s="87"/>
      <c r="AP504" s="87"/>
      <c r="AQ504" s="87"/>
      <c r="AR504" s="87"/>
      <c r="AS504" s="87"/>
      <c r="AT504" s="88"/>
      <c r="AU504" s="89"/>
      <c r="AV504" s="833">
        <f t="shared" si="320"/>
        <v>0</v>
      </c>
      <c r="AW504" s="833">
        <f t="shared" si="321"/>
        <v>0</v>
      </c>
      <c r="AX504" s="83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6"/>
      <c r="C505" s="1097"/>
      <c r="D505" s="2199"/>
      <c r="E505" s="82">
        <f t="shared" ref="E505:E536" si="323">IF($C$3="是",ROUND($A$3*G505/$B$3,2),ROUND($A$3*(G505-AT505)/$B$3,2))</f>
        <v>0</v>
      </c>
      <c r="F505" s="83"/>
      <c r="G505" s="84">
        <f t="shared" si="294"/>
        <v>0</v>
      </c>
      <c r="H505" s="85">
        <f t="shared" si="295"/>
        <v>0</v>
      </c>
      <c r="I505" s="1099"/>
      <c r="J505" s="86"/>
      <c r="K505" s="1099"/>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9"/>
      <c r="AG505" s="87"/>
      <c r="AH505" s="87"/>
      <c r="AI505" s="87"/>
      <c r="AJ505" s="87"/>
      <c r="AK505" s="87"/>
      <c r="AL505" s="87"/>
      <c r="AM505" s="87"/>
      <c r="AN505" s="87"/>
      <c r="AO505" s="87"/>
      <c r="AP505" s="87"/>
      <c r="AQ505" s="87"/>
      <c r="AR505" s="87"/>
      <c r="AS505" s="87"/>
      <c r="AT505" s="88"/>
      <c r="AU505" s="89"/>
      <c r="AV505" s="833">
        <f t="shared" si="320"/>
        <v>0</v>
      </c>
      <c r="AW505" s="833">
        <f t="shared" si="321"/>
        <v>0</v>
      </c>
      <c r="AX505" s="83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6"/>
      <c r="C506" s="1097"/>
      <c r="D506" s="2199"/>
      <c r="E506" s="82">
        <f t="shared" si="323"/>
        <v>0</v>
      </c>
      <c r="F506" s="83"/>
      <c r="G506" s="84">
        <f t="shared" si="294"/>
        <v>0</v>
      </c>
      <c r="H506" s="85">
        <f t="shared" si="295"/>
        <v>0</v>
      </c>
      <c r="I506" s="1099"/>
      <c r="J506" s="86"/>
      <c r="K506" s="1099"/>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9"/>
      <c r="AG506" s="87"/>
      <c r="AH506" s="87"/>
      <c r="AI506" s="87"/>
      <c r="AJ506" s="87"/>
      <c r="AK506" s="87"/>
      <c r="AL506" s="87"/>
      <c r="AM506" s="87"/>
      <c r="AN506" s="87"/>
      <c r="AO506" s="87"/>
      <c r="AP506" s="87"/>
      <c r="AQ506" s="87"/>
      <c r="AR506" s="87"/>
      <c r="AS506" s="87"/>
      <c r="AT506" s="88"/>
      <c r="AU506" s="89"/>
      <c r="AV506" s="833">
        <f t="shared" ref="AV506:AV537" si="324">A506</f>
        <v>0</v>
      </c>
      <c r="AW506" s="833">
        <f t="shared" ref="AW506:AW537" si="325">B506</f>
        <v>0</v>
      </c>
      <c r="AX506" s="83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6"/>
      <c r="C507" s="1097"/>
      <c r="D507" s="2199"/>
      <c r="E507" s="82">
        <f t="shared" si="323"/>
        <v>0</v>
      </c>
      <c r="F507" s="83"/>
      <c r="G507" s="84">
        <f t="shared" si="294"/>
        <v>0</v>
      </c>
      <c r="H507" s="85">
        <f t="shared" si="295"/>
        <v>0</v>
      </c>
      <c r="I507" s="1099"/>
      <c r="J507" s="86"/>
      <c r="K507" s="1099"/>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7"/>
      <c r="AG507" s="87"/>
      <c r="AH507" s="87"/>
      <c r="AI507" s="87"/>
      <c r="AJ507" s="87"/>
      <c r="AK507" s="87"/>
      <c r="AL507" s="87"/>
      <c r="AM507" s="87"/>
      <c r="AN507" s="87"/>
      <c r="AO507" s="87"/>
      <c r="AP507" s="87"/>
      <c r="AQ507" s="87"/>
      <c r="AR507" s="87"/>
      <c r="AS507" s="87"/>
      <c r="AT507" s="88"/>
      <c r="AU507" s="89"/>
      <c r="AV507" s="833">
        <f t="shared" si="324"/>
        <v>0</v>
      </c>
      <c r="AW507" s="833">
        <f t="shared" si="325"/>
        <v>0</v>
      </c>
      <c r="AX507" s="83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6"/>
      <c r="C508" s="1097"/>
      <c r="D508" s="2199"/>
      <c r="E508" s="82">
        <f t="shared" si="323"/>
        <v>0</v>
      </c>
      <c r="F508" s="83"/>
      <c r="G508" s="84">
        <f t="shared" si="294"/>
        <v>0</v>
      </c>
      <c r="H508" s="85">
        <f t="shared" si="295"/>
        <v>0</v>
      </c>
      <c r="I508" s="1097"/>
      <c r="J508" s="86"/>
      <c r="K508" s="1097"/>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7"/>
      <c r="AG508" s="87"/>
      <c r="AH508" s="87"/>
      <c r="AI508" s="87"/>
      <c r="AJ508" s="87"/>
      <c r="AK508" s="87"/>
      <c r="AL508" s="87"/>
      <c r="AM508" s="87"/>
      <c r="AN508" s="87"/>
      <c r="AO508" s="87"/>
      <c r="AP508" s="87"/>
      <c r="AQ508" s="87"/>
      <c r="AR508" s="87"/>
      <c r="AS508" s="87"/>
      <c r="AT508" s="88"/>
      <c r="AU508" s="89"/>
      <c r="AV508" s="833">
        <f t="shared" si="324"/>
        <v>0</v>
      </c>
      <c r="AW508" s="833">
        <f t="shared" si="325"/>
        <v>0</v>
      </c>
      <c r="AX508" s="83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6"/>
      <c r="C509" s="1097"/>
      <c r="D509" s="2199"/>
      <c r="E509" s="82">
        <f t="shared" si="323"/>
        <v>0</v>
      </c>
      <c r="F509" s="83"/>
      <c r="G509" s="84">
        <f t="shared" si="294"/>
        <v>0</v>
      </c>
      <c r="H509" s="85">
        <f t="shared" si="295"/>
        <v>0</v>
      </c>
      <c r="I509" s="1097"/>
      <c r="J509" s="86"/>
      <c r="K509" s="1097"/>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7"/>
      <c r="AG509" s="87"/>
      <c r="AH509" s="87"/>
      <c r="AI509" s="87"/>
      <c r="AJ509" s="87"/>
      <c r="AK509" s="87"/>
      <c r="AL509" s="87"/>
      <c r="AM509" s="87"/>
      <c r="AN509" s="87"/>
      <c r="AO509" s="87"/>
      <c r="AP509" s="87"/>
      <c r="AQ509" s="87"/>
      <c r="AR509" s="87"/>
      <c r="AS509" s="87"/>
      <c r="AT509" s="88"/>
      <c r="AU509" s="89"/>
      <c r="AV509" s="833">
        <f t="shared" si="324"/>
        <v>0</v>
      </c>
      <c r="AW509" s="833">
        <f t="shared" si="325"/>
        <v>0</v>
      </c>
      <c r="AX509" s="83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6"/>
      <c r="C510" s="1097"/>
      <c r="D510" s="2199"/>
      <c r="E510" s="82">
        <f t="shared" si="323"/>
        <v>0</v>
      </c>
      <c r="F510" s="83"/>
      <c r="G510" s="84">
        <f t="shared" ref="G510:G537" si="327">H510+AC510+AT510</f>
        <v>0</v>
      </c>
      <c r="H510" s="85">
        <f t="shared" ref="H510:H537" si="328">SUMIF(I$12:AB$12,"总值",I510:AB510)</f>
        <v>0</v>
      </c>
      <c r="I510" s="1097"/>
      <c r="J510" s="86"/>
      <c r="K510" s="1097"/>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7"/>
      <c r="AG510" s="87"/>
      <c r="AH510" s="87"/>
      <c r="AI510" s="87"/>
      <c r="AJ510" s="87"/>
      <c r="AK510" s="87"/>
      <c r="AL510" s="87"/>
      <c r="AM510" s="87"/>
      <c r="AN510" s="87"/>
      <c r="AO510" s="87"/>
      <c r="AP510" s="87"/>
      <c r="AQ510" s="87"/>
      <c r="AR510" s="87"/>
      <c r="AS510" s="87"/>
      <c r="AT510" s="88"/>
      <c r="AU510" s="89"/>
      <c r="AV510" s="833">
        <f t="shared" si="324"/>
        <v>0</v>
      </c>
      <c r="AW510" s="833">
        <f t="shared" si="325"/>
        <v>0</v>
      </c>
      <c r="AX510" s="83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6"/>
      <c r="C511" s="1097"/>
      <c r="D511" s="2199"/>
      <c r="E511" s="82">
        <f t="shared" si="323"/>
        <v>0</v>
      </c>
      <c r="F511" s="83"/>
      <c r="G511" s="84">
        <f t="shared" si="327"/>
        <v>0</v>
      </c>
      <c r="H511" s="85">
        <f t="shared" si="328"/>
        <v>0</v>
      </c>
      <c r="I511" s="1097"/>
      <c r="J511" s="86"/>
      <c r="K511" s="1097"/>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7"/>
      <c r="AG511" s="87"/>
      <c r="AH511" s="87"/>
      <c r="AI511" s="87"/>
      <c r="AJ511" s="87"/>
      <c r="AK511" s="87"/>
      <c r="AL511" s="87"/>
      <c r="AM511" s="87"/>
      <c r="AN511" s="87"/>
      <c r="AO511" s="87"/>
      <c r="AP511" s="87"/>
      <c r="AQ511" s="87"/>
      <c r="AR511" s="87"/>
      <c r="AS511" s="87"/>
      <c r="AT511" s="88"/>
      <c r="AU511" s="89"/>
      <c r="AV511" s="833">
        <f t="shared" si="324"/>
        <v>0</v>
      </c>
      <c r="AW511" s="833">
        <f t="shared" si="325"/>
        <v>0</v>
      </c>
      <c r="AX511" s="83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6"/>
      <c r="C512" s="1097"/>
      <c r="D512" s="2199"/>
      <c r="E512" s="82">
        <f t="shared" si="323"/>
        <v>0</v>
      </c>
      <c r="F512" s="83"/>
      <c r="G512" s="84">
        <f t="shared" si="327"/>
        <v>0</v>
      </c>
      <c r="H512" s="85">
        <f t="shared" si="328"/>
        <v>0</v>
      </c>
      <c r="I512" s="1097"/>
      <c r="J512" s="86"/>
      <c r="K512" s="1097"/>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7"/>
      <c r="AG512" s="87"/>
      <c r="AH512" s="87"/>
      <c r="AI512" s="87"/>
      <c r="AJ512" s="87"/>
      <c r="AK512" s="87"/>
      <c r="AL512" s="87"/>
      <c r="AM512" s="87"/>
      <c r="AN512" s="87"/>
      <c r="AO512" s="87"/>
      <c r="AP512" s="87"/>
      <c r="AQ512" s="87"/>
      <c r="AR512" s="87"/>
      <c r="AS512" s="87"/>
      <c r="AT512" s="88"/>
      <c r="AU512" s="89"/>
      <c r="AV512" s="833">
        <f t="shared" si="324"/>
        <v>0</v>
      </c>
      <c r="AW512" s="833">
        <f t="shared" si="325"/>
        <v>0</v>
      </c>
      <c r="AX512" s="83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6"/>
      <c r="C513" s="1097"/>
      <c r="D513" s="2199"/>
      <c r="E513" s="82">
        <f t="shared" si="323"/>
        <v>0</v>
      </c>
      <c r="F513" s="83"/>
      <c r="G513" s="84">
        <f t="shared" si="327"/>
        <v>0</v>
      </c>
      <c r="H513" s="85">
        <f t="shared" si="328"/>
        <v>0</v>
      </c>
      <c r="I513" s="1097"/>
      <c r="J513" s="86"/>
      <c r="K513" s="1097"/>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7"/>
      <c r="AG513" s="87"/>
      <c r="AH513" s="87"/>
      <c r="AI513" s="87"/>
      <c r="AJ513" s="87"/>
      <c r="AK513" s="87"/>
      <c r="AL513" s="87"/>
      <c r="AM513" s="87"/>
      <c r="AN513" s="87"/>
      <c r="AO513" s="87"/>
      <c r="AP513" s="87"/>
      <c r="AQ513" s="87"/>
      <c r="AR513" s="87"/>
      <c r="AS513" s="87"/>
      <c r="AT513" s="88"/>
      <c r="AU513" s="89"/>
      <c r="AV513" s="833">
        <f t="shared" si="324"/>
        <v>0</v>
      </c>
      <c r="AW513" s="833">
        <f t="shared" si="325"/>
        <v>0</v>
      </c>
      <c r="AX513" s="83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6"/>
      <c r="C514" s="1097"/>
      <c r="D514" s="2199"/>
      <c r="E514" s="82">
        <f t="shared" si="323"/>
        <v>0</v>
      </c>
      <c r="F514" s="83"/>
      <c r="G514" s="84">
        <f t="shared" si="327"/>
        <v>0</v>
      </c>
      <c r="H514" s="85">
        <f t="shared" si="328"/>
        <v>0</v>
      </c>
      <c r="I514" s="1097"/>
      <c r="J514" s="86"/>
      <c r="K514" s="1097"/>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7"/>
      <c r="AG514" s="87"/>
      <c r="AH514" s="87"/>
      <c r="AI514" s="87"/>
      <c r="AJ514" s="87"/>
      <c r="AK514" s="87"/>
      <c r="AL514" s="87"/>
      <c r="AM514" s="87"/>
      <c r="AN514" s="87"/>
      <c r="AO514" s="87"/>
      <c r="AP514" s="87"/>
      <c r="AQ514" s="87"/>
      <c r="AR514" s="87"/>
      <c r="AS514" s="87"/>
      <c r="AT514" s="88"/>
      <c r="AU514" s="89"/>
      <c r="AV514" s="833">
        <f t="shared" si="324"/>
        <v>0</v>
      </c>
      <c r="AW514" s="833">
        <f t="shared" si="325"/>
        <v>0</v>
      </c>
      <c r="AX514" s="83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8"/>
      <c r="C515" s="1099"/>
      <c r="D515" s="2199"/>
      <c r="E515" s="82">
        <f t="shared" si="323"/>
        <v>0</v>
      </c>
      <c r="F515" s="83"/>
      <c r="G515" s="84">
        <f t="shared" si="327"/>
        <v>0</v>
      </c>
      <c r="H515" s="85">
        <f t="shared" si="328"/>
        <v>0</v>
      </c>
      <c r="I515" s="1097"/>
      <c r="J515" s="86"/>
      <c r="K515" s="1097"/>
      <c r="L515" s="86"/>
      <c r="M515" s="1097"/>
      <c r="N515" s="86"/>
      <c r="O515" s="86"/>
      <c r="P515" s="86"/>
      <c r="Q515" s="86"/>
      <c r="R515" s="86"/>
      <c r="S515" s="86"/>
      <c r="T515" s="86"/>
      <c r="U515" s="86"/>
      <c r="V515" s="86"/>
      <c r="W515" s="86"/>
      <c r="X515" s="86"/>
      <c r="Y515" s="86"/>
      <c r="Z515" s="86"/>
      <c r="AA515" s="86"/>
      <c r="AB515" s="86"/>
      <c r="AC515" s="82">
        <f t="shared" si="329"/>
        <v>0</v>
      </c>
      <c r="AD515" s="87"/>
      <c r="AE515" s="87"/>
      <c r="AF515" s="1097"/>
      <c r="AG515" s="87"/>
      <c r="AH515" s="87"/>
      <c r="AI515" s="87"/>
      <c r="AJ515" s="87"/>
      <c r="AK515" s="87"/>
      <c r="AL515" s="87"/>
      <c r="AM515" s="87"/>
      <c r="AN515" s="87"/>
      <c r="AO515" s="87"/>
      <c r="AP515" s="87"/>
      <c r="AQ515" s="87"/>
      <c r="AR515" s="87"/>
      <c r="AS515" s="87"/>
      <c r="AT515" s="88"/>
      <c r="AU515" s="89"/>
      <c r="AV515" s="833">
        <f t="shared" si="324"/>
        <v>0</v>
      </c>
      <c r="AW515" s="833">
        <f t="shared" si="325"/>
        <v>0</v>
      </c>
      <c r="AX515" s="83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3">
        <f t="shared" si="324"/>
        <v>0</v>
      </c>
      <c r="AW516" s="833">
        <f t="shared" si="325"/>
        <v>0</v>
      </c>
      <c r="AX516" s="83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3">
        <f t="shared" si="324"/>
        <v>0</v>
      </c>
      <c r="AW517" s="833">
        <f t="shared" si="325"/>
        <v>0</v>
      </c>
      <c r="AX517" s="83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3">
        <f t="shared" si="324"/>
        <v>0</v>
      </c>
      <c r="AW518" s="833">
        <f t="shared" si="325"/>
        <v>0</v>
      </c>
      <c r="AX518" s="83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3">
        <f t="shared" si="324"/>
        <v>0</v>
      </c>
      <c r="AW519" s="833">
        <f t="shared" si="325"/>
        <v>0</v>
      </c>
      <c r="AX519" s="83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3">
        <f t="shared" si="324"/>
        <v>0</v>
      </c>
      <c r="AW520" s="833">
        <f t="shared" si="325"/>
        <v>0</v>
      </c>
      <c r="AX520" s="83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3">
        <f t="shared" si="324"/>
        <v>0</v>
      </c>
      <c r="AW521" s="833">
        <f t="shared" si="325"/>
        <v>0</v>
      </c>
      <c r="AX521" s="83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3">
        <f t="shared" si="324"/>
        <v>0</v>
      </c>
      <c r="AW522" s="833">
        <f t="shared" si="325"/>
        <v>0</v>
      </c>
      <c r="AX522" s="83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3">
        <f t="shared" si="324"/>
        <v>0</v>
      </c>
      <c r="AW523" s="833">
        <f t="shared" si="325"/>
        <v>0</v>
      </c>
      <c r="AX523" s="83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3">
        <f t="shared" si="324"/>
        <v>0</v>
      </c>
      <c r="AW524" s="833">
        <f t="shared" si="325"/>
        <v>0</v>
      </c>
      <c r="AX524" s="83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3">
        <f t="shared" si="324"/>
        <v>0</v>
      </c>
      <c r="AW525" s="833">
        <f t="shared" si="325"/>
        <v>0</v>
      </c>
      <c r="AX525" s="83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3">
        <f t="shared" si="324"/>
        <v>0</v>
      </c>
      <c r="AW526" s="833">
        <f t="shared" si="325"/>
        <v>0</v>
      </c>
      <c r="AX526" s="83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3">
        <f t="shared" si="324"/>
        <v>0</v>
      </c>
      <c r="AW527" s="833">
        <f t="shared" si="325"/>
        <v>0</v>
      </c>
      <c r="AX527" s="83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3">
        <f t="shared" si="324"/>
        <v>0</v>
      </c>
      <c r="AW528" s="833">
        <f t="shared" si="325"/>
        <v>0</v>
      </c>
      <c r="AX528" s="83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3">
        <f t="shared" si="324"/>
        <v>0</v>
      </c>
      <c r="AW529" s="833">
        <f t="shared" si="325"/>
        <v>0</v>
      </c>
      <c r="AX529" s="83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3">
        <f t="shared" si="324"/>
        <v>0</v>
      </c>
      <c r="AW530" s="833">
        <f t="shared" si="325"/>
        <v>0</v>
      </c>
      <c r="AX530" s="83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3">
        <f t="shared" si="324"/>
        <v>0</v>
      </c>
      <c r="AW531" s="833">
        <f t="shared" si="325"/>
        <v>0</v>
      </c>
      <c r="AX531" s="83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3">
        <f t="shared" si="324"/>
        <v>0</v>
      </c>
      <c r="AW532" s="833">
        <f t="shared" si="325"/>
        <v>0</v>
      </c>
      <c r="AX532" s="83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3">
        <f t="shared" si="324"/>
        <v>0</v>
      </c>
      <c r="AW533" s="833">
        <f t="shared" si="325"/>
        <v>0</v>
      </c>
      <c r="AX533" s="83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3">
        <f t="shared" si="324"/>
        <v>0</v>
      </c>
      <c r="AW534" s="833">
        <f t="shared" si="325"/>
        <v>0</v>
      </c>
      <c r="AX534" s="83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3">
        <f t="shared" si="324"/>
        <v>0</v>
      </c>
      <c r="AW535" s="833">
        <f t="shared" si="325"/>
        <v>0</v>
      </c>
      <c r="AX535" s="83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3">
        <f t="shared" si="324"/>
        <v>0</v>
      </c>
      <c r="AW536" s="833">
        <f t="shared" si="325"/>
        <v>0</v>
      </c>
      <c r="AX536" s="83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3">
        <f t="shared" si="324"/>
        <v>0</v>
      </c>
      <c r="AW537" s="833">
        <f t="shared" si="325"/>
        <v>0</v>
      </c>
      <c r="AX537" s="83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3">
        <f t="shared" ref="AV538:AV572" si="356">A538</f>
        <v>0</v>
      </c>
      <c r="AW538" s="833">
        <f t="shared" ref="AW538:AW572" si="357">B538</f>
        <v>0</v>
      </c>
      <c r="AX538" s="83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3">
        <f t="shared" si="356"/>
        <v>0</v>
      </c>
      <c r="AW539" s="833">
        <f t="shared" si="357"/>
        <v>0</v>
      </c>
      <c r="AX539" s="83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3">
        <f t="shared" si="356"/>
        <v>0</v>
      </c>
      <c r="AW540" s="833">
        <f t="shared" si="357"/>
        <v>0</v>
      </c>
      <c r="AX540" s="83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3">
        <f t="shared" si="356"/>
        <v>0</v>
      </c>
      <c r="AW541" s="833">
        <f t="shared" si="357"/>
        <v>0</v>
      </c>
      <c r="AX541" s="83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3">
        <f t="shared" si="356"/>
        <v>0</v>
      </c>
      <c r="AW542" s="833">
        <f t="shared" si="357"/>
        <v>0</v>
      </c>
      <c r="AX542" s="83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3">
        <f t="shared" si="356"/>
        <v>0</v>
      </c>
      <c r="AW543" s="833">
        <f t="shared" si="357"/>
        <v>0</v>
      </c>
      <c r="AX543" s="83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3">
        <f t="shared" si="356"/>
        <v>0</v>
      </c>
      <c r="AW544" s="833">
        <f t="shared" si="357"/>
        <v>0</v>
      </c>
      <c r="AX544" s="83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3">
        <f t="shared" si="356"/>
        <v>0</v>
      </c>
      <c r="AW545" s="833">
        <f t="shared" si="357"/>
        <v>0</v>
      </c>
      <c r="AX545" s="83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3">
        <f t="shared" si="356"/>
        <v>0</v>
      </c>
      <c r="AW546" s="833">
        <f t="shared" si="357"/>
        <v>0</v>
      </c>
      <c r="AX546" s="83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3">
        <f t="shared" si="356"/>
        <v>0</v>
      </c>
      <c r="AW547" s="833">
        <f t="shared" si="357"/>
        <v>0</v>
      </c>
      <c r="AX547" s="83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3">
        <f t="shared" si="356"/>
        <v>0</v>
      </c>
      <c r="AW548" s="833">
        <f t="shared" si="357"/>
        <v>0</v>
      </c>
      <c r="AX548" s="83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3">
        <f t="shared" si="356"/>
        <v>0</v>
      </c>
      <c r="AW549" s="833">
        <f t="shared" si="357"/>
        <v>0</v>
      </c>
      <c r="AX549" s="83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3">
        <f t="shared" si="356"/>
        <v>0</v>
      </c>
      <c r="AW550" s="833">
        <f t="shared" si="357"/>
        <v>0</v>
      </c>
      <c r="AX550" s="83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3">
        <f t="shared" si="356"/>
        <v>0</v>
      </c>
      <c r="AW551" s="833">
        <f t="shared" si="357"/>
        <v>0</v>
      </c>
      <c r="AX551" s="83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3">
        <f t="shared" si="356"/>
        <v>0</v>
      </c>
      <c r="AW552" s="833">
        <f t="shared" si="357"/>
        <v>0</v>
      </c>
      <c r="AX552" s="83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3">
        <f t="shared" si="356"/>
        <v>0</v>
      </c>
      <c r="AW553" s="833">
        <f t="shared" si="357"/>
        <v>0</v>
      </c>
      <c r="AX553" s="83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3">
        <f t="shared" si="356"/>
        <v>0</v>
      </c>
      <c r="AW554" s="833">
        <f t="shared" si="357"/>
        <v>0</v>
      </c>
      <c r="AX554" s="83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3">
        <f t="shared" si="356"/>
        <v>0</v>
      </c>
      <c r="AW555" s="833">
        <f t="shared" si="357"/>
        <v>0</v>
      </c>
      <c r="AX555" s="83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3">
        <f t="shared" si="356"/>
        <v>0</v>
      </c>
      <c r="AW556" s="833">
        <f t="shared" si="357"/>
        <v>0</v>
      </c>
      <c r="AX556" s="83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3">
        <f t="shared" si="356"/>
        <v>0</v>
      </c>
      <c r="AW557" s="833">
        <f t="shared" si="357"/>
        <v>0</v>
      </c>
      <c r="AX557" s="83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3">
        <f t="shared" si="356"/>
        <v>0</v>
      </c>
      <c r="AW558" s="833">
        <f t="shared" si="357"/>
        <v>0</v>
      </c>
      <c r="AX558" s="83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3">
        <f t="shared" si="356"/>
        <v>0</v>
      </c>
      <c r="AW559" s="833">
        <f t="shared" si="357"/>
        <v>0</v>
      </c>
      <c r="AX559" s="83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3">
        <f t="shared" si="356"/>
        <v>0</v>
      </c>
      <c r="AW560" s="833">
        <f t="shared" si="357"/>
        <v>0</v>
      </c>
      <c r="AX560" s="83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3">
        <f t="shared" si="356"/>
        <v>0</v>
      </c>
      <c r="AW561" s="833">
        <f t="shared" si="357"/>
        <v>0</v>
      </c>
      <c r="AX561" s="83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3">
        <f t="shared" si="356"/>
        <v>0</v>
      </c>
      <c r="AW562" s="833">
        <f t="shared" si="357"/>
        <v>0</v>
      </c>
      <c r="AX562" s="83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3">
        <f t="shared" si="356"/>
        <v>0</v>
      </c>
      <c r="AW563" s="833">
        <f t="shared" si="357"/>
        <v>0</v>
      </c>
      <c r="AX563" s="83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3">
        <f t="shared" si="356"/>
        <v>0</v>
      </c>
      <c r="AW564" s="833">
        <f t="shared" si="357"/>
        <v>0</v>
      </c>
      <c r="AX564" s="83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3">
        <f t="shared" si="356"/>
        <v>0</v>
      </c>
      <c r="AW565" s="833">
        <f t="shared" si="357"/>
        <v>0</v>
      </c>
      <c r="AX565" s="83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3">
        <f t="shared" si="356"/>
        <v>0</v>
      </c>
      <c r="AW566" s="833">
        <f t="shared" si="357"/>
        <v>0</v>
      </c>
      <c r="AX566" s="83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3">
        <f t="shared" si="356"/>
        <v>0</v>
      </c>
      <c r="AW567" s="833">
        <f t="shared" si="357"/>
        <v>0</v>
      </c>
      <c r="AX567" s="83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3">
        <f t="shared" si="356"/>
        <v>0</v>
      </c>
      <c r="AW568" s="833">
        <f t="shared" si="357"/>
        <v>0</v>
      </c>
      <c r="AX568" s="83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3">
        <f t="shared" si="356"/>
        <v>0</v>
      </c>
      <c r="AW569" s="833">
        <f t="shared" si="357"/>
        <v>0</v>
      </c>
      <c r="AX569" s="83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3">
        <f t="shared" si="356"/>
        <v>0</v>
      </c>
      <c r="AW570" s="833">
        <f t="shared" si="357"/>
        <v>0</v>
      </c>
      <c r="AX570" s="83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3">
        <f t="shared" si="356"/>
        <v>0</v>
      </c>
      <c r="AW571" s="833">
        <f t="shared" si="357"/>
        <v>0</v>
      </c>
      <c r="AX571" s="83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3">
        <f t="shared" si="356"/>
        <v>0</v>
      </c>
      <c r="AW572" s="833">
        <f t="shared" si="357"/>
        <v>0</v>
      </c>
      <c r="AX572" s="83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26" sqref="E26"/>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4037" t="s">
        <v>169</v>
      </c>
      <c r="B2" s="4037"/>
      <c r="C2" s="4037"/>
      <c r="D2" s="1557" t="s">
        <v>170</v>
      </c>
      <c r="E2" s="101" t="s">
        <v>171</v>
      </c>
      <c r="F2" s="2517"/>
      <c r="G2" s="975"/>
      <c r="H2" s="976"/>
      <c r="I2" s="977" t="s">
        <v>795</v>
      </c>
      <c r="J2" s="2517"/>
      <c r="K2" s="2517"/>
      <c r="L2" s="2517"/>
      <c r="M2" s="2517"/>
      <c r="N2" s="2517"/>
      <c r="O2" s="2517"/>
      <c r="P2" s="2517"/>
    </row>
    <row r="3" spans="1:16" ht="15.75" thickBot="1">
      <c r="A3" s="4038" t="s">
        <v>172</v>
      </c>
      <c r="B3" s="4038"/>
      <c r="C3" s="4038"/>
      <c r="D3" s="102">
        <f>'数据-基础表'!AY6</f>
        <v>12128</v>
      </c>
      <c r="E3" s="102">
        <f>'数据-基础表'!AZ5</f>
        <v>29082.55</v>
      </c>
      <c r="F3" s="2517"/>
      <c r="G3" s="170" t="s">
        <v>796</v>
      </c>
      <c r="H3" s="165" t="s">
        <v>797</v>
      </c>
      <c r="I3" s="1558">
        <f>ROUND('数据-基础表'!B3/'数据-基础表'!A3,2)</f>
        <v>2.4</v>
      </c>
      <c r="J3" s="2517"/>
      <c r="K3" s="2517"/>
      <c r="L3" s="2517"/>
      <c r="M3" s="2517"/>
      <c r="N3" s="2517"/>
      <c r="O3" s="2517"/>
      <c r="P3" s="2517"/>
    </row>
    <row r="4" spans="1:16" ht="15">
      <c r="A4" s="4039"/>
      <c r="B4" s="4040"/>
      <c r="C4" s="4041"/>
      <c r="D4" s="103" t="s">
        <v>170</v>
      </c>
      <c r="E4" s="104" t="s">
        <v>171</v>
      </c>
      <c r="F4" s="2517"/>
      <c r="G4" s="978"/>
      <c r="H4" s="165" t="s">
        <v>798</v>
      </c>
      <c r="I4" s="1558">
        <f>ROUND(SUMIF('数据-基础表'!I9:AS9,"地上",'数据-基础表'!I5:AS5)/'数据-基础表'!A3,2)</f>
        <v>2.4</v>
      </c>
      <c r="J4" s="2517"/>
      <c r="K4" s="2517"/>
      <c r="L4" s="2517"/>
      <c r="M4" s="2517"/>
      <c r="N4" s="2517"/>
      <c r="O4" s="2517"/>
      <c r="P4" s="2517"/>
    </row>
    <row r="5" spans="1:16">
      <c r="A5" s="105" t="s">
        <v>173</v>
      </c>
      <c r="B5" s="4042" t="s">
        <v>196</v>
      </c>
      <c r="C5" s="4042"/>
      <c r="D5" s="106">
        <f>ROUND($D$3*E5/$E$3,2)</f>
        <v>0</v>
      </c>
      <c r="E5" s="107">
        <f>SUMIF('数据-基础表'!$11:$11,"住宅",'数据-基础表'!$5:$5)</f>
        <v>0</v>
      </c>
      <c r="F5" s="2517"/>
      <c r="G5" s="170" t="s">
        <v>799</v>
      </c>
      <c r="H5" s="165" t="s">
        <v>797</v>
      </c>
      <c r="I5" s="1558">
        <f>ROUND(E31/D31,2)</f>
        <v>2.4</v>
      </c>
      <c r="J5" s="2517"/>
      <c r="K5" s="2517"/>
      <c r="L5" s="2517"/>
      <c r="M5" s="2517"/>
      <c r="N5" s="2517"/>
      <c r="O5" s="2517"/>
      <c r="P5" s="2517"/>
    </row>
    <row r="6" spans="1:16" ht="15" thickBot="1">
      <c r="A6" s="108"/>
      <c r="B6" s="4042" t="s">
        <v>174</v>
      </c>
      <c r="C6" s="4042"/>
      <c r="D6" s="106">
        <f>ROUND($D$3*E6/$E$3,2)</f>
        <v>12128</v>
      </c>
      <c r="E6" s="107">
        <f>E3-E5</f>
        <v>29082.55</v>
      </c>
      <c r="F6" s="2517"/>
      <c r="G6" s="978"/>
      <c r="H6" s="165" t="s">
        <v>798</v>
      </c>
      <c r="I6" s="1558">
        <f>ROUND(F31/D31,2)</f>
        <v>2.4</v>
      </c>
      <c r="J6" s="2517"/>
      <c r="K6" s="2517"/>
      <c r="L6" s="2517"/>
      <c r="M6" s="2517"/>
      <c r="N6" s="2517"/>
      <c r="O6" s="2517"/>
      <c r="P6" s="2517"/>
    </row>
    <row r="7" spans="1:16" ht="15">
      <c r="A7" s="4034"/>
      <c r="B7" s="4035"/>
      <c r="C7" s="4036"/>
      <c r="D7" s="103" t="s">
        <v>170</v>
      </c>
      <c r="E7" s="109" t="s">
        <v>197</v>
      </c>
      <c r="F7" s="2517"/>
      <c r="G7" s="934" t="s">
        <v>1180</v>
      </c>
      <c r="H7" s="935"/>
      <c r="I7" s="3925">
        <f>面积表!F2</f>
        <v>2.3979675131926119</v>
      </c>
      <c r="J7" s="2517"/>
      <c r="K7" s="2517"/>
      <c r="L7" s="2517"/>
      <c r="M7" s="2517"/>
      <c r="N7" s="2517"/>
      <c r="O7" s="2517"/>
      <c r="P7" s="2517"/>
    </row>
    <row r="8" spans="1:16">
      <c r="A8" s="105" t="s">
        <v>175</v>
      </c>
      <c r="B8" s="110" t="s">
        <v>176</v>
      </c>
      <c r="C8" s="106" t="s">
        <v>177</v>
      </c>
      <c r="D8" s="106">
        <f t="shared" ref="D8:D15" si="0">ROUND($D$3*E8/$E$3,2)</f>
        <v>12128</v>
      </c>
      <c r="E8" s="111">
        <f>SUMIF('数据-基础表'!BB10:BK10,"地上",'数据-基础表'!BB5:BK5)</f>
        <v>29082.55</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12128</v>
      </c>
      <c r="E16" s="115">
        <f>SUM(E8:E15)</f>
        <v>29082.55</v>
      </c>
      <c r="F16" s="2517"/>
      <c r="G16" s="2518"/>
      <c r="H16" s="811" t="s">
        <v>185</v>
      </c>
      <c r="I16" s="812"/>
      <c r="J16" s="1561"/>
      <c r="K16" s="4028" t="s">
        <v>1758</v>
      </c>
      <c r="L16" s="4029"/>
      <c r="M16" s="4029"/>
      <c r="N16" s="4029"/>
      <c r="O16" s="4029"/>
      <c r="P16" s="4030"/>
    </row>
    <row r="17" spans="1:19" ht="15">
      <c r="A17" s="116" t="s">
        <v>182</v>
      </c>
      <c r="B17" s="117" t="s">
        <v>183</v>
      </c>
      <c r="C17" s="1811" t="s">
        <v>1587</v>
      </c>
      <c r="D17" s="103" t="s">
        <v>170</v>
      </c>
      <c r="E17" s="118" t="s">
        <v>171</v>
      </c>
      <c r="F17" s="119"/>
      <c r="G17" s="1076"/>
      <c r="H17" s="813" t="s">
        <v>184</v>
      </c>
      <c r="I17" s="814" t="s">
        <v>1586</v>
      </c>
      <c r="J17" s="1561"/>
      <c r="K17" s="4031" t="s">
        <v>1759</v>
      </c>
      <c r="L17" s="4032"/>
      <c r="M17" s="4033"/>
      <c r="N17" s="4031" t="s">
        <v>1760</v>
      </c>
      <c r="O17" s="4032"/>
      <c r="P17" s="4033"/>
      <c r="R17" s="1812" t="s">
        <v>1585</v>
      </c>
      <c r="S17" s="133"/>
    </row>
    <row r="18" spans="1:19" ht="15">
      <c r="A18" s="112"/>
      <c r="B18" s="122"/>
      <c r="C18" s="123"/>
      <c r="D18" s="2007"/>
      <c r="E18" s="124" t="s">
        <v>186</v>
      </c>
      <c r="F18" s="125" t="s">
        <v>187</v>
      </c>
      <c r="G18" s="1077" t="s">
        <v>188</v>
      </c>
      <c r="H18" s="815" t="s">
        <v>189</v>
      </c>
      <c r="I18" s="816"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3345</v>
      </c>
      <c r="D19" s="3659">
        <f t="shared" ref="D19:D26" si="1">ROUND($D$3*E19/$E$3,2)</f>
        <v>12128</v>
      </c>
      <c r="E19" s="127">
        <f t="shared" ref="E19:E26" si="2">SUM(F19:G19)</f>
        <v>29082.55</v>
      </c>
      <c r="F19" s="2519">
        <f>'数据-基础表'!I13</f>
        <v>29082.55</v>
      </c>
      <c r="G19" s="2520"/>
      <c r="H19" s="817">
        <f>ROUND($D$3*I19/$E$3,2)</f>
        <v>0</v>
      </c>
      <c r="I19" s="111">
        <f>IF($I$17="自定义",P19,M19)</f>
        <v>0</v>
      </c>
      <c r="J19" s="1561"/>
      <c r="K19" s="1980">
        <f t="shared" ref="K19:K26" si="3">ROUND(E$28*E19/E$27,2)</f>
        <v>0</v>
      </c>
      <c r="L19" s="165">
        <f>ROUND(IF(COUNTIF(C19,"*住宅*")&gt;0,E$29*E19/E$32,0),2)</f>
        <v>0</v>
      </c>
      <c r="M19" s="1981">
        <f>K19+L19</f>
        <v>0</v>
      </c>
      <c r="N19" s="1982"/>
      <c r="O19" s="1983"/>
      <c r="P19" s="1984">
        <f>N19+O19</f>
        <v>0</v>
      </c>
      <c r="R19" s="165">
        <f t="shared" ref="R19:S26" si="4">D19+H19</f>
        <v>12128</v>
      </c>
      <c r="S19" s="1814">
        <f t="shared" si="4"/>
        <v>29082.55</v>
      </c>
    </row>
    <row r="20" spans="1:19">
      <c r="A20" s="130"/>
      <c r="B20" s="110" t="s">
        <v>192</v>
      </c>
      <c r="C20" s="2208"/>
      <c r="D20" s="3659">
        <v>0</v>
      </c>
      <c r="E20" s="127">
        <f t="shared" si="2"/>
        <v>0</v>
      </c>
      <c r="F20" s="2519"/>
      <c r="G20" s="2520"/>
      <c r="H20" s="817">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0</v>
      </c>
      <c r="S20" s="1814">
        <f t="shared" si="4"/>
        <v>0</v>
      </c>
    </row>
    <row r="21" spans="1:19">
      <c r="A21" s="130"/>
      <c r="B21" s="110" t="s">
        <v>192</v>
      </c>
      <c r="C21" s="2208"/>
      <c r="D21" s="3659">
        <v>0</v>
      </c>
      <c r="E21" s="127">
        <f>SUM(F21:G21)</f>
        <v>0</v>
      </c>
      <c r="F21" s="2519"/>
      <c r="G21" s="2520"/>
      <c r="H21" s="817">
        <f t="shared" si="5"/>
        <v>0</v>
      </c>
      <c r="I21" s="111">
        <f t="shared" si="6"/>
        <v>0</v>
      </c>
      <c r="J21" s="1561"/>
      <c r="K21" s="1980">
        <f t="shared" si="3"/>
        <v>0</v>
      </c>
      <c r="L21" s="165">
        <f>ROUND(IF(COUNTIF(C21,"*住宅*")&gt;0,E$29*E21/E$32,0),2)</f>
        <v>0</v>
      </c>
      <c r="M21" s="1981">
        <f t="shared" si="7"/>
        <v>0</v>
      </c>
      <c r="N21" s="1982"/>
      <c r="O21" s="1983"/>
      <c r="P21" s="1984">
        <f t="shared" si="8"/>
        <v>0</v>
      </c>
      <c r="R21" s="165">
        <f t="shared" si="4"/>
        <v>0</v>
      </c>
      <c r="S21" s="1814">
        <f t="shared" si="4"/>
        <v>0</v>
      </c>
    </row>
    <row r="22" spans="1:19">
      <c r="A22" s="130"/>
      <c r="B22" s="110" t="s">
        <v>192</v>
      </c>
      <c r="C22" s="2989"/>
      <c r="D22" s="3659">
        <f t="shared" si="1"/>
        <v>0</v>
      </c>
      <c r="E22" s="127">
        <f t="shared" si="2"/>
        <v>0</v>
      </c>
      <c r="F22" s="2521"/>
      <c r="G22" s="2522"/>
      <c r="H22" s="817">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59">
        <f>ROUND($D$3*E23/$E$3,2)</f>
        <v>0</v>
      </c>
      <c r="E23" s="127">
        <f>SUM(F23:G23)</f>
        <v>0</v>
      </c>
      <c r="F23" s="2521"/>
      <c r="G23" s="2522"/>
      <c r="H23" s="817">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59">
        <f>ROUND($D$3*E24/$E$3,2)</f>
        <v>0</v>
      </c>
      <c r="E24" s="127">
        <f>SUM(F24:G24)</f>
        <v>0</v>
      </c>
      <c r="F24" s="2521"/>
      <c r="G24" s="2522"/>
      <c r="H24" s="817">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59">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59">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0">
        <f>SUM(D19:D26)</f>
        <v>12128</v>
      </c>
      <c r="E27" s="132">
        <f>IF(SUM(E19:E26)='数据-基础表'!BA5,SUM(E19:E26),IF(F27="地上面积有误","面积有误","地下面积有误"))</f>
        <v>29082.55</v>
      </c>
      <c r="F27" s="127">
        <f>IF(SUM(F19:F26)=E8,SUM(F19:F26),"地上面积有误")</f>
        <v>29082.55</v>
      </c>
      <c r="G27" s="107">
        <f>SUM(G19:G26)</f>
        <v>0</v>
      </c>
      <c r="H27" s="818">
        <f>SUM(H19:H26)</f>
        <v>0</v>
      </c>
      <c r="I27" s="819">
        <f>SUM(I19:I26)</f>
        <v>0</v>
      </c>
      <c r="J27" s="1561"/>
      <c r="K27" s="1989">
        <f t="shared" ref="K27:P27" si="10">SUM(K19:K26)</f>
        <v>0</v>
      </c>
      <c r="L27" s="1990">
        <f t="shared" si="10"/>
        <v>0</v>
      </c>
      <c r="M27" s="1991">
        <f t="shared" si="10"/>
        <v>0</v>
      </c>
      <c r="N27" s="1989">
        <f t="shared" si="10"/>
        <v>0</v>
      </c>
      <c r="O27" s="1990">
        <f t="shared" si="10"/>
        <v>0</v>
      </c>
      <c r="P27" s="1992">
        <f t="shared" si="10"/>
        <v>0</v>
      </c>
      <c r="R27" s="1817">
        <f>IF(SUM(R19:R26)=$D$3,SUM(R19:R26),SUM(R19:R26)&amp;"误差"&amp;ROUND(SUM(R19:R26)-$D$3,2))</f>
        <v>12128</v>
      </c>
      <c r="S27" s="165">
        <f>IF(SUM(S19:S26)=$E$3,SUM(S19:S26),SUM(S19:S26)&amp;"误差"&amp;ROUND(SUM(S19:S26)-E3,2))</f>
        <v>29082.55</v>
      </c>
    </row>
    <row r="28" spans="1:19">
      <c r="A28" s="130"/>
      <c r="B28" s="110" t="s">
        <v>193</v>
      </c>
      <c r="C28" s="128" t="s">
        <v>194</v>
      </c>
      <c r="D28" s="3659">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59">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0">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8"/>
      <c r="B31" s="1079" t="s">
        <v>195</v>
      </c>
      <c r="C31" s="1824" t="s">
        <v>1596</v>
      </c>
      <c r="D31" s="3661">
        <f>D27+D30</f>
        <v>12128</v>
      </c>
      <c r="E31" s="1080">
        <f>E27+E30</f>
        <v>29082.55</v>
      </c>
      <c r="F31" s="1081">
        <f>F27+F30</f>
        <v>29082.55</v>
      </c>
      <c r="G31" s="1082">
        <f>G27+G30</f>
        <v>0</v>
      </c>
      <c r="H31" s="2517"/>
      <c r="I31" s="2517"/>
      <c r="J31" s="2517"/>
      <c r="K31" s="2517"/>
      <c r="L31" s="2517"/>
      <c r="M31" s="2517"/>
      <c r="N31" s="2517"/>
      <c r="O31" s="2517"/>
      <c r="P31" s="2517"/>
    </row>
    <row r="32" spans="1:19">
      <c r="A32" s="1561"/>
      <c r="B32" s="1834" t="s">
        <v>1595</v>
      </c>
      <c r="C32" s="2011"/>
      <c r="D32" s="978"/>
      <c r="E32" s="978">
        <f>SUMIF(C19:C26,"*住宅*",E19:E26)</f>
        <v>0</v>
      </c>
      <c r="F32" s="978"/>
      <c r="G32" s="978"/>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T6" activePane="bottomRight" state="frozen"/>
      <selection pane="topRight" activeCell="D1" sqref="D1"/>
      <selection pane="bottomLeft" activeCell="A4" sqref="A4"/>
      <selection pane="bottomRight" activeCell="AI12" sqref="AI12"/>
    </sheetView>
  </sheetViews>
  <sheetFormatPr defaultColWidth="13.75" defaultRowHeight="12.75"/>
  <cols>
    <col min="1" max="1" width="20.875" style="3613" customWidth="1"/>
    <col min="2" max="3" width="12" style="3450" customWidth="1"/>
    <col min="4" max="4" width="9.125" style="3614"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5" customFormat="1" ht="15.75" thickBot="1">
      <c r="A2" s="3451" t="s">
        <v>201</v>
      </c>
      <c r="B2" s="3452">
        <f>项目基本情况!D3</f>
        <v>45076</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5"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5"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5" customFormat="1" ht="14.25">
      <c r="A6" s="1815" t="str">
        <f>'数据-汇总表'!C19</f>
        <v>公共服务</v>
      </c>
      <c r="B6" s="3495" t="str">
        <f>IF(A6=0,"","经营性")</f>
        <v>经营性</v>
      </c>
      <c r="C6" s="3496" t="s">
        <v>2643</v>
      </c>
      <c r="D6" s="3497">
        <f>SUMIF(项目基本情况!C$15:I$15,C6,项目基本情况!C$18:I$18)</f>
        <v>50</v>
      </c>
      <c r="E6" s="3498">
        <f>IF(B6="","",SUMIF(项目基本情况!C$15:I$15,C6,项目基本情况!C$17:I$17))</f>
        <v>63339</v>
      </c>
      <c r="F6" s="3499">
        <f>SUMIF(项目基本情况!C$15:I$15,C6,项目基本情况!C$19:I$19)</f>
        <v>50</v>
      </c>
      <c r="G6" s="3500">
        <f t="shared" ref="G6:G13" si="0">IF(ISERROR(ROUND(POWER(1+H6,D6-F6)*(POWER(1+H6,F6)-1)/(POWER(1+H6,D6)-1),3)),0,ROUND(POWER(1+H6,D6-F6)*(POWER(1+H6,F6)-1)/(POWER(1+H6,D6)-1),3))</f>
        <v>0</v>
      </c>
      <c r="H6" s="3501"/>
      <c r="I6" s="3501">
        <v>5.5E-2</v>
      </c>
      <c r="J6" s="3502"/>
      <c r="K6" s="3503">
        <f>SUMIF('数据-汇总表'!C$19:C$33,'数据-取费表'!A6,'数据-汇总表'!E$19:E$33)</f>
        <v>29082.55</v>
      </c>
      <c r="L6" s="3504">
        <v>4500</v>
      </c>
      <c r="M6" s="3505">
        <f t="shared" ref="M6:M14" si="1">ROUND(K6*L6/10000,4)</f>
        <v>13087.147499999999</v>
      </c>
      <c r="N6" s="3656">
        <v>0</v>
      </c>
      <c r="O6" s="3505">
        <f t="shared" ref="O6:O14" si="2">IF($N$5="成新度","——",ROUND(M6*N6,4))</f>
        <v>0</v>
      </c>
      <c r="P6" s="3658">
        <f>IF($N$5="成新度","——",M6-O6)</f>
        <v>13087.147499999999</v>
      </c>
      <c r="Q6" s="3508">
        <v>0.1</v>
      </c>
      <c r="R6" s="3503">
        <f>SUMIF('数据-汇总表'!C$19:C$33,A6,'数据-汇总表'!R$19:R$33)</f>
        <v>12128</v>
      </c>
      <c r="S6" s="3509">
        <f>IF('数据-汇总表'!$I$17="按面积比例",SUMIF('数据-汇总表'!C$19:C$33,A6,'数据-汇总表'!K$19:K$33),SUMIF('数据-汇总表'!C$19:C$33,A6,'数据-汇总表'!N$19:N$33))</f>
        <v>0</v>
      </c>
      <c r="T6" s="3510" t="str">
        <f>IF($T$4="按面积比例",IF(ISERROR(ROUND($M$14*S6/S$16,0)),"0",ROUND($M$14*S6/S$16,0)),"需自行计算录入")</f>
        <v>0</v>
      </c>
      <c r="U6" s="3511">
        <f>'不动产比较法-科研'!C49</f>
        <v>2.5</v>
      </c>
      <c r="V6" s="3630"/>
      <c r="W6" s="3512">
        <v>0.03</v>
      </c>
      <c r="X6" s="3513"/>
      <c r="Y6" s="3657">
        <v>1</v>
      </c>
      <c r="Z6" s="3631"/>
      <c r="AA6" s="3630"/>
      <c r="AB6" s="3630"/>
      <c r="AC6" s="3513"/>
      <c r="AD6" s="3632"/>
      <c r="AE6" s="3516">
        <f ca="1">IF(AN6="",0,SUMIF(INDIRECT("'"&amp;AN6&amp;"'"&amp;"!E:E"),$AE$5,INDIRECT("'"&amp;AN6&amp;"'"&amp;"!F:F")))</f>
        <v>50</v>
      </c>
      <c r="AF6" s="3633"/>
      <c r="AG6" s="3518">
        <f>IF(AF6="",0,AE6-AF6)</f>
        <v>0</v>
      </c>
      <c r="AH6" s="3517"/>
      <c r="AI6" s="3519">
        <v>365</v>
      </c>
      <c r="AJ6" s="3520"/>
      <c r="AK6" s="3521">
        <v>5.0000000000000001E-3</v>
      </c>
      <c r="AL6" s="3522">
        <v>1E-3</v>
      </c>
      <c r="AM6" s="3514">
        <v>2E-3</v>
      </c>
      <c r="AN6" s="3523" t="s">
        <v>3359</v>
      </c>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5" customFormat="1" ht="14.25">
      <c r="A7" s="1815">
        <f>'数据-汇总表'!C20</f>
        <v>0</v>
      </c>
      <c r="B7" s="3495" t="str">
        <f t="shared" ref="B7:B13" si="3">IF(A7=0,"","经营性")</f>
        <v/>
      </c>
      <c r="C7" s="3496"/>
      <c r="D7" s="3497">
        <f>SUMIF(项目基本情况!C$15:I$15,C7,项目基本情况!C$18:I$18)</f>
        <v>0</v>
      </c>
      <c r="E7" s="3498" t="str">
        <f>IF(B7="","",SUMIF(项目基本情况!C$15:I$15,C7,项目基本情况!C$17:I$17))</f>
        <v/>
      </c>
      <c r="F7" s="3499">
        <f>SUMIF(项目基本情况!C$15:I$15,C7,项目基本情况!C$19:I$19)</f>
        <v>0</v>
      </c>
      <c r="G7" s="3500">
        <f t="shared" si="0"/>
        <v>0</v>
      </c>
      <c r="H7" s="3501"/>
      <c r="I7" s="3501"/>
      <c r="J7" s="3502"/>
      <c r="K7" s="3503">
        <f>SUMIF('数据-汇总表'!C$19:C$33,'数据-取费表'!A7,'数据-汇总表'!E$19:E$33)</f>
        <v>0</v>
      </c>
      <c r="L7" s="3504"/>
      <c r="M7" s="3505">
        <f t="shared" si="1"/>
        <v>0</v>
      </c>
      <c r="N7" s="3656">
        <v>0</v>
      </c>
      <c r="O7" s="3505">
        <f t="shared" si="2"/>
        <v>0</v>
      </c>
      <c r="P7" s="3658">
        <f t="shared" ref="P7:P14" si="4">IF($N$5="成新度","——",M7-O7)</f>
        <v>0</v>
      </c>
      <c r="Q7" s="3508"/>
      <c r="R7" s="3503">
        <f>SUMIF('数据-汇总表'!C$19:C$33,A7,'数据-汇总表'!R$19:R$33)</f>
        <v>0</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c r="V7" s="3630"/>
      <c r="W7" s="3512"/>
      <c r="X7" s="3513"/>
      <c r="Y7" s="3657">
        <v>1</v>
      </c>
      <c r="Z7" s="3631"/>
      <c r="AA7" s="3630"/>
      <c r="AB7" s="3630"/>
      <c r="AC7" s="3513"/>
      <c r="AD7" s="3632"/>
      <c r="AE7" s="3516">
        <f t="shared" ref="AE7:AE13" ca="1" si="6">IF(AN7="",0,SUMIF(INDIRECT("'"&amp;AN7&amp;"'"&amp;"!E:E"),$AE$5,INDIRECT("'"&amp;AN7&amp;"'"&amp;"!F:F")))</f>
        <v>50</v>
      </c>
      <c r="AF7" s="3633"/>
      <c r="AG7" s="3518">
        <f t="shared" ref="AG7:AG13" si="7">IF(AF7="",0,AE7-AF7)</f>
        <v>0</v>
      </c>
      <c r="AH7" s="3517"/>
      <c r="AI7" s="3519">
        <v>365</v>
      </c>
      <c r="AJ7" s="3520"/>
      <c r="AK7" s="3521"/>
      <c r="AL7" s="3522"/>
      <c r="AM7" s="3514"/>
      <c r="AN7" s="3523" t="s">
        <v>3174</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5" customFormat="1" ht="14.25">
      <c r="A8" s="1815">
        <f>'数据-汇总表'!C21</f>
        <v>0</v>
      </c>
      <c r="B8" s="3495" t="str">
        <f t="shared" si="3"/>
        <v/>
      </c>
      <c r="C8" s="3496"/>
      <c r="D8" s="3497">
        <f>SUMIF(项目基本情况!C$15:I$15,C8,项目基本情况!C$18:I$18)</f>
        <v>0</v>
      </c>
      <c r="E8" s="3498" t="str">
        <f>IF(B8="","",SUMIF(项目基本情况!C$15:I$15,C8,项目基本情况!C$17:I$17))</f>
        <v/>
      </c>
      <c r="F8" s="3499">
        <f>SUMIF(项目基本情况!C$15:I$15,C8,项目基本情况!C$19:I$19)</f>
        <v>0</v>
      </c>
      <c r="G8" s="3500">
        <f t="shared" si="0"/>
        <v>0</v>
      </c>
      <c r="H8" s="3501"/>
      <c r="I8" s="3501"/>
      <c r="J8" s="3502"/>
      <c r="K8" s="3503">
        <f>SUMIF('数据-汇总表'!C$19:C$33,'数据-取费表'!A8,'数据-汇总表'!E$19:E$33)</f>
        <v>0</v>
      </c>
      <c r="L8" s="3504"/>
      <c r="M8" s="3505">
        <f t="shared" si="1"/>
        <v>0</v>
      </c>
      <c r="N8" s="3656">
        <v>0</v>
      </c>
      <c r="O8" s="3505">
        <f t="shared" si="2"/>
        <v>0</v>
      </c>
      <c r="P8" s="3658">
        <f t="shared" si="4"/>
        <v>0</v>
      </c>
      <c r="Q8" s="3508"/>
      <c r="R8" s="3503">
        <f>SUMIF('数据-汇总表'!C$19:C$33,A8,'数据-汇总表'!R$19:R$33)</f>
        <v>0</v>
      </c>
      <c r="S8" s="3509">
        <f>IF('数据-汇总表'!$I$17="按面积比例",SUMIF('数据-汇总表'!C$19:C$33,A8,'数据-汇总表'!K$19:K$33),SUMIF('数据-汇总表'!C$19:C$33,A8,'数据-汇总表'!N$19:N$33))</f>
        <v>0</v>
      </c>
      <c r="T8" s="3510" t="str">
        <f t="shared" si="5"/>
        <v>0</v>
      </c>
      <c r="U8" s="3511"/>
      <c r="V8" s="3630"/>
      <c r="W8" s="3512"/>
      <c r="X8" s="3513"/>
      <c r="Y8" s="3657">
        <v>1</v>
      </c>
      <c r="Z8" s="3631"/>
      <c r="AA8" s="3630"/>
      <c r="AB8" s="3630"/>
      <c r="AC8" s="3513"/>
      <c r="AD8" s="3632"/>
      <c r="AE8" s="3516" t="e">
        <f t="shared" ca="1" si="6"/>
        <v>#REF!</v>
      </c>
      <c r="AF8" s="3633"/>
      <c r="AG8" s="3518">
        <f t="shared" si="7"/>
        <v>0</v>
      </c>
      <c r="AH8" s="3517"/>
      <c r="AI8" s="3519">
        <v>365</v>
      </c>
      <c r="AJ8" s="3520"/>
      <c r="AK8" s="3521"/>
      <c r="AL8" s="3522"/>
      <c r="AM8" s="3514"/>
      <c r="AN8" s="3523" t="s">
        <v>3175</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5"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6">
        <v>0</v>
      </c>
      <c r="O9" s="3505">
        <f t="shared" si="2"/>
        <v>0</v>
      </c>
      <c r="P9" s="3658">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0"/>
      <c r="W9" s="3512"/>
      <c r="X9" s="3513"/>
      <c r="Y9" s="3657">
        <v>1</v>
      </c>
      <c r="Z9" s="3631"/>
      <c r="AA9" s="3630"/>
      <c r="AB9" s="3630"/>
      <c r="AC9" s="3513"/>
      <c r="AD9" s="3632"/>
      <c r="AE9" s="3516">
        <f t="shared" ca="1" si="6"/>
        <v>0</v>
      </c>
      <c r="AF9" s="3633"/>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5"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6">
        <v>0</v>
      </c>
      <c r="O10" s="3505">
        <f t="shared" si="2"/>
        <v>0</v>
      </c>
      <c r="P10" s="3658">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0"/>
      <c r="W10" s="3512"/>
      <c r="X10" s="3513"/>
      <c r="Y10" s="3657">
        <v>1</v>
      </c>
      <c r="Z10" s="3631"/>
      <c r="AA10" s="3630"/>
      <c r="AB10" s="3630"/>
      <c r="AC10" s="3513"/>
      <c r="AD10" s="3632"/>
      <c r="AE10" s="3516">
        <f t="shared" ca="1" si="6"/>
        <v>0</v>
      </c>
      <c r="AF10" s="3633"/>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5"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6">
        <v>0</v>
      </c>
      <c r="O11" s="3505">
        <f t="shared" si="2"/>
        <v>0</v>
      </c>
      <c r="P11" s="3658">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0"/>
      <c r="W11" s="3502"/>
      <c r="X11" s="3513"/>
      <c r="Y11" s="3657">
        <v>1</v>
      </c>
      <c r="Z11" s="3631"/>
      <c r="AA11" s="3630"/>
      <c r="AB11" s="3630"/>
      <c r="AC11" s="3513"/>
      <c r="AD11" s="3632"/>
      <c r="AE11" s="3516">
        <f t="shared" ca="1" si="6"/>
        <v>0</v>
      </c>
      <c r="AF11" s="3633"/>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5"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6">
        <v>0</v>
      </c>
      <c r="O12" s="3505">
        <f t="shared" si="2"/>
        <v>0</v>
      </c>
      <c r="P12" s="3658">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0"/>
      <c r="W12" s="3502"/>
      <c r="X12" s="3513"/>
      <c r="Y12" s="3657">
        <v>1</v>
      </c>
      <c r="Z12" s="3631"/>
      <c r="AA12" s="3630"/>
      <c r="AB12" s="3630"/>
      <c r="AC12" s="3513"/>
      <c r="AD12" s="3632"/>
      <c r="AE12" s="3516">
        <f t="shared" ca="1" si="6"/>
        <v>0</v>
      </c>
      <c r="AF12" s="3633"/>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5"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6">
        <v>0</v>
      </c>
      <c r="O13" s="3505">
        <f t="shared" si="2"/>
        <v>0</v>
      </c>
      <c r="P13" s="3658">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0"/>
      <c r="W13" s="3512"/>
      <c r="X13" s="3513"/>
      <c r="Y13" s="3657">
        <v>1</v>
      </c>
      <c r="Z13" s="3631"/>
      <c r="AA13" s="3630"/>
      <c r="AB13" s="3630"/>
      <c r="AC13" s="3513"/>
      <c r="AD13" s="3632"/>
      <c r="AE13" s="3516">
        <f t="shared" ca="1" si="6"/>
        <v>0</v>
      </c>
      <c r="AF13" s="3633"/>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5"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6">
        <v>0</v>
      </c>
      <c r="O14" s="3505">
        <f t="shared" si="2"/>
        <v>0</v>
      </c>
      <c r="P14" s="3658">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5"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5"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29082.55</v>
      </c>
      <c r="L16" s="3545">
        <f>ROUND(M16*10000/SUM(K6:K14),0)</f>
        <v>4500</v>
      </c>
      <c r="M16" s="3546">
        <f>SUM(M6:M14)</f>
        <v>13087.147499999999</v>
      </c>
      <c r="N16" s="3547">
        <f>ROUND(SUMPRODUCT(M6:M14,N6:N14)/M16,3)</f>
        <v>0</v>
      </c>
      <c r="O16" s="3546">
        <f>SUM(O6:O14)</f>
        <v>0</v>
      </c>
      <c r="P16" s="3546">
        <f>SUM(P6:P14)</f>
        <v>13087.147499999999</v>
      </c>
      <c r="Q16" s="3548">
        <f>ROUND(SUMPRODUCT(Q6:Q13,K6:K13)/SUMPRODUCT((Q6:Q13&gt;0)*(K6:K13)),2)</f>
        <v>0.1</v>
      </c>
      <c r="R16" s="3549">
        <f>SUM(R6:R13)</f>
        <v>12128</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0.05</v>
      </c>
      <c r="I18" s="3501">
        <v>5.5E-2</v>
      </c>
      <c r="J18" s="3502">
        <v>0.06</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7.0000000000000007E-2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1.5</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1.5</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1.5</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v>160</v>
      </c>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200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200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20" t="s">
        <v>241</v>
      </c>
      <c r="B32" s="3949">
        <v>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8">
        <v>0.05</v>
      </c>
      <c r="C33" s="3579"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0">
        <v>0</v>
      </c>
      <c r="C34" s="3579" t="s">
        <v>2172</v>
      </c>
      <c r="D34" s="3581"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79"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2">
        <v>1.4999999999999999E-2</v>
      </c>
      <c r="C36" s="3579"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3">
        <v>0.02</v>
      </c>
      <c r="C37" s="3579"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0">
        <v>0.02</v>
      </c>
      <c r="C38" s="3579"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4" t="s">
        <v>1717</v>
      </c>
      <c r="B39" s="3585">
        <f ca="1">存贷款利率!C4</f>
        <v>1.4999999999999999E-2</v>
      </c>
      <c r="C39" s="3586"/>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15" thickBot="1">
      <c r="A40" s="3587" t="s">
        <v>3173</v>
      </c>
      <c r="B40" s="3588">
        <f ca="1">IF(A40="利息：取LPR",存贷款利率!E2,存贷款利率!E2+C40)</f>
        <v>4.7500000000000001E-2</v>
      </c>
      <c r="C40" s="3589">
        <v>1.0999999999999999E-2</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0">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20" t="s">
        <v>249</v>
      </c>
      <c r="B42" s="3591">
        <v>0.05</v>
      </c>
      <c r="C42" s="3592">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20" t="s">
        <v>250</v>
      </c>
      <c r="B43" s="3593">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20" t="s">
        <v>251</v>
      </c>
      <c r="B44" s="3594">
        <v>0.05</v>
      </c>
      <c r="C44" s="3579"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20" t="s">
        <v>252</v>
      </c>
      <c r="B45" s="3591">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20" t="s">
        <v>253</v>
      </c>
      <c r="B46" s="3591">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5"/>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6" t="s">
        <v>255</v>
      </c>
      <c r="B48" s="3597">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20" t="s">
        <v>256</v>
      </c>
      <c r="B49" s="3591">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8" t="s">
        <v>257</v>
      </c>
      <c r="B50" s="3599">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0">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8" t="s">
        <v>259</v>
      </c>
      <c r="B52" s="3601">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2" t="s">
        <v>1153</v>
      </c>
      <c r="C53" s="3603" t="s">
        <v>2075</v>
      </c>
      <c r="D53" s="3604"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5" t="s">
        <v>2076</v>
      </c>
      <c r="B54" s="3606"/>
      <c r="C54" s="3455">
        <v>30</v>
      </c>
      <c r="D54" s="3607"/>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5" t="s">
        <v>2077</v>
      </c>
      <c r="B55" s="3606"/>
      <c r="C55" s="3455">
        <v>24</v>
      </c>
      <c r="D55" s="3607"/>
      <c r="E55" s="3455"/>
      <c r="F55" s="3455"/>
      <c r="G55" s="3455"/>
      <c r="H55" s="3455"/>
      <c r="I55" s="3608"/>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5" t="s">
        <v>2078</v>
      </c>
      <c r="B56" s="3606"/>
      <c r="C56" s="3455">
        <v>18</v>
      </c>
      <c r="D56" s="3607"/>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5" t="s">
        <v>2079</v>
      </c>
      <c r="B57" s="3606"/>
      <c r="C57" s="3455">
        <v>12</v>
      </c>
      <c r="D57" s="3607"/>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5" t="s">
        <v>2080</v>
      </c>
      <c r="B58" s="3606"/>
      <c r="C58" s="3455">
        <v>3</v>
      </c>
      <c r="D58" s="3607"/>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5" t="s">
        <v>2081</v>
      </c>
      <c r="B59" s="3606">
        <f>C59</f>
        <v>1.5</v>
      </c>
      <c r="C59" s="3455">
        <v>1.5</v>
      </c>
      <c r="D59" s="3607"/>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5" t="s">
        <v>2082</v>
      </c>
      <c r="B60" s="3606"/>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5" t="s">
        <v>2083</v>
      </c>
      <c r="B61" s="3606"/>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5" t="s">
        <v>2084</v>
      </c>
      <c r="B62" s="3606"/>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09" t="s">
        <v>2085</v>
      </c>
      <c r="B63" s="3610"/>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1"/>
      <c r="D64" s="3612"/>
    </row>
    <row r="65" spans="1:4" s="3449" customFormat="1">
      <c r="A65" s="3611"/>
      <c r="D65" s="3612"/>
    </row>
    <row r="66" spans="1:4" s="3449" customFormat="1">
      <c r="A66" s="3611"/>
      <c r="D66" s="3612"/>
    </row>
    <row r="67" spans="1:4" s="3449" customFormat="1">
      <c r="A67" s="3611"/>
      <c r="D67" s="3612"/>
    </row>
    <row r="68" spans="1:4" s="3449" customFormat="1">
      <c r="A68" s="3611"/>
      <c r="D68" s="3612"/>
    </row>
    <row r="69" spans="1:4" s="3449" customFormat="1">
      <c r="A69" s="3611"/>
      <c r="D69" s="3612"/>
    </row>
    <row r="70" spans="1:4" s="3449" customFormat="1">
      <c r="A70" s="3611"/>
      <c r="D70" s="3612"/>
    </row>
    <row r="71" spans="1:4" s="3449" customFormat="1">
      <c r="A71" s="3611"/>
      <c r="D71" s="3612"/>
    </row>
    <row r="72" spans="1:4" s="3449" customFormat="1">
      <c r="A72" s="3611"/>
      <c r="D72" s="3612"/>
    </row>
    <row r="73" spans="1:4" s="3449" customFormat="1">
      <c r="A73" s="3611"/>
      <c r="D73" s="3612"/>
    </row>
    <row r="74" spans="1:4" s="3449" customFormat="1">
      <c r="A74" s="3611"/>
      <c r="D74" s="3612"/>
    </row>
    <row r="75" spans="1:4" s="3449" customFormat="1">
      <c r="A75" s="3611"/>
      <c r="D75" s="3612"/>
    </row>
    <row r="76" spans="1:4" s="3449" customFormat="1">
      <c r="A76" s="3611"/>
      <c r="D76" s="3612"/>
    </row>
    <row r="77" spans="1:4" s="3449" customFormat="1">
      <c r="A77" s="3611"/>
      <c r="D77" s="3612"/>
    </row>
    <row r="78" spans="1:4" s="3449" customFormat="1">
      <c r="A78" s="3611"/>
      <c r="D78" s="3612"/>
    </row>
    <row r="79" spans="1:4" s="3449" customFormat="1">
      <c r="A79" s="3611"/>
      <c r="D79" s="3612"/>
    </row>
    <row r="80" spans="1:4" s="3449" customFormat="1">
      <c r="A80" s="3611"/>
      <c r="D80" s="3612"/>
    </row>
    <row r="81" spans="1:4" s="3449" customFormat="1">
      <c r="A81" s="3611"/>
      <c r="D81" s="3612"/>
    </row>
    <row r="82" spans="1:4" s="3449" customFormat="1">
      <c r="A82" s="3611"/>
      <c r="D82" s="3612"/>
    </row>
    <row r="83" spans="1:4" s="3449" customFormat="1">
      <c r="A83" s="3611"/>
      <c r="D83" s="3612"/>
    </row>
    <row r="84" spans="1:4" s="3449" customFormat="1">
      <c r="A84" s="3611"/>
      <c r="D84" s="3612"/>
    </row>
    <row r="85" spans="1:4" s="3449" customFormat="1">
      <c r="A85" s="3611"/>
      <c r="D85" s="3612"/>
    </row>
    <row r="86" spans="1:4" s="3449" customFormat="1">
      <c r="A86" s="3611"/>
      <c r="D86" s="3612"/>
    </row>
    <row r="87" spans="1:4" s="3449" customFormat="1">
      <c r="A87" s="3611"/>
      <c r="D87" s="3612"/>
    </row>
    <row r="88" spans="1:4" s="3449" customFormat="1">
      <c r="A88" s="3611"/>
      <c r="D88" s="3612"/>
    </row>
    <row r="89" spans="1:4" s="3449" customFormat="1">
      <c r="A89" s="3611"/>
      <c r="D89" s="3612"/>
    </row>
    <row r="90" spans="1:4" s="3449" customFormat="1">
      <c r="A90" s="3611"/>
      <c r="D90" s="3612"/>
    </row>
    <row r="91" spans="1:4" s="3449" customFormat="1">
      <c r="A91" s="3611"/>
      <c r="D91" s="3612"/>
    </row>
    <row r="92" spans="1:4" s="3449" customFormat="1">
      <c r="A92" s="3611"/>
      <c r="D92" s="3612"/>
    </row>
    <row r="93" spans="1:4" s="3449" customFormat="1">
      <c r="A93" s="3611"/>
      <c r="D93" s="3612"/>
    </row>
    <row r="94" spans="1:4" s="3449" customFormat="1">
      <c r="A94" s="3611"/>
      <c r="D94" s="3612"/>
    </row>
    <row r="95" spans="1:4" s="3449" customFormat="1">
      <c r="A95" s="3611"/>
      <c r="D95" s="3612"/>
    </row>
    <row r="96" spans="1:4" s="3449" customFormat="1">
      <c r="A96" s="3611"/>
      <c r="D96" s="3612"/>
    </row>
    <row r="97" spans="1:4" s="3449" customFormat="1">
      <c r="A97" s="3611"/>
      <c r="D97" s="3612"/>
    </row>
    <row r="98" spans="1:4" s="3449" customFormat="1">
      <c r="A98" s="3611"/>
      <c r="D98" s="3612"/>
    </row>
    <row r="99" spans="1:4" s="3449" customFormat="1">
      <c r="A99" s="3611"/>
      <c r="D99" s="3612"/>
    </row>
    <row r="100" spans="1:4" s="3449" customFormat="1">
      <c r="A100" s="3611"/>
      <c r="D100" s="3612"/>
    </row>
    <row r="101" spans="1:4" s="3449" customFormat="1">
      <c r="A101" s="3611"/>
      <c r="D101" s="3612"/>
    </row>
    <row r="102" spans="1:4" s="3449" customFormat="1">
      <c r="A102" s="3611"/>
      <c r="D102" s="3612"/>
    </row>
    <row r="103" spans="1:4" s="3449" customFormat="1">
      <c r="A103" s="3611"/>
      <c r="D103" s="3612"/>
    </row>
    <row r="104" spans="1:4" s="3449" customFormat="1">
      <c r="A104" s="3611"/>
      <c r="D104" s="3612"/>
    </row>
    <row r="105" spans="1:4" s="3449" customFormat="1">
      <c r="A105" s="3611"/>
      <c r="D105" s="3612"/>
    </row>
    <row r="106" spans="1:4" s="3449" customFormat="1">
      <c r="A106" s="3611"/>
      <c r="D106" s="3612"/>
    </row>
    <row r="107" spans="1:4" s="3449" customFormat="1">
      <c r="A107" s="3611"/>
      <c r="D107" s="3612"/>
    </row>
    <row r="108" spans="1:4" s="3449" customFormat="1">
      <c r="A108" s="3611"/>
      <c r="D108" s="3612"/>
    </row>
    <row r="109" spans="1:4" s="3449" customFormat="1">
      <c r="A109" s="3611"/>
      <c r="D109" s="3612"/>
    </row>
    <row r="110" spans="1:4" s="3449" customFormat="1">
      <c r="A110" s="3611"/>
      <c r="D110" s="3612"/>
    </row>
    <row r="111" spans="1:4" s="3449" customFormat="1">
      <c r="A111" s="3611"/>
      <c r="D111" s="3612"/>
    </row>
    <row r="112" spans="1:4" s="3449" customFormat="1">
      <c r="A112" s="3611"/>
      <c r="D112" s="3612"/>
    </row>
    <row r="113" spans="1:4" s="3449" customFormat="1">
      <c r="A113" s="3611"/>
      <c r="D113" s="3612"/>
    </row>
    <row r="114" spans="1:4" s="3449" customFormat="1">
      <c r="A114" s="3611"/>
      <c r="D114" s="3612"/>
    </row>
    <row r="115" spans="1:4" s="3449" customFormat="1">
      <c r="A115" s="3611"/>
      <c r="D115" s="3612"/>
    </row>
    <row r="116" spans="1:4" s="3449" customFormat="1">
      <c r="A116" s="3611"/>
      <c r="D116" s="3612"/>
    </row>
    <row r="117" spans="1:4" s="3449" customFormat="1">
      <c r="A117" s="3611"/>
      <c r="D117" s="3612"/>
    </row>
    <row r="118" spans="1:4" s="3449" customFormat="1">
      <c r="A118" s="3611"/>
      <c r="D118" s="3612"/>
    </row>
    <row r="119" spans="1:4" s="3449" customFormat="1">
      <c r="A119" s="3611"/>
      <c r="D119" s="3612"/>
    </row>
    <row r="120" spans="1:4" s="3449" customFormat="1">
      <c r="A120" s="3611"/>
      <c r="D120" s="3612"/>
    </row>
    <row r="121" spans="1:4" s="3449" customFormat="1">
      <c r="A121" s="3611"/>
      <c r="D121" s="3612"/>
    </row>
    <row r="122" spans="1:4" s="3449" customFormat="1">
      <c r="A122" s="3611"/>
      <c r="D122" s="3612"/>
    </row>
    <row r="123" spans="1:4" s="3449" customFormat="1">
      <c r="A123" s="3611"/>
      <c r="D123" s="3612"/>
    </row>
    <row r="124" spans="1:4" s="3449" customFormat="1">
      <c r="A124" s="3611"/>
      <c r="D124" s="3612"/>
    </row>
    <row r="125" spans="1:4" s="3449" customFormat="1">
      <c r="A125" s="3611"/>
      <c r="D125" s="3612"/>
    </row>
    <row r="126" spans="1:4" s="3449" customFormat="1">
      <c r="A126" s="3611"/>
      <c r="D126" s="3612"/>
    </row>
    <row r="127" spans="1:4" s="3449" customFormat="1">
      <c r="A127" s="3611"/>
      <c r="D127" s="3612"/>
    </row>
    <row r="128" spans="1:4" s="3449" customFormat="1">
      <c r="A128" s="3611"/>
      <c r="D128" s="3612"/>
    </row>
    <row r="129" spans="1:4" s="3449" customFormat="1">
      <c r="A129" s="3611"/>
      <c r="D129" s="3612"/>
    </row>
    <row r="130" spans="1:4" s="3449" customFormat="1">
      <c r="A130" s="3611"/>
      <c r="D130" s="3612"/>
    </row>
    <row r="131" spans="1:4" s="3449" customFormat="1">
      <c r="A131" s="3611"/>
      <c r="D131" s="3612"/>
    </row>
    <row r="132" spans="1:4" s="3449" customFormat="1">
      <c r="A132" s="3611"/>
      <c r="D132" s="3612"/>
    </row>
    <row r="133" spans="1:4" s="3449" customFormat="1">
      <c r="A133" s="3611"/>
      <c r="D133" s="3612"/>
    </row>
    <row r="134" spans="1:4" s="3449" customFormat="1">
      <c r="A134" s="3611"/>
      <c r="D134" s="3612"/>
    </row>
    <row r="135" spans="1:4" s="3449" customFormat="1">
      <c r="A135" s="3611"/>
      <c r="D135" s="3612"/>
    </row>
    <row r="136" spans="1:4" s="3449" customFormat="1">
      <c r="A136" s="3611"/>
      <c r="D136" s="3612"/>
    </row>
    <row r="137" spans="1:4" s="3449" customFormat="1">
      <c r="A137" s="3611"/>
      <c r="D137" s="3612"/>
    </row>
    <row r="138" spans="1:4" s="3449" customFormat="1">
      <c r="A138" s="3611"/>
      <c r="D138" s="3612"/>
    </row>
    <row r="139" spans="1:4" s="3449" customFormat="1">
      <c r="A139" s="3611"/>
      <c r="D139" s="3612"/>
    </row>
    <row r="140" spans="1:4" s="3449" customFormat="1">
      <c r="A140" s="3611"/>
      <c r="D140" s="3612"/>
    </row>
    <row r="141" spans="1:4" s="3449" customFormat="1">
      <c r="A141" s="3611"/>
      <c r="D141" s="3612"/>
    </row>
    <row r="142" spans="1:4" s="3449" customFormat="1">
      <c r="A142" s="3611"/>
      <c r="D142" s="3612"/>
    </row>
    <row r="143" spans="1:4" s="3449" customFormat="1">
      <c r="A143" s="3611"/>
      <c r="D143" s="3612"/>
    </row>
    <row r="144" spans="1:4" s="3449" customFormat="1">
      <c r="A144" s="3611"/>
      <c r="D144" s="3612"/>
    </row>
    <row r="145" spans="1:4" s="3449" customFormat="1">
      <c r="A145" s="3611"/>
      <c r="D145" s="3612"/>
    </row>
    <row r="146" spans="1:4" s="3449" customFormat="1">
      <c r="A146" s="3611"/>
      <c r="D146" s="3612"/>
    </row>
    <row r="147" spans="1:4" s="3449" customFormat="1">
      <c r="A147" s="3611"/>
      <c r="D147" s="3612"/>
    </row>
    <row r="148" spans="1:4" s="3449" customFormat="1">
      <c r="A148" s="3611"/>
      <c r="D148" s="3612"/>
    </row>
    <row r="149" spans="1:4" s="3449" customFormat="1">
      <c r="A149" s="3611"/>
      <c r="D149" s="3612"/>
    </row>
    <row r="150" spans="1:4" s="3449" customFormat="1">
      <c r="A150" s="3611"/>
      <c r="D150" s="3612"/>
    </row>
    <row r="151" spans="1:4" s="3449" customFormat="1">
      <c r="A151" s="3611"/>
      <c r="D151" s="3612"/>
    </row>
    <row r="152" spans="1:4" s="3449" customFormat="1">
      <c r="A152" s="3611"/>
      <c r="D152" s="3612"/>
    </row>
    <row r="153" spans="1:4" s="3449" customFormat="1">
      <c r="A153" s="3611"/>
      <c r="D153" s="3612"/>
    </row>
    <row r="154" spans="1:4" s="3449" customFormat="1">
      <c r="A154" s="3611"/>
      <c r="D154" s="3612"/>
    </row>
    <row r="155" spans="1:4" s="3449" customFormat="1">
      <c r="A155" s="3611"/>
      <c r="D155" s="3612"/>
    </row>
    <row r="156" spans="1:4" s="3449" customFormat="1">
      <c r="A156" s="3611"/>
      <c r="D156" s="3612"/>
    </row>
    <row r="157" spans="1:4" s="3449" customFormat="1">
      <c r="A157" s="3611"/>
      <c r="D157" s="3612"/>
    </row>
    <row r="158" spans="1:4" s="3449" customFormat="1">
      <c r="A158" s="3611"/>
      <c r="D158" s="3612"/>
    </row>
    <row r="159" spans="1:4" s="3449" customFormat="1">
      <c r="A159" s="3611"/>
      <c r="D159" s="3612"/>
    </row>
    <row r="160" spans="1:4" s="3449" customFormat="1">
      <c r="A160" s="3611"/>
      <c r="D160" s="3612"/>
    </row>
    <row r="161" spans="1:4" s="3449" customFormat="1">
      <c r="A161" s="3611"/>
      <c r="D161" s="3612"/>
    </row>
    <row r="162" spans="1:4" s="3449" customFormat="1">
      <c r="A162" s="3611"/>
      <c r="D162" s="3612"/>
    </row>
    <row r="163" spans="1:4" s="3449" customFormat="1">
      <c r="A163" s="3611"/>
      <c r="D163" s="3612"/>
    </row>
    <row r="164" spans="1:4" s="3449" customFormat="1">
      <c r="A164" s="3611"/>
      <c r="D164" s="3612"/>
    </row>
    <row r="165" spans="1:4" s="3449" customFormat="1">
      <c r="A165" s="3611"/>
      <c r="D165" s="3612"/>
    </row>
    <row r="166" spans="1:4" s="3449" customFormat="1">
      <c r="A166" s="3611"/>
      <c r="D166" s="3612"/>
    </row>
    <row r="167" spans="1:4" s="3449" customFormat="1">
      <c r="A167" s="3611"/>
      <c r="D167" s="3612"/>
    </row>
    <row r="168" spans="1:4" s="3449" customFormat="1">
      <c r="A168" s="3611"/>
      <c r="D168" s="3612"/>
    </row>
    <row r="169" spans="1:4" s="3449" customFormat="1">
      <c r="A169" s="3611"/>
      <c r="D169" s="3612"/>
    </row>
    <row r="170" spans="1:4" s="3449" customFormat="1">
      <c r="A170" s="3611"/>
      <c r="D170" s="3612"/>
    </row>
    <row r="171" spans="1:4" s="3449" customFormat="1">
      <c r="A171" s="3611"/>
      <c r="D171" s="3612"/>
    </row>
    <row r="172" spans="1:4" s="3449" customFormat="1">
      <c r="A172" s="3611"/>
      <c r="D172" s="3612"/>
    </row>
    <row r="173" spans="1:4" s="3449" customFormat="1">
      <c r="A173" s="3611"/>
      <c r="D173" s="3612"/>
    </row>
    <row r="174" spans="1:4" s="3449" customFormat="1">
      <c r="A174" s="3611"/>
      <c r="D174" s="3612"/>
    </row>
    <row r="175" spans="1:4" s="3449" customFormat="1">
      <c r="A175" s="3611"/>
      <c r="D175" s="3612"/>
    </row>
    <row r="176" spans="1:4" s="3449" customFormat="1">
      <c r="A176" s="3611"/>
      <c r="D176" s="3612"/>
    </row>
    <row r="177" spans="1:4" s="3449" customFormat="1">
      <c r="A177" s="3611"/>
      <c r="D177" s="3612"/>
    </row>
    <row r="178" spans="1:4" s="3449" customFormat="1">
      <c r="A178" s="3611"/>
      <c r="D178" s="3612"/>
    </row>
    <row r="179" spans="1:4" s="3449" customFormat="1">
      <c r="A179" s="3611"/>
      <c r="D179" s="3612"/>
    </row>
    <row r="180" spans="1:4" s="3449" customFormat="1">
      <c r="A180" s="3611"/>
      <c r="D180" s="3612"/>
    </row>
    <row r="181" spans="1:4" s="3449" customFormat="1">
      <c r="A181" s="3611"/>
      <c r="D181" s="3612"/>
    </row>
    <row r="182" spans="1:4" s="3449" customFormat="1">
      <c r="A182" s="3611"/>
      <c r="D182" s="3612"/>
    </row>
    <row r="183" spans="1:4" s="3449" customFormat="1">
      <c r="A183" s="3611"/>
      <c r="D183" s="3612"/>
    </row>
    <row r="184" spans="1:4" s="3449" customFormat="1">
      <c r="A184" s="3611"/>
      <c r="D184" s="3612"/>
    </row>
    <row r="185" spans="1:4" s="3449" customFormat="1">
      <c r="A185" s="3611"/>
      <c r="D185" s="3612"/>
    </row>
    <row r="186" spans="1:4" s="3449" customFormat="1">
      <c r="A186" s="3611"/>
      <c r="D186" s="3612"/>
    </row>
    <row r="187" spans="1:4" s="3449" customFormat="1">
      <c r="A187" s="3611"/>
      <c r="D187" s="3612"/>
    </row>
    <row r="188" spans="1:4" s="3449" customFormat="1">
      <c r="A188" s="3611"/>
      <c r="D188" s="3612"/>
    </row>
    <row r="189" spans="1:4" s="3449" customFormat="1">
      <c r="A189" s="3611"/>
      <c r="D189" s="3612"/>
    </row>
    <row r="190" spans="1:4" s="3449" customFormat="1">
      <c r="A190" s="3611"/>
      <c r="D190" s="3612"/>
    </row>
    <row r="191" spans="1:4" s="3449" customFormat="1">
      <c r="A191" s="3611"/>
      <c r="D191" s="3612"/>
    </row>
    <row r="192" spans="1:4" s="3449" customFormat="1">
      <c r="A192" s="3611"/>
      <c r="D192" s="3612"/>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4043" t="s">
        <v>1198</v>
      </c>
      <c r="B1" s="4044"/>
      <c r="C1" s="4044"/>
      <c r="D1" s="4044"/>
      <c r="E1" s="4044"/>
      <c r="F1" s="4044"/>
      <c r="G1" s="4044"/>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2" bestFit="1" customWidth="1"/>
    <col min="3" max="4" width="12.625" style="982" customWidth="1"/>
    <col min="5" max="9" width="12.75" style="982"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2"/>
  </cols>
  <sheetData>
    <row r="1" spans="1:22" ht="21.75" customHeight="1" thickBot="1">
      <c r="A1" s="1402" t="s">
        <v>1492</v>
      </c>
      <c r="B1" s="1403"/>
      <c r="C1" s="1431" t="s">
        <v>1493</v>
      </c>
      <c r="D1" s="1432"/>
      <c r="E1" s="1431" t="s">
        <v>1494</v>
      </c>
      <c r="F1" s="1433"/>
      <c r="G1" s="201"/>
      <c r="H1" s="201"/>
      <c r="I1" s="201"/>
      <c r="J1" s="1567"/>
      <c r="K1" s="1567"/>
      <c r="L1" s="1567"/>
      <c r="M1" s="1567"/>
      <c r="N1" s="1567"/>
      <c r="O1" s="1567"/>
      <c r="P1" s="1567"/>
      <c r="Q1" s="1567"/>
      <c r="R1" s="1567"/>
      <c r="S1" s="1567"/>
      <c r="T1" s="1567"/>
      <c r="U1" s="1567"/>
      <c r="V1" s="1567"/>
    </row>
    <row r="2" spans="1:22" ht="21.75" customHeight="1" thickBot="1">
      <c r="A2" s="4089" t="str">
        <f>项目基本情况!K2</f>
        <v>北京市出让国有建设用地使用权</v>
      </c>
      <c r="B2" s="4090"/>
      <c r="C2" s="4091"/>
      <c r="D2" s="4091"/>
      <c r="E2" s="4091"/>
      <c r="F2" s="4091"/>
      <c r="G2" s="4090"/>
      <c r="H2" s="4090"/>
      <c r="I2" s="4092"/>
      <c r="J2" s="1568"/>
      <c r="K2" s="1567"/>
      <c r="L2" s="1567"/>
      <c r="M2" s="1567"/>
      <c r="N2" s="1567"/>
      <c r="O2" s="1567"/>
      <c r="P2" s="1567"/>
      <c r="Q2" s="1567"/>
      <c r="R2" s="1567"/>
      <c r="S2" s="1567"/>
      <c r="T2" s="1567"/>
      <c r="U2" s="1567"/>
      <c r="V2" s="1567"/>
    </row>
    <row r="3" spans="1:22" ht="14.25">
      <c r="A3" s="4082" t="s">
        <v>264</v>
      </c>
      <c r="B3" s="4083"/>
      <c r="C3" s="4083"/>
      <c r="D3" s="4083"/>
      <c r="E3" s="4083"/>
      <c r="F3" s="4083"/>
      <c r="G3" s="4083"/>
      <c r="H3" s="4083"/>
      <c r="I3" s="4083"/>
      <c r="J3" s="1568"/>
      <c r="K3" s="1567"/>
      <c r="L3" s="1567"/>
      <c r="M3" s="1567"/>
      <c r="N3" s="1567"/>
      <c r="O3" s="1567"/>
      <c r="P3" s="1567"/>
      <c r="Q3" s="1567"/>
      <c r="R3" s="1567"/>
      <c r="S3" s="1567"/>
      <c r="T3" s="1567"/>
      <c r="U3" s="1567"/>
      <c r="V3" s="1567"/>
    </row>
    <row r="4" spans="1:22" ht="14.25">
      <c r="A4" s="148" t="s">
        <v>265</v>
      </c>
      <c r="B4" s="149" t="s">
        <v>266</v>
      </c>
      <c r="C4" s="150"/>
      <c r="D4" s="150"/>
      <c r="E4" s="4048" t="s">
        <v>267</v>
      </c>
      <c r="F4" s="4049"/>
      <c r="G4" s="4049"/>
      <c r="H4" s="4049"/>
      <c r="I4" s="4084"/>
      <c r="J4" s="1568"/>
      <c r="K4" s="1567"/>
      <c r="L4" s="2611" t="str">
        <f>IF(ISNUMBER(FIND("比较法",C4)),"比较法",IF(ISNUMBER(FIND("成本法",C4)),"成本法",IF(ISNUMBER(FIND("剩余法",C4)),"剩余法",IF(ISNUMBER(FIND("收益法",C4)),"收益法","基准地价系数修正法"))))</f>
        <v>基准地价系数修正法</v>
      </c>
      <c r="M4" s="792"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47" t="s">
        <v>268</v>
      </c>
      <c r="B5" s="4076">
        <v>25</v>
      </c>
      <c r="C5" s="4074"/>
      <c r="D5" s="4078"/>
      <c r="E5" s="151" t="s">
        <v>269</v>
      </c>
      <c r="F5" s="152"/>
      <c r="G5" s="152"/>
      <c r="H5" s="152"/>
      <c r="I5" s="153"/>
      <c r="J5" s="1568"/>
      <c r="K5" s="1567"/>
      <c r="L5" s="1567"/>
      <c r="M5" s="1567"/>
      <c r="N5" s="1567"/>
      <c r="O5" s="1567"/>
      <c r="P5" s="1567"/>
      <c r="Q5" s="1567"/>
      <c r="R5" s="1567"/>
      <c r="S5" s="1567"/>
      <c r="T5" s="1567"/>
      <c r="U5" s="1567"/>
      <c r="V5" s="1567"/>
    </row>
    <row r="6" spans="1:22" ht="14.25">
      <c r="A6" s="4047"/>
      <c r="B6" s="4076"/>
      <c r="C6" s="4077"/>
      <c r="D6" s="4078"/>
      <c r="E6" s="151" t="s">
        <v>270</v>
      </c>
      <c r="F6" s="152"/>
      <c r="G6" s="152"/>
      <c r="H6" s="152"/>
      <c r="I6" s="153"/>
      <c r="J6" s="1568"/>
      <c r="K6" s="1567"/>
      <c r="L6" s="1567"/>
      <c r="M6" s="1567"/>
      <c r="N6" s="1567"/>
      <c r="O6" s="1567"/>
      <c r="P6" s="1567"/>
      <c r="Q6" s="1567"/>
      <c r="R6" s="1567"/>
      <c r="S6" s="1567"/>
      <c r="T6" s="1567"/>
      <c r="U6" s="1567"/>
      <c r="V6" s="1567"/>
    </row>
    <row r="7" spans="1:22" ht="14.25">
      <c r="A7" s="4047"/>
      <c r="B7" s="4076"/>
      <c r="C7" s="4075"/>
      <c r="D7" s="4078"/>
      <c r="E7" s="151" t="s">
        <v>271</v>
      </c>
      <c r="F7" s="152"/>
      <c r="G7" s="152"/>
      <c r="H7" s="152"/>
      <c r="I7" s="153"/>
      <c r="J7" s="1568"/>
      <c r="K7" s="1567"/>
      <c r="L7" s="1567"/>
      <c r="M7" s="1567"/>
      <c r="N7" s="1567"/>
      <c r="O7" s="1567"/>
      <c r="P7" s="1567"/>
      <c r="Q7" s="1567"/>
      <c r="R7" s="1567"/>
      <c r="S7" s="1567"/>
      <c r="T7" s="1567"/>
      <c r="U7" s="1567"/>
      <c r="V7" s="1567"/>
    </row>
    <row r="8" spans="1:22" ht="14.25">
      <c r="A8" s="4047" t="s">
        <v>272</v>
      </c>
      <c r="B8" s="4076">
        <v>15</v>
      </c>
      <c r="C8" s="4074"/>
      <c r="D8" s="4078"/>
      <c r="E8" s="151" t="s">
        <v>273</v>
      </c>
      <c r="F8" s="152"/>
      <c r="G8" s="152"/>
      <c r="H8" s="152"/>
      <c r="I8" s="153"/>
      <c r="J8" s="1568"/>
      <c r="K8" s="1567"/>
      <c r="L8" s="1567"/>
      <c r="M8" s="1567"/>
      <c r="N8" s="1567"/>
      <c r="O8" s="1567"/>
      <c r="P8" s="1567"/>
      <c r="Q8" s="1567"/>
      <c r="R8" s="1567"/>
      <c r="S8" s="1567"/>
      <c r="T8" s="1567"/>
      <c r="U8" s="1567"/>
      <c r="V8" s="1567"/>
    </row>
    <row r="9" spans="1:22" ht="14.25">
      <c r="A9" s="4047"/>
      <c r="B9" s="4076"/>
      <c r="C9" s="4075"/>
      <c r="D9" s="4078"/>
      <c r="E9" s="151" t="s">
        <v>274</v>
      </c>
      <c r="F9" s="152"/>
      <c r="G9" s="152"/>
      <c r="H9" s="152"/>
      <c r="I9" s="153"/>
      <c r="J9" s="1568"/>
      <c r="K9" s="1567"/>
      <c r="L9" s="1567"/>
      <c r="M9" s="1567"/>
      <c r="N9" s="1567"/>
      <c r="O9" s="1567"/>
      <c r="P9" s="1567"/>
      <c r="Q9" s="1567"/>
      <c r="R9" s="1567"/>
      <c r="S9" s="1567"/>
      <c r="T9" s="1567"/>
      <c r="U9" s="1567"/>
      <c r="V9" s="1567"/>
    </row>
    <row r="10" spans="1:22" ht="14.25">
      <c r="A10" s="4047" t="s">
        <v>275</v>
      </c>
      <c r="B10" s="4076">
        <v>15</v>
      </c>
      <c r="C10" s="4074"/>
      <c r="D10" s="4078"/>
      <c r="E10" s="151" t="s">
        <v>276</v>
      </c>
      <c r="F10" s="152"/>
      <c r="G10" s="152"/>
      <c r="H10" s="152"/>
      <c r="I10" s="153"/>
      <c r="J10" s="1568"/>
      <c r="K10" s="1567"/>
      <c r="L10" s="1567"/>
      <c r="M10" s="1567"/>
      <c r="N10" s="1567"/>
      <c r="O10" s="1567"/>
      <c r="P10" s="1567"/>
      <c r="Q10" s="1567"/>
      <c r="R10" s="1567"/>
      <c r="S10" s="1567"/>
      <c r="T10" s="1567"/>
      <c r="U10" s="1567"/>
      <c r="V10" s="1567"/>
    </row>
    <row r="11" spans="1:22" ht="14.25">
      <c r="A11" s="4047"/>
      <c r="B11" s="4076"/>
      <c r="C11" s="4075"/>
      <c r="D11" s="4078"/>
      <c r="E11" s="151" t="s">
        <v>277</v>
      </c>
      <c r="F11" s="152"/>
      <c r="G11" s="152"/>
      <c r="H11" s="152"/>
      <c r="I11" s="153"/>
      <c r="J11" s="1568"/>
      <c r="K11" s="1567"/>
      <c r="L11" s="1567"/>
      <c r="M11" s="1567"/>
      <c r="N11" s="1567"/>
      <c r="O11" s="1567"/>
      <c r="P11" s="1567"/>
      <c r="Q11" s="1567"/>
      <c r="R11" s="1567"/>
      <c r="S11" s="1567"/>
      <c r="T11" s="1567"/>
      <c r="U11" s="1567"/>
      <c r="V11" s="1567"/>
    </row>
    <row r="12" spans="1:22" ht="14.25">
      <c r="A12" s="4047" t="s">
        <v>278</v>
      </c>
      <c r="B12" s="4076">
        <v>15</v>
      </c>
      <c r="C12" s="4074"/>
      <c r="D12" s="4078"/>
      <c r="E12" s="151" t="s">
        <v>279</v>
      </c>
      <c r="F12" s="152"/>
      <c r="G12" s="152"/>
      <c r="H12" s="152"/>
      <c r="I12" s="153"/>
      <c r="J12" s="1568"/>
      <c r="K12" s="1567"/>
      <c r="L12" s="1567"/>
      <c r="M12" s="1567"/>
      <c r="N12" s="1567"/>
      <c r="O12" s="1567"/>
      <c r="P12" s="1567"/>
      <c r="Q12" s="1567"/>
      <c r="R12" s="1567"/>
      <c r="S12" s="1567"/>
      <c r="T12" s="1567"/>
      <c r="U12" s="1567"/>
      <c r="V12" s="1567"/>
    </row>
    <row r="13" spans="1:22" ht="14.25">
      <c r="A13" s="4047"/>
      <c r="B13" s="4076"/>
      <c r="C13" s="4075"/>
      <c r="D13" s="4078"/>
      <c r="E13" s="151" t="s">
        <v>280</v>
      </c>
      <c r="F13" s="152"/>
      <c r="G13" s="152"/>
      <c r="H13" s="152"/>
      <c r="I13" s="153"/>
      <c r="J13" s="1568"/>
      <c r="K13" s="1567"/>
      <c r="L13" s="1567"/>
      <c r="M13" s="1567"/>
      <c r="N13" s="1567"/>
      <c r="O13" s="1567"/>
      <c r="P13" s="1567"/>
      <c r="Q13" s="1567"/>
      <c r="R13" s="1567"/>
      <c r="S13" s="1567"/>
      <c r="T13" s="1567"/>
      <c r="U13" s="1567"/>
      <c r="V13" s="1567"/>
    </row>
    <row r="14" spans="1:22" ht="14.25">
      <c r="A14" s="4047" t="s">
        <v>281</v>
      </c>
      <c r="B14" s="4076">
        <v>30</v>
      </c>
      <c r="C14" s="4074"/>
      <c r="D14" s="4078"/>
      <c r="E14" s="151" t="s">
        <v>282</v>
      </c>
      <c r="F14" s="152"/>
      <c r="G14" s="152"/>
      <c r="H14" s="152"/>
      <c r="I14" s="153"/>
      <c r="J14" s="1568"/>
      <c r="K14" s="1567"/>
      <c r="L14" s="1567"/>
      <c r="M14" s="1567"/>
      <c r="N14" s="1567"/>
      <c r="O14" s="1567"/>
      <c r="P14" s="1567"/>
      <c r="Q14" s="1567"/>
      <c r="R14" s="1567"/>
      <c r="S14" s="1567"/>
      <c r="T14" s="1567"/>
      <c r="U14" s="1567"/>
      <c r="V14" s="1567"/>
    </row>
    <row r="15" spans="1:22" ht="14.25">
      <c r="A15" s="4047"/>
      <c r="B15" s="4076"/>
      <c r="C15" s="4077"/>
      <c r="D15" s="4078"/>
      <c r="E15" s="151" t="s">
        <v>283</v>
      </c>
      <c r="F15" s="152"/>
      <c r="G15" s="152"/>
      <c r="H15" s="152"/>
      <c r="I15" s="153"/>
      <c r="J15" s="1568"/>
      <c r="K15" s="1567"/>
      <c r="L15" s="1567"/>
      <c r="M15" s="1567"/>
      <c r="N15" s="1567"/>
      <c r="O15" s="1567"/>
      <c r="P15" s="1567"/>
      <c r="Q15" s="1567"/>
      <c r="R15" s="1567"/>
      <c r="S15" s="1567"/>
      <c r="T15" s="1567"/>
      <c r="U15" s="1567"/>
      <c r="V15" s="1567"/>
    </row>
    <row r="16" spans="1:22" ht="14.25">
      <c r="A16" s="4047"/>
      <c r="B16" s="4076"/>
      <c r="C16" s="4075"/>
      <c r="D16" s="4078"/>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079" t="s">
        <v>2160</v>
      </c>
      <c r="F18" s="4080"/>
      <c r="G18" s="4080"/>
      <c r="H18" s="4080"/>
      <c r="I18" s="4080"/>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3" t="s">
        <v>292</v>
      </c>
      <c r="I21" s="201"/>
      <c r="J21" s="1567"/>
      <c r="K21" s="1567"/>
      <c r="L21" s="1567"/>
      <c r="M21" s="1567"/>
      <c r="N21" s="1567"/>
      <c r="O21" s="1567"/>
      <c r="P21" s="1567"/>
      <c r="Q21" s="1567"/>
      <c r="R21" s="1567"/>
      <c r="S21" s="1567"/>
      <c r="T21" s="1567"/>
      <c r="U21" s="1567"/>
      <c r="V21" s="1567"/>
    </row>
    <row r="22" spans="1:26" ht="15.75" thickBot="1">
      <c r="A22" s="120" t="s">
        <v>294</v>
      </c>
      <c r="B22" s="984"/>
      <c r="C22" s="985"/>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53"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054"/>
      <c r="B25" s="1053" t="s">
        <v>297</v>
      </c>
      <c r="C25" s="180">
        <f>IF(B30=0,0,C30)</f>
        <v>0</v>
      </c>
      <c r="D25" s="181"/>
      <c r="E25" s="201"/>
      <c r="F25" s="201"/>
      <c r="G25" s="201"/>
      <c r="H25" s="201"/>
      <c r="I25" s="201"/>
      <c r="J25" s="1567"/>
      <c r="K25" s="987" t="e">
        <f ca="1">项目基本情况!A17&amp;"国有建设用地使用权价格："&amp;O38&amp;"万元"</f>
        <v>#REF!</v>
      </c>
      <c r="L25" s="988"/>
      <c r="M25" s="988"/>
      <c r="N25" s="988"/>
      <c r="O25" s="989"/>
      <c r="P25" s="1567"/>
      <c r="Q25" s="1567"/>
      <c r="R25" s="1567"/>
      <c r="S25" s="1567"/>
      <c r="T25" s="1567"/>
      <c r="U25" s="1567"/>
      <c r="V25" s="1567"/>
    </row>
    <row r="26" spans="1:26" s="986" customFormat="1" ht="18">
      <c r="A26" s="183" t="s">
        <v>298</v>
      </c>
      <c r="B26" s="184" t="s">
        <v>299</v>
      </c>
      <c r="C26" s="184" t="s">
        <v>300</v>
      </c>
      <c r="D26" s="185" t="s">
        <v>301</v>
      </c>
      <c r="E26" s="201"/>
      <c r="F26" s="201"/>
      <c r="G26" s="201"/>
      <c r="H26" s="201"/>
      <c r="I26" s="201"/>
      <c r="J26" s="1567"/>
      <c r="K26" s="990" t="e">
        <f ca="1">"大写金额：人民币"&amp;NUMBERSTRING(INT(O38*10000),2)&amp;"元整"</f>
        <v>#REF!</v>
      </c>
      <c r="L26" s="984"/>
      <c r="M26" s="984"/>
      <c r="N26" s="984"/>
      <c r="O26" s="983"/>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90" t="e">
        <f ca="1">"单位面积地价："&amp;M38&amp;"元/平方米"</f>
        <v>#REF!</v>
      </c>
      <c r="L27" s="984"/>
      <c r="M27" s="984"/>
      <c r="N27" s="984"/>
      <c r="O27" s="983"/>
      <c r="P27" s="1567"/>
      <c r="Q27" s="1567"/>
      <c r="R27" s="1567"/>
      <c r="S27" s="1567"/>
      <c r="T27" s="1567"/>
      <c r="U27" s="1567"/>
      <c r="V27" s="1567"/>
    </row>
    <row r="28" spans="1:26" ht="18.75" customHeight="1">
      <c r="A28" s="183"/>
      <c r="B28" s="184"/>
      <c r="C28" s="184"/>
      <c r="D28" s="185"/>
      <c r="E28" s="201"/>
      <c r="F28" s="201"/>
      <c r="G28" s="201"/>
      <c r="H28" s="201"/>
      <c r="I28" s="201"/>
      <c r="J28" s="1567"/>
      <c r="K28" s="990" t="e">
        <f ca="1">"楼面地价："&amp;N38&amp;"元/平方米"</f>
        <v>#REF!</v>
      </c>
      <c r="L28" s="984"/>
      <c r="M28" s="984"/>
      <c r="N28" s="984"/>
      <c r="O28" s="983"/>
      <c r="P28" s="1567"/>
      <c r="V28" s="1567"/>
    </row>
    <row r="29" spans="1:26" ht="18">
      <c r="A29" s="183"/>
      <c r="B29" s="184"/>
      <c r="C29" s="184"/>
      <c r="D29" s="185"/>
      <c r="E29" s="201"/>
      <c r="F29" s="201"/>
      <c r="G29" s="201"/>
      <c r="H29" s="201"/>
      <c r="I29" s="201"/>
      <c r="J29" s="1567"/>
      <c r="K29" s="990" t="str">
        <f>IF(OR(项目基本情况!E8="抵押价格",项目基本情况!E8="已注销及未注销"),"抵押价格："&amp;O39&amp;"万元","——")</f>
        <v>——</v>
      </c>
      <c r="L29" s="984"/>
      <c r="M29" s="984"/>
      <c r="N29" s="984"/>
      <c r="O29" s="983"/>
      <c r="P29" s="1567"/>
      <c r="V29" s="1567"/>
    </row>
    <row r="30" spans="1:26" ht="18.75" thickBot="1">
      <c r="A30" s="2249" t="s">
        <v>302</v>
      </c>
      <c r="B30" s="199"/>
      <c r="C30" s="199"/>
      <c r="D30" s="200"/>
      <c r="E30" s="2439" t="s">
        <v>2161</v>
      </c>
      <c r="F30" s="201"/>
      <c r="G30" s="201"/>
      <c r="H30" s="201"/>
      <c r="I30" s="201"/>
      <c r="J30" s="1567"/>
      <c r="K30" s="990" t="str">
        <f>IF(K29="——","——","大写金额：人民币"&amp;NUMBERSTRING(INT(O39*10000),2)&amp;"元整")</f>
        <v>——</v>
      </c>
      <c r="L30" s="984"/>
      <c r="M30" s="984"/>
      <c r="N30" s="984"/>
      <c r="O30" s="983"/>
      <c r="P30" s="1567"/>
      <c r="V30" s="1567"/>
    </row>
    <row r="31" spans="1:26" ht="24" customHeight="1" thickBot="1">
      <c r="A31" s="4081" t="s">
        <v>2162</v>
      </c>
      <c r="B31" s="4081"/>
      <c r="C31" s="4081"/>
      <c r="D31" s="4081"/>
      <c r="E31" s="4081"/>
      <c r="F31" s="4081"/>
      <c r="G31" s="4081"/>
      <c r="H31" s="4081"/>
      <c r="I31" s="4081"/>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8" t="s">
        <v>1223</v>
      </c>
      <c r="C33" s="154" t="e">
        <f ca="1">ROUND(C32*10000/'数据-汇总表'!E3,0)</f>
        <v>#REF!</v>
      </c>
      <c r="D33" s="1089" t="s">
        <v>1224</v>
      </c>
      <c r="E33" s="4053" t="s">
        <v>304</v>
      </c>
      <c r="F33" s="186" t="s">
        <v>305</v>
      </c>
      <c r="G33" s="187"/>
      <c r="H33" s="821"/>
      <c r="I33" s="991"/>
      <c r="J33" s="1567"/>
      <c r="K33" s="990" t="str">
        <f>IF(项目基本情况!E9="——","——","抵押净值："&amp;C46&amp;"万元")</f>
        <v>抵押净值：——万元</v>
      </c>
      <c r="L33" s="984"/>
      <c r="M33" s="984"/>
      <c r="N33" s="984"/>
      <c r="O33" s="983"/>
      <c r="P33" s="1567"/>
      <c r="V33" s="1567"/>
    </row>
    <row r="34" spans="1:26" s="986" customFormat="1" ht="18.75" thickBot="1">
      <c r="A34" s="190"/>
      <c r="B34" s="1090" t="s">
        <v>1225</v>
      </c>
      <c r="C34" s="154" t="e">
        <f ca="1">ROUND(C32*10000/'数据-汇总表'!D3,0)</f>
        <v>#REF!</v>
      </c>
      <c r="D34" s="1091" t="s">
        <v>1224</v>
      </c>
      <c r="E34" s="4097"/>
      <c r="F34" s="121" t="s">
        <v>307</v>
      </c>
      <c r="G34" s="189"/>
      <c r="H34" s="100"/>
      <c r="I34" s="201"/>
      <c r="J34" s="1567"/>
      <c r="K34" s="993" t="e">
        <f>IF(K33="——","——","大写金额：人民币"&amp;NUMBERSTRING(INT(O41*10000),2)&amp;"元整")</f>
        <v>#VALUE!</v>
      </c>
      <c r="L34" s="994"/>
      <c r="M34" s="994"/>
      <c r="N34" s="994"/>
      <c r="O34" s="995"/>
      <c r="P34" s="1567"/>
      <c r="Q34" s="182"/>
      <c r="R34" s="182"/>
      <c r="S34" s="182"/>
      <c r="T34" s="182"/>
      <c r="U34" s="182"/>
      <c r="V34" s="1567"/>
      <c r="W34" s="182"/>
      <c r="X34" s="182"/>
      <c r="Y34" s="182"/>
      <c r="Z34" s="182"/>
    </row>
    <row r="35" spans="1:26" ht="15.75" thickBot="1">
      <c r="A35" s="174"/>
      <c r="B35" s="1092"/>
      <c r="C35" s="1093" t="e">
        <f ca="1">ROUND(C32/('数据-汇总表'!D3/666.67),0)</f>
        <v>#REF!</v>
      </c>
      <c r="D35" s="1094" t="s">
        <v>1226</v>
      </c>
      <c r="E35" s="4098"/>
      <c r="F35" s="191" t="s">
        <v>308</v>
      </c>
      <c r="G35" s="823"/>
      <c r="H35" s="822" t="s">
        <v>309</v>
      </c>
      <c r="I35" s="201"/>
      <c r="J35" s="1567"/>
      <c r="K35" s="4071" t="s">
        <v>316</v>
      </c>
      <c r="L35" s="4071" t="s">
        <v>317</v>
      </c>
      <c r="M35" s="996" t="s">
        <v>318</v>
      </c>
      <c r="N35" s="4071" t="s">
        <v>319</v>
      </c>
      <c r="O35" s="4071" t="s">
        <v>320</v>
      </c>
      <c r="P35" s="1567"/>
      <c r="V35" s="1567"/>
    </row>
    <row r="36" spans="1:26" ht="16.5" customHeight="1">
      <c r="A36" s="193" t="s">
        <v>310</v>
      </c>
      <c r="B36" s="194" t="s">
        <v>299</v>
      </c>
      <c r="C36" s="195" t="s">
        <v>311</v>
      </c>
      <c r="D36" s="195" t="s">
        <v>312</v>
      </c>
      <c r="E36" s="196" t="s">
        <v>313</v>
      </c>
      <c r="F36" s="201"/>
      <c r="G36" s="201"/>
      <c r="H36" s="201"/>
      <c r="I36" s="201"/>
      <c r="J36" s="1569"/>
      <c r="K36" s="4072"/>
      <c r="L36" s="4072"/>
      <c r="M36" s="998" t="s">
        <v>321</v>
      </c>
      <c r="N36" s="4072"/>
      <c r="O36" s="4072"/>
      <c r="P36" s="1567"/>
      <c r="V36" s="1567"/>
    </row>
    <row r="37" spans="1:26" ht="16.5" customHeight="1" thickBot="1">
      <c r="A37" s="992" t="s">
        <v>314</v>
      </c>
      <c r="B37" s="197"/>
      <c r="C37" s="184"/>
      <c r="D37" s="184"/>
      <c r="E37" s="185"/>
      <c r="F37" s="201"/>
      <c r="G37" s="201"/>
      <c r="H37" s="201"/>
      <c r="I37" s="201"/>
      <c r="J37" s="1569"/>
      <c r="K37" s="4073"/>
      <c r="L37" s="4073"/>
      <c r="M37" s="999"/>
      <c r="N37" s="4073"/>
      <c r="O37" s="4073"/>
      <c r="P37" s="1567"/>
      <c r="V37" s="1567"/>
    </row>
    <row r="38" spans="1:26" ht="16.5" customHeight="1" thickBot="1">
      <c r="A38" s="992" t="s">
        <v>315</v>
      </c>
      <c r="B38" s="197"/>
      <c r="C38" s="184"/>
      <c r="D38" s="184"/>
      <c r="E38" s="185"/>
      <c r="F38" s="201"/>
      <c r="G38" s="201"/>
      <c r="H38" s="201"/>
      <c r="I38" s="201"/>
      <c r="J38" s="1569"/>
      <c r="K38" s="1000">
        <f>'数据-汇总表'!D3</f>
        <v>12128</v>
      </c>
      <c r="L38" s="1001">
        <f>'数据-汇总表'!E3</f>
        <v>29082.55</v>
      </c>
      <c r="M38" s="1001" t="e">
        <f ca="1">C34</f>
        <v>#REF!</v>
      </c>
      <c r="N38" s="1001" t="e">
        <f ca="1">C33</f>
        <v>#REF!</v>
      </c>
      <c r="O38" s="1002" t="e">
        <f ca="1">C32</f>
        <v>#REF!</v>
      </c>
      <c r="P38" s="1567"/>
      <c r="V38" s="1567"/>
    </row>
    <row r="39" spans="1:26" ht="16.5" customHeight="1" thickBot="1">
      <c r="A39" s="997"/>
      <c r="B39" s="198"/>
      <c r="C39" s="199"/>
      <c r="D39" s="199"/>
      <c r="E39" s="200"/>
      <c r="F39" s="201"/>
      <c r="G39" s="201"/>
      <c r="H39" s="201"/>
      <c r="I39" s="201"/>
      <c r="J39" s="1569"/>
      <c r="K39" s="4111" t="str">
        <f>MID(A44,3,LEN(A44)-2)</f>
        <v/>
      </c>
      <c r="L39" s="4112"/>
      <c r="M39" s="4112"/>
      <c r="N39" s="4113"/>
      <c r="O39" s="1095" t="str">
        <f>C44</f>
        <v>——</v>
      </c>
      <c r="P39" s="1567"/>
      <c r="V39" s="1567"/>
    </row>
    <row r="40" spans="1:26" ht="19.5" thickBot="1">
      <c r="A40" s="99" t="s">
        <v>810</v>
      </c>
      <c r="B40" s="201"/>
      <c r="C40" s="201"/>
      <c r="D40" s="201"/>
      <c r="E40" s="201"/>
      <c r="F40" s="201"/>
      <c r="G40" s="201"/>
      <c r="H40" s="201"/>
      <c r="I40" s="201"/>
      <c r="J40" s="1569"/>
      <c r="K40" s="4111" t="str">
        <f>MID(A45,3,LEN(A45)-2)</f>
        <v/>
      </c>
      <c r="L40" s="4112"/>
      <c r="M40" s="4112"/>
      <c r="N40" s="4113"/>
      <c r="O40" s="1095" t="str">
        <f>C45</f>
        <v>——</v>
      </c>
      <c r="P40" s="1567"/>
      <c r="V40" s="1567"/>
    </row>
    <row r="41" spans="1:26" ht="16.5" thickBot="1">
      <c r="A41" s="202" t="s">
        <v>322</v>
      </c>
      <c r="B41" s="203"/>
      <c r="C41" s="204" t="s">
        <v>323</v>
      </c>
      <c r="D41" s="205" t="s">
        <v>324</v>
      </c>
      <c r="E41" s="205" t="s">
        <v>325</v>
      </c>
      <c r="F41" s="206" t="s">
        <v>326</v>
      </c>
      <c r="G41" s="201"/>
      <c r="H41" s="201"/>
      <c r="I41" s="201"/>
      <c r="J41" s="1569"/>
      <c r="K41" s="4111" t="str">
        <f>MID(A46,3,LEN(A46)-2)</f>
        <v/>
      </c>
      <c r="L41" s="4112"/>
      <c r="M41" s="4112"/>
      <c r="N41" s="4113"/>
      <c r="O41" s="1095" t="str">
        <f>C46</f>
        <v>——</v>
      </c>
      <c r="P41" s="1567"/>
      <c r="V41" s="1567"/>
    </row>
    <row r="42" spans="1:26" ht="29.25">
      <c r="A42" s="4055" t="s">
        <v>1504</v>
      </c>
      <c r="B42" s="4056"/>
      <c r="C42" s="154" t="e">
        <f ca="1">C32</f>
        <v>#REF!</v>
      </c>
      <c r="D42" s="207" t="e">
        <f ca="1">C33</f>
        <v>#REF!</v>
      </c>
      <c r="E42" s="207" t="e">
        <f ca="1">C34</f>
        <v>#REF!</v>
      </c>
      <c r="F42" s="208" t="e">
        <f ca="1">C35</f>
        <v>#REF!</v>
      </c>
      <c r="G42" s="201"/>
      <c r="H42" s="201"/>
      <c r="I42" s="209"/>
      <c r="J42" s="1569"/>
      <c r="K42" s="1003" t="s">
        <v>327</v>
      </c>
      <c r="L42" s="1586" t="s">
        <v>328</v>
      </c>
      <c r="M42" s="1004" t="s">
        <v>329</v>
      </c>
      <c r="N42" s="1587" t="s">
        <v>330</v>
      </c>
      <c r="O42" s="1588" t="s">
        <v>331</v>
      </c>
      <c r="P42" s="1567"/>
      <c r="V42" s="1567"/>
    </row>
    <row r="43" spans="1:26" ht="18">
      <c r="A43" s="4066" t="s">
        <v>1921</v>
      </c>
      <c r="B43" s="4067"/>
      <c r="C43" s="154">
        <f>IF(H33="正常操作",G33+G34+G35,G34+G35)</f>
        <v>0</v>
      </c>
      <c r="D43" s="207" t="s">
        <v>17</v>
      </c>
      <c r="E43" s="207" t="s">
        <v>18</v>
      </c>
      <c r="F43" s="208" t="s">
        <v>18</v>
      </c>
      <c r="G43" s="2057" t="s">
        <v>877</v>
      </c>
      <c r="H43" s="201"/>
      <c r="I43" s="209"/>
      <c r="J43" s="1569"/>
      <c r="K43" s="1005">
        <f>C4</f>
        <v>0</v>
      </c>
      <c r="L43" s="1006" t="e">
        <f ca="1">IF(L42="估价结果/万元",C19,C20)</f>
        <v>#REF!</v>
      </c>
      <c r="M43" s="1007" t="e">
        <f>C18</f>
        <v>#DIV/0!</v>
      </c>
      <c r="N43" s="1008" t="e">
        <f ca="1">IF(N42="测算结果/万元",G19,G20)</f>
        <v>#REF!</v>
      </c>
      <c r="O43" s="1009" t="e">
        <f ca="1">IF(O42="最终结果/万元",C32,C33)</f>
        <v>#REF!</v>
      </c>
      <c r="P43" s="1567"/>
      <c r="V43" s="1567"/>
    </row>
    <row r="44" spans="1:26" ht="18.75" thickBot="1">
      <c r="A44" s="4055" t="str">
        <f>IF(OR(项目基本情况!E8="抵押价格",项目基本情况!E8="已注销及未注销"),"3.抵押价格","——")</f>
        <v>——</v>
      </c>
      <c r="B44" s="4056"/>
      <c r="C44" s="154" t="str">
        <f>IF(A44="——","——",C42-C43)</f>
        <v>——</v>
      </c>
      <c r="D44" s="207" t="e">
        <f>ROUND(C44*10000/'数据-汇总表'!E3,0)</f>
        <v>#VALUE!</v>
      </c>
      <c r="E44" s="207" t="e">
        <f>ROUND(C44*10000/'数据-汇总表'!D3,0)</f>
        <v>#VALUE!</v>
      </c>
      <c r="F44" s="208" t="e">
        <f>ROUND(C44/('数据-汇总表'!D3/666.67),0)</f>
        <v>#VALUE!</v>
      </c>
      <c r="G44" s="201"/>
      <c r="H44" s="201"/>
      <c r="I44" s="209"/>
      <c r="J44" s="1569"/>
      <c r="K44" s="1010">
        <f>D4</f>
        <v>0</v>
      </c>
      <c r="L44" s="1011" t="e">
        <f ca="1">IF(L42="估价结果/万元",D19,D20)</f>
        <v>#REF!</v>
      </c>
      <c r="M44" s="1012" t="e">
        <f>D18</f>
        <v>#DIV/0!</v>
      </c>
      <c r="N44" s="1013"/>
      <c r="O44" s="1014"/>
      <c r="P44" s="1567"/>
      <c r="V44" s="1567"/>
    </row>
    <row r="45" spans="1:26" ht="15">
      <c r="A45" s="4061" t="str">
        <f>IF(项目基本情况!E8="已注销及未注销","4.抵押担保权已注销时的抵押价格",IF(项目基本情况!E8="已注销","3.抵押担保权已注销时的抵押价格","——"))</f>
        <v>——</v>
      </c>
      <c r="B45" s="4062"/>
      <c r="C45" s="1430"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057" t="str">
        <f>IF(项目基本情况!E9="抵押净值",IF(A45="——","4.抵押净值","5.抵押净值"),"——")</f>
        <v>——</v>
      </c>
      <c r="B46" s="4058"/>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5"/>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6" t="s">
        <v>339</v>
      </c>
      <c r="B62" s="1017"/>
      <c r="C62" s="1017"/>
      <c r="D62" s="1018"/>
      <c r="E62" s="1018"/>
      <c r="F62" s="1019"/>
      <c r="G62" s="1019"/>
      <c r="H62" s="1019"/>
      <c r="I62" s="1019"/>
      <c r="J62" s="1571"/>
      <c r="K62" s="1567"/>
      <c r="L62" s="1567"/>
      <c r="M62" s="1567"/>
      <c r="N62" s="1567"/>
      <c r="O62" s="1567"/>
      <c r="P62" s="1567"/>
      <c r="Q62" s="1567"/>
      <c r="R62" s="1567"/>
      <c r="S62" s="1567"/>
      <c r="T62" s="1567"/>
      <c r="U62" s="1567"/>
      <c r="V62" s="1567"/>
    </row>
    <row r="63" spans="1:22" ht="14.25" customHeight="1" thickBot="1">
      <c r="A63" s="4105" t="s">
        <v>340</v>
      </c>
      <c r="B63" s="4106"/>
      <c r="C63" s="4107"/>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063" t="s">
        <v>344</v>
      </c>
      <c r="B64" s="4064"/>
      <c r="C64" s="4064"/>
      <c r="D64" s="4064"/>
      <c r="E64" s="4064"/>
      <c r="F64" s="4064"/>
      <c r="G64" s="4065"/>
      <c r="H64" s="1020"/>
      <c r="I64" s="792"/>
      <c r="J64" s="1565"/>
      <c r="K64" s="1225"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20"/>
      <c r="I65" s="792"/>
      <c r="J65" s="1565"/>
      <c r="K65" s="1021"/>
      <c r="L65" s="1022"/>
      <c r="M65" s="1022"/>
      <c r="N65" s="1054" t="s">
        <v>345</v>
      </c>
      <c r="O65" s="1055"/>
      <c r="P65" s="1056"/>
      <c r="Q65" s="1567"/>
      <c r="R65" s="1567"/>
      <c r="S65" s="1567"/>
      <c r="T65" s="1567"/>
      <c r="U65" s="1567"/>
      <c r="V65" s="1567"/>
    </row>
    <row r="66" spans="1:22" ht="25.5">
      <c r="A66" s="4059" t="s">
        <v>352</v>
      </c>
      <c r="B66" s="4060"/>
      <c r="C66" s="4060"/>
      <c r="D66" s="151" t="b">
        <f>IF(H66="情况1",0,IF(H66="情况2",D70,IF(H66="情况3",D71,IF(H66="情况4",D72))))</f>
        <v>0</v>
      </c>
      <c r="E66" s="834" t="str">
        <f>IF(H66="情况4","(销售额-原购置价)×税（费）率","销售额×税（费）率")</f>
        <v>销售额×税（费）率</v>
      </c>
      <c r="F66" s="240">
        <f>IF(H66="情况1","免征",'数据-取费表'!B41)</f>
        <v>5.5000000000000007E-2</v>
      </c>
      <c r="G66" s="241" t="s">
        <v>353</v>
      </c>
      <c r="H66" s="141"/>
      <c r="I66" s="1020"/>
      <c r="J66" s="1573"/>
      <c r="K66" s="1023">
        <v>1</v>
      </c>
      <c r="L66" s="4120" t="s">
        <v>351</v>
      </c>
      <c r="M66" s="4121"/>
      <c r="N66" s="1881"/>
      <c r="O66" s="1882"/>
      <c r="P66" s="1883"/>
      <c r="Q66" s="1567"/>
      <c r="R66" s="1567"/>
      <c r="S66" s="1567"/>
      <c r="T66" s="1567"/>
      <c r="U66" s="1567"/>
      <c r="V66" s="1567"/>
    </row>
    <row r="67" spans="1:22" ht="25.5" customHeight="1">
      <c r="A67" s="242" t="s">
        <v>355</v>
      </c>
      <c r="B67" s="4050" t="s">
        <v>356</v>
      </c>
      <c r="C67" s="4050"/>
      <c r="D67" s="243">
        <v>0</v>
      </c>
      <c r="E67" s="38" t="s">
        <v>357</v>
      </c>
      <c r="F67" s="59" t="s">
        <v>15</v>
      </c>
      <c r="G67" s="4108"/>
      <c r="H67" s="2442" t="s">
        <v>2163</v>
      </c>
      <c r="I67" s="2444"/>
      <c r="J67" s="1574"/>
      <c r="K67" s="1559">
        <v>2</v>
      </c>
      <c r="L67" s="4114" t="s">
        <v>354</v>
      </c>
      <c r="M67" s="4114"/>
      <c r="N67" s="1057">
        <f>'数据-取费表'!B2</f>
        <v>45076</v>
      </c>
      <c r="O67" s="1057"/>
      <c r="P67" s="1057"/>
      <c r="Q67" s="1567"/>
      <c r="R67" s="1567"/>
      <c r="S67" s="1567"/>
      <c r="T67" s="1567"/>
      <c r="U67" s="1567"/>
      <c r="V67" s="1567"/>
    </row>
    <row r="68" spans="1:22" ht="25.5" customHeight="1">
      <c r="A68" s="244"/>
      <c r="B68" s="4050" t="s">
        <v>359</v>
      </c>
      <c r="C68" s="4050"/>
      <c r="D68" s="245"/>
      <c r="E68" s="74"/>
      <c r="F68" s="246"/>
      <c r="G68" s="4109"/>
      <c r="H68" s="2443" t="s">
        <v>2164</v>
      </c>
      <c r="I68" s="2444"/>
      <c r="J68" s="1574"/>
      <c r="K68" s="1559">
        <v>3</v>
      </c>
      <c r="L68" s="4114" t="s">
        <v>358</v>
      </c>
      <c r="M68" s="4114"/>
      <c r="N68" s="1025" t="e">
        <f ca="1">C42</f>
        <v>#REF!</v>
      </c>
      <c r="O68" s="1025"/>
      <c r="P68" s="1025"/>
      <c r="Q68" s="1567"/>
      <c r="R68" s="1567"/>
      <c r="S68" s="1567"/>
      <c r="T68" s="1567"/>
      <c r="U68" s="1567"/>
      <c r="V68" s="1567"/>
    </row>
    <row r="69" spans="1:22" ht="23.45" customHeight="1">
      <c r="A69" s="247"/>
      <c r="B69" s="4050" t="s">
        <v>360</v>
      </c>
      <c r="C69" s="4050"/>
      <c r="D69" s="248"/>
      <c r="E69" s="70"/>
      <c r="F69" s="246"/>
      <c r="G69" s="4110"/>
      <c r="H69" s="2443" t="s">
        <v>2165</v>
      </c>
      <c r="I69" s="2444"/>
      <c r="J69" s="1574"/>
      <c r="K69" s="1026">
        <v>4</v>
      </c>
      <c r="L69" s="4124" t="s">
        <v>2065</v>
      </c>
      <c r="M69" s="4125"/>
      <c r="N69" s="1027" t="str">
        <f>C44</f>
        <v>——</v>
      </c>
      <c r="O69" s="1027"/>
      <c r="P69" s="1027"/>
      <c r="Q69" s="1567"/>
      <c r="R69" s="1567"/>
      <c r="S69" s="1567"/>
      <c r="T69" s="1567"/>
      <c r="U69" s="1567"/>
      <c r="V69" s="1567"/>
    </row>
    <row r="70" spans="1:22" ht="24" customHeight="1">
      <c r="A70" s="249" t="s">
        <v>361</v>
      </c>
      <c r="B70" s="4050" t="s">
        <v>362</v>
      </c>
      <c r="C70" s="4050"/>
      <c r="D70" s="248" t="e">
        <f ca="1">ROUND(D63*'数据-取费表'!B41/(1+'数据-取费表'!C42),0)</f>
        <v>#REF!</v>
      </c>
      <c r="E70" s="14" t="s">
        <v>363</v>
      </c>
      <c r="F70" s="250">
        <f>'数据-取费表'!B41</f>
        <v>5.5000000000000007E-2</v>
      </c>
      <c r="G70" s="251"/>
      <c r="H70" s="201"/>
      <c r="I70" s="1024"/>
      <c r="J70" s="1574"/>
      <c r="K70" s="2222"/>
      <c r="L70" s="2223"/>
      <c r="M70" s="2223"/>
      <c r="N70" s="2224" t="s">
        <v>2069</v>
      </c>
      <c r="O70" s="2223"/>
      <c r="P70" s="2225"/>
      <c r="Q70" s="1567"/>
      <c r="R70" s="1567"/>
      <c r="S70" s="1567"/>
      <c r="T70" s="1567"/>
      <c r="U70" s="1567"/>
      <c r="V70" s="1567"/>
    </row>
    <row r="71" spans="1:22" ht="12" customHeight="1">
      <c r="A71" s="249" t="s">
        <v>369</v>
      </c>
      <c r="B71" s="4051" t="s">
        <v>2191</v>
      </c>
      <c r="C71" s="4052"/>
      <c r="D71" s="248" t="e">
        <f ca="1">ROUND(D63*'数据-取费表'!B41/(1+'数据-取费表'!C42),0)</f>
        <v>#REF!</v>
      </c>
      <c r="E71" s="14" t="s">
        <v>363</v>
      </c>
      <c r="F71" s="250">
        <f>'数据-取费表'!B41</f>
        <v>5.5000000000000007E-2</v>
      </c>
      <c r="G71" s="251"/>
      <c r="H71" s="201"/>
      <c r="I71" s="1024"/>
      <c r="J71" s="1574"/>
      <c r="K71" s="2221" t="s">
        <v>364</v>
      </c>
      <c r="L71" s="4126" t="s">
        <v>365</v>
      </c>
      <c r="M71" s="4126"/>
      <c r="N71" s="2221" t="s">
        <v>366</v>
      </c>
      <c r="O71" s="2221" t="s">
        <v>367</v>
      </c>
      <c r="P71" s="2221" t="s">
        <v>368</v>
      </c>
      <c r="Q71" s="1567"/>
      <c r="R71" s="1567"/>
      <c r="S71" s="1567"/>
      <c r="T71" s="1567"/>
      <c r="U71" s="1567"/>
      <c r="V71" s="1567"/>
    </row>
    <row r="72" spans="1:22" ht="12" customHeight="1">
      <c r="A72" s="249" t="s">
        <v>371</v>
      </c>
      <c r="B72" s="4051" t="s">
        <v>2192</v>
      </c>
      <c r="C72" s="4052"/>
      <c r="D72" s="248" t="e">
        <f ca="1">C86</f>
        <v>#REF!</v>
      </c>
      <c r="E72" s="70" t="s">
        <v>372</v>
      </c>
      <c r="F72" s="250">
        <f>'数据-取费表'!B41</f>
        <v>5.5000000000000007E-2</v>
      </c>
      <c r="G72" s="251"/>
      <c r="H72" s="1030"/>
      <c r="I72" s="1024"/>
      <c r="J72" s="1574"/>
      <c r="K72" s="1559">
        <v>1</v>
      </c>
      <c r="L72" s="4101" t="s">
        <v>370</v>
      </c>
      <c r="M72" s="4101"/>
      <c r="N72" s="1028" t="b">
        <f>D66</f>
        <v>0</v>
      </c>
      <c r="O72" s="1464" t="str">
        <f>E66</f>
        <v>销售额×税（费）率</v>
      </c>
      <c r="P72" s="1029">
        <f>F66</f>
        <v>5.5000000000000007E-2</v>
      </c>
      <c r="Q72" s="1567"/>
      <c r="R72" s="1567"/>
      <c r="S72" s="1567"/>
      <c r="T72" s="1567"/>
      <c r="U72" s="1567"/>
      <c r="V72" s="1567"/>
    </row>
    <row r="73" spans="1:22" ht="24" customHeight="1">
      <c r="A73" s="4096" t="s">
        <v>374</v>
      </c>
      <c r="B73" s="4060"/>
      <c r="C73" s="4060"/>
      <c r="D73" s="252" t="e">
        <f ca="1">IF(H73="个人住宅",0,ROUND(D63*I73,0))</f>
        <v>#REF!</v>
      </c>
      <c r="E73" s="14" t="s">
        <v>375</v>
      </c>
      <c r="F73" s="250" t="str">
        <f>IF(H73="正常",I73,"免征")</f>
        <v>免征</v>
      </c>
      <c r="G73" s="251"/>
      <c r="H73" s="141"/>
      <c r="I73" s="250">
        <f>'数据-取费表'!B49</f>
        <v>5.0000000000000001E-4</v>
      </c>
      <c r="J73" s="1574"/>
      <c r="K73" s="1559">
        <v>2</v>
      </c>
      <c r="L73" s="4101" t="s">
        <v>373</v>
      </c>
      <c r="M73" s="4101"/>
      <c r="N73" s="1028" t="e">
        <f t="shared" ref="N73:P74" ca="1" si="0">D73</f>
        <v>#REF!</v>
      </c>
      <c r="O73" s="1464" t="str">
        <f t="shared" si="0"/>
        <v>销售额×税（费）率</v>
      </c>
      <c r="P73" s="1029" t="str">
        <f t="shared" si="0"/>
        <v>免征</v>
      </c>
      <c r="Q73" s="1567"/>
      <c r="R73" s="1567"/>
      <c r="S73" s="1567"/>
      <c r="T73" s="1567"/>
      <c r="U73" s="1567"/>
      <c r="V73" s="1567"/>
    </row>
    <row r="74" spans="1:22" ht="24.75">
      <c r="A74" s="4096" t="s">
        <v>377</v>
      </c>
      <c r="B74" s="4060"/>
      <c r="C74" s="4060"/>
      <c r="D74" s="252" t="e">
        <f ca="1">IF(H74="个人住宅",D75,D76)</f>
        <v>#REF!</v>
      </c>
      <c r="E74" s="14" t="s">
        <v>378</v>
      </c>
      <c r="F74" s="250" t="str">
        <f>IF(H74="正常",F76,"免征")</f>
        <v>免征</v>
      </c>
      <c r="G74" s="824" t="s">
        <v>379</v>
      </c>
      <c r="H74" s="253"/>
      <c r="I74" s="39"/>
      <c r="J74" s="1574"/>
      <c r="K74" s="1559">
        <v>3</v>
      </c>
      <c r="L74" s="4101" t="s">
        <v>376</v>
      </c>
      <c r="M74" s="4101"/>
      <c r="N74" s="1028" t="e">
        <f t="shared" ca="1" si="0"/>
        <v>#REF!</v>
      </c>
      <c r="O74" s="1464" t="str">
        <f t="shared" si="0"/>
        <v>增值额×税（费）率</v>
      </c>
      <c r="P74" s="1031" t="str">
        <f t="shared" si="0"/>
        <v>免征</v>
      </c>
      <c r="Q74" s="1567"/>
      <c r="R74" s="1567"/>
      <c r="S74" s="1567"/>
      <c r="T74" s="1567"/>
      <c r="U74" s="1567"/>
      <c r="V74" s="1567"/>
    </row>
    <row r="75" spans="1:22" ht="12.75">
      <c r="A75" s="249" t="s">
        <v>380</v>
      </c>
      <c r="B75" s="4048" t="s">
        <v>381</v>
      </c>
      <c r="C75" s="4084"/>
      <c r="D75" s="254">
        <v>0</v>
      </c>
      <c r="E75" s="38" t="s">
        <v>382</v>
      </c>
      <c r="F75" s="255"/>
      <c r="G75" s="251"/>
      <c r="H75" s="39"/>
      <c r="I75" s="39"/>
      <c r="J75" s="1574"/>
      <c r="K75" s="2215">
        <f>IF(H77="非个人房产","",4)</f>
        <v>4</v>
      </c>
      <c r="L75" s="4101" t="str">
        <f>IF(H77="非个人房产","——","个人所得税")</f>
        <v>个人所得税</v>
      </c>
      <c r="M75" s="4101"/>
      <c r="N75" s="1032">
        <f>D77</f>
        <v>0</v>
      </c>
      <c r="O75" s="1465" t="str">
        <f>E77</f>
        <v>差额计税</v>
      </c>
      <c r="P75" s="1033">
        <f>F77</f>
        <v>0.01</v>
      </c>
      <c r="Q75" s="1567"/>
      <c r="R75" s="1567"/>
      <c r="S75" s="1567"/>
      <c r="T75" s="1567"/>
      <c r="U75" s="1567"/>
      <c r="V75" s="1567"/>
    </row>
    <row r="76" spans="1:22" ht="24.75">
      <c r="A76" s="249" t="s">
        <v>361</v>
      </c>
      <c r="B76" s="4048" t="s">
        <v>384</v>
      </c>
      <c r="C76" s="4049"/>
      <c r="D76" s="252" t="e">
        <f ca="1">IF(H76="转让取得",C99,C115)</f>
        <v>#REF!</v>
      </c>
      <c r="E76" s="14" t="s">
        <v>385</v>
      </c>
      <c r="F76" s="50" t="s">
        <v>15</v>
      </c>
      <c r="G76" s="251"/>
      <c r="H76" s="253"/>
      <c r="I76" s="39"/>
      <c r="J76" s="1574"/>
      <c r="K76" s="2215" t="str">
        <f>IF(项目基本情况!K6="上海银行",IF(K75="",4,K75+1),"")</f>
        <v/>
      </c>
      <c r="L76" s="4116" t="str">
        <f>IF(项目基本情况!K6="上海银行","其他处置费用","")</f>
        <v/>
      </c>
      <c r="M76" s="4117"/>
      <c r="N76" s="1028" t="str">
        <f>IF(项目基本情况!K6="上海银行",N89,"")</f>
        <v/>
      </c>
      <c r="O76" s="4118" t="str">
        <f>IF(项目基本情况!K6="上海银行","包含处置中涉及的律师、诉讼、拍卖、评估等费用","")</f>
        <v/>
      </c>
      <c r="P76" s="4119"/>
      <c r="Q76" s="1567"/>
      <c r="R76" s="1567"/>
      <c r="S76" s="1567"/>
      <c r="T76" s="1567"/>
      <c r="U76" s="1567"/>
      <c r="V76" s="1567"/>
    </row>
    <row r="77" spans="1:22" ht="24.75" thickBot="1">
      <c r="A77" s="4103" t="s">
        <v>387</v>
      </c>
      <c r="B77" s="4104"/>
      <c r="C77" s="4104"/>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5" t="s">
        <v>379</v>
      </c>
      <c r="H77" s="2446"/>
      <c r="I77" s="2445" t="s">
        <v>2166</v>
      </c>
      <c r="J77" s="1574"/>
      <c r="K77" s="4102">
        <f>IF(AND(K75="",K76=""),4,IF(项目基本情况!K6="上海银行",K76+1,K75+1))</f>
        <v>5</v>
      </c>
      <c r="L77" s="4101" t="s">
        <v>2066</v>
      </c>
      <c r="M77" s="2220" t="s">
        <v>383</v>
      </c>
      <c r="N77" s="1034"/>
      <c r="O77" s="1035">
        <f ca="1">SUMIF(N72:N76,"&lt;9e307")</f>
        <v>0</v>
      </c>
      <c r="P77" s="1036"/>
      <c r="Q77" s="2218" t="e">
        <f ca="1">O77/N69</f>
        <v>#VALUE!</v>
      </c>
      <c r="R77" s="1567"/>
      <c r="S77" s="1567"/>
      <c r="T77" s="1567"/>
      <c r="U77" s="1567"/>
      <c r="V77" s="1567"/>
    </row>
    <row r="78" spans="1:22" ht="12" customHeight="1">
      <c r="A78" s="1037"/>
      <c r="B78" s="201"/>
      <c r="C78" s="201"/>
      <c r="D78" s="201"/>
      <c r="E78" s="39"/>
      <c r="F78" s="39"/>
      <c r="G78" s="39"/>
      <c r="H78" s="844"/>
      <c r="I78" s="201"/>
      <c r="J78" s="1574"/>
      <c r="K78" s="4102"/>
      <c r="L78" s="4101"/>
      <c r="M78" s="2220" t="s">
        <v>386</v>
      </c>
      <c r="N78" s="1034"/>
      <c r="O78" s="1035" t="str">
        <f ca="1">NUMBERSTRING(INT(O77*10000),2)&amp;"元整"</f>
        <v>零元整</v>
      </c>
      <c r="P78" s="1036"/>
      <c r="Q78" s="1567"/>
      <c r="R78" s="1567"/>
      <c r="S78" s="1567"/>
      <c r="T78" s="1567"/>
      <c r="U78" s="1567"/>
      <c r="V78" s="1567"/>
    </row>
    <row r="79" spans="1:22" ht="13.5" thickBot="1">
      <c r="A79" s="4068" t="s">
        <v>388</v>
      </c>
      <c r="B79" s="4068"/>
      <c r="C79" s="4068"/>
      <c r="D79" s="4068"/>
      <c r="E79" s="4068"/>
      <c r="F79" s="39"/>
      <c r="G79" s="39"/>
      <c r="H79" s="844"/>
      <c r="I79" s="201"/>
      <c r="J79" s="1574"/>
      <c r="K79" s="4122">
        <f>K77+1</f>
        <v>6</v>
      </c>
      <c r="L79" s="4101" t="s">
        <v>2067</v>
      </c>
      <c r="M79" s="2220" t="s">
        <v>383</v>
      </c>
      <c r="N79" s="1034"/>
      <c r="O79" s="1035" t="e">
        <f ca="1">N69-O77</f>
        <v>#VALUE!</v>
      </c>
      <c r="P79" s="1036"/>
      <c r="Q79" s="1567"/>
      <c r="R79" s="1567"/>
      <c r="S79" s="1567"/>
      <c r="T79" s="1567"/>
      <c r="U79" s="1567"/>
      <c r="V79" s="1567"/>
    </row>
    <row r="80" spans="1:22" ht="12.75">
      <c r="A80" s="4069" t="s">
        <v>389</v>
      </c>
      <c r="B80" s="4070"/>
      <c r="C80" s="835"/>
      <c r="D80" s="835" t="s">
        <v>390</v>
      </c>
      <c r="E80" s="256" t="s">
        <v>391</v>
      </c>
      <c r="F80" s="39"/>
      <c r="G80" s="39"/>
      <c r="H80" s="844"/>
      <c r="I80" s="201"/>
      <c r="J80" s="1567"/>
      <c r="K80" s="4123"/>
      <c r="L80" s="4101"/>
      <c r="M80" s="2220" t="s">
        <v>386</v>
      </c>
      <c r="N80" s="1034"/>
      <c r="O80" s="1035" t="e">
        <f ca="1">NUMBERSTRING(INT(O79*10000),2)&amp;"元整"</f>
        <v>#VALUE!</v>
      </c>
      <c r="P80" s="1036"/>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4"/>
      <c r="I81" s="201"/>
      <c r="J81" s="1567"/>
      <c r="K81" s="2215">
        <f>K79+1</f>
        <v>7</v>
      </c>
      <c r="L81" s="4099" t="s">
        <v>2068</v>
      </c>
      <c r="M81" s="4100"/>
      <c r="N81" s="1038"/>
      <c r="O81" s="1039" t="e">
        <f ca="1">ROUND(O79*10000/'数据-汇总表'!E3,0)</f>
        <v>#VALUE!</v>
      </c>
      <c r="P81" s="1040"/>
      <c r="Q81" s="1567"/>
      <c r="R81" s="1567"/>
      <c r="S81" s="1567"/>
      <c r="T81" s="1567"/>
      <c r="U81" s="1567"/>
      <c r="V81" s="1567"/>
    </row>
    <row r="82" spans="1:26" ht="13.5" thickTop="1">
      <c r="A82" s="261" t="s">
        <v>1278</v>
      </c>
      <c r="B82" s="262" t="s">
        <v>393</v>
      </c>
      <c r="C82" s="263" t="e">
        <f ca="1">D63</f>
        <v>#REF!</v>
      </c>
      <c r="D82" s="264" t="s">
        <v>13</v>
      </c>
      <c r="E82" s="265"/>
      <c r="F82" s="39"/>
      <c r="G82" s="39"/>
      <c r="H82" s="844"/>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4"/>
      <c r="I83" s="201"/>
      <c r="J83" s="1567"/>
      <c r="K83" s="4115"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4"/>
      <c r="I84" s="201"/>
      <c r="J84" s="1567"/>
      <c r="K84" s="4115"/>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4"/>
      <c r="I85" s="201"/>
      <c r="J85" s="1567"/>
      <c r="K85" s="4115"/>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4"/>
      <c r="I86" s="201"/>
      <c r="J86" s="1567"/>
      <c r="K86" s="4115"/>
      <c r="L86" s="2226" t="s">
        <v>2061</v>
      </c>
      <c r="M86" s="2216" t="e">
        <f>N69*0.5%</f>
        <v>#VALUE!</v>
      </c>
      <c r="N86" s="50" t="e">
        <f>IF(M86&gt;0.5,0.5,ROUND(M86,0))</f>
        <v>#VALUE!</v>
      </c>
      <c r="O86" s="1567" t="s">
        <v>2062</v>
      </c>
      <c r="P86" s="1567"/>
      <c r="Q86" s="1567"/>
      <c r="R86" s="1567"/>
      <c r="S86" s="1567"/>
      <c r="T86" s="1567"/>
      <c r="U86" s="1567"/>
      <c r="V86" s="1567"/>
    </row>
    <row r="87" spans="1:26" s="986" customFormat="1" ht="14.25" customHeight="1">
      <c r="A87" s="1041"/>
      <c r="B87" s="1042"/>
      <c r="C87" s="1043"/>
      <c r="D87" s="1044"/>
      <c r="E87" s="1045"/>
      <c r="F87" s="39"/>
      <c r="G87" s="39"/>
      <c r="H87" s="844"/>
      <c r="I87" s="201"/>
      <c r="J87" s="1567"/>
      <c r="K87" s="4115"/>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6" customFormat="1" ht="15" thickBot="1">
      <c r="A88" s="4094" t="s">
        <v>398</v>
      </c>
      <c r="B88" s="4095"/>
      <c r="C88" s="4095"/>
      <c r="D88" s="4095"/>
      <c r="E88" s="4095"/>
      <c r="F88" s="4095"/>
      <c r="G88" s="4095"/>
      <c r="H88" s="4095"/>
      <c r="I88" s="1047"/>
      <c r="J88" s="1575"/>
      <c r="K88" s="4115"/>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6" customFormat="1" ht="14.25">
      <c r="A89" s="4069" t="s">
        <v>389</v>
      </c>
      <c r="B89" s="4070"/>
      <c r="C89" s="835"/>
      <c r="D89" s="835" t="s">
        <v>390</v>
      </c>
      <c r="E89" s="277" t="s">
        <v>399</v>
      </c>
      <c r="F89" s="278"/>
      <c r="G89" s="278"/>
      <c r="H89" s="279"/>
      <c r="I89" s="1048"/>
      <c r="J89" s="1577"/>
      <c r="K89" s="4115"/>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6" customFormat="1" ht="14.25">
      <c r="A90" s="267" t="s">
        <v>1277</v>
      </c>
      <c r="B90" s="268" t="s">
        <v>400</v>
      </c>
      <c r="C90" s="271" t="e">
        <f ca="1">ROUND(D63/(1+'数据-取费表'!C42),0)</f>
        <v>#REF!</v>
      </c>
      <c r="D90" s="264" t="s">
        <v>13</v>
      </c>
      <c r="E90" s="832"/>
      <c r="F90" s="831"/>
      <c r="G90" s="831"/>
      <c r="H90" s="280"/>
      <c r="I90" s="1048"/>
      <c r="J90" s="1577"/>
      <c r="K90" s="1572"/>
      <c r="L90" s="1572"/>
      <c r="M90" s="1572"/>
      <c r="N90" s="1572"/>
      <c r="O90" s="1572"/>
      <c r="P90" s="1572"/>
      <c r="Q90" s="1572"/>
      <c r="R90" s="1572"/>
      <c r="S90" s="1572"/>
      <c r="T90" s="1572"/>
      <c r="U90" s="1572"/>
      <c r="V90" s="1572"/>
      <c r="W90" s="1576"/>
      <c r="X90" s="1576"/>
      <c r="Y90" s="1576"/>
      <c r="Z90" s="1576"/>
    </row>
    <row r="91" spans="1:26" s="1046" customFormat="1" ht="14.25">
      <c r="A91" s="267" t="s">
        <v>1283</v>
      </c>
      <c r="B91" s="238" t="s">
        <v>401</v>
      </c>
      <c r="C91" s="271" t="e">
        <f ca="1">C92+C96</f>
        <v>#REF!</v>
      </c>
      <c r="D91" s="264" t="s">
        <v>13</v>
      </c>
      <c r="E91" s="832"/>
      <c r="F91" s="831"/>
      <c r="G91" s="831"/>
      <c r="H91" s="280"/>
      <c r="I91" s="1048"/>
      <c r="J91" s="1577"/>
      <c r="K91" s="1572"/>
      <c r="L91" s="1572"/>
      <c r="M91" s="1572"/>
      <c r="N91" s="1572"/>
      <c r="O91" s="1572"/>
      <c r="P91" s="1572"/>
      <c r="Q91" s="1572"/>
      <c r="R91" s="1572"/>
      <c r="S91" s="1572"/>
      <c r="T91" s="1572"/>
      <c r="U91" s="1572"/>
      <c r="V91" s="1572"/>
      <c r="W91" s="1576"/>
      <c r="X91" s="1576"/>
      <c r="Y91" s="1576"/>
      <c r="Z91" s="1576"/>
    </row>
    <row r="92" spans="1:26" s="1046" customFormat="1" ht="24">
      <c r="A92" s="281" t="s">
        <v>1284</v>
      </c>
      <c r="B92" s="262" t="s">
        <v>402</v>
      </c>
      <c r="C92" s="264">
        <f>ROUND(IF(G95="2016年5月1日后购买",C93/(1+'数据-取费表'!C30)+C94+C95,C93+C94+C95),0)</f>
        <v>0</v>
      </c>
      <c r="D92" s="264" t="s">
        <v>13</v>
      </c>
      <c r="E92" s="832"/>
      <c r="F92" s="831"/>
      <c r="G92" s="831"/>
      <c r="H92" s="280"/>
      <c r="I92" s="1048"/>
      <c r="J92" s="1577"/>
      <c r="K92" s="1572"/>
      <c r="L92" s="1572"/>
      <c r="M92" s="1572"/>
      <c r="N92" s="1572"/>
      <c r="O92" s="1572"/>
      <c r="P92" s="1572"/>
      <c r="Q92" s="1572"/>
      <c r="R92" s="1572"/>
      <c r="S92" s="1572"/>
      <c r="T92" s="1572"/>
      <c r="U92" s="1572"/>
      <c r="V92" s="1572"/>
      <c r="W92" s="1576"/>
      <c r="X92" s="1576"/>
      <c r="Y92" s="1576"/>
      <c r="Z92" s="1576"/>
    </row>
    <row r="93" spans="1:26" s="1046"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6" customFormat="1" ht="24.75" customHeight="1">
      <c r="A94" s="281" t="s">
        <v>1286</v>
      </c>
      <c r="B94" s="286" t="s">
        <v>406</v>
      </c>
      <c r="C94" s="264">
        <f>IF(F93="购房发票",ROUND(C93*H93*5%,0),0)</f>
        <v>0</v>
      </c>
      <c r="D94" s="287">
        <v>0.05</v>
      </c>
      <c r="E94" s="4051" t="s">
        <v>407</v>
      </c>
      <c r="F94" s="4050"/>
      <c r="G94" s="4050"/>
      <c r="H94" s="4093"/>
      <c r="I94" s="1048"/>
      <c r="J94" s="1577"/>
      <c r="K94" s="1572"/>
      <c r="L94" s="1572"/>
      <c r="M94" s="1572"/>
      <c r="N94" s="1572"/>
      <c r="O94" s="1572"/>
      <c r="P94" s="1572"/>
      <c r="Q94" s="1572"/>
      <c r="R94" s="1572"/>
      <c r="S94" s="1572"/>
      <c r="T94" s="1572"/>
      <c r="U94" s="1572"/>
      <c r="V94" s="1572"/>
      <c r="W94" s="1576"/>
      <c r="X94" s="1576"/>
      <c r="Y94" s="1576"/>
      <c r="Z94" s="1576"/>
    </row>
    <row r="95" spans="1:26" s="1046"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40" t="str">
        <f>IF(G95="个人买卖住房","免征印花税"," ")</f>
        <v xml:space="preserve"> </v>
      </c>
      <c r="I95" s="1048"/>
      <c r="J95" s="1577"/>
      <c r="K95" s="1572"/>
      <c r="L95" s="1572"/>
      <c r="M95" s="1572"/>
      <c r="N95" s="1572"/>
      <c r="O95" s="1572"/>
      <c r="P95" s="1572"/>
      <c r="Q95" s="1572"/>
      <c r="R95" s="1572"/>
      <c r="S95" s="1572"/>
      <c r="T95" s="1572"/>
      <c r="U95" s="1572"/>
      <c r="V95" s="1572"/>
      <c r="W95" s="1576"/>
      <c r="X95" s="1576"/>
      <c r="Y95" s="1576"/>
      <c r="Z95" s="1576"/>
    </row>
    <row r="96" spans="1:26" s="1046" customFormat="1" ht="24.75" customHeight="1">
      <c r="A96" s="281" t="s">
        <v>1288</v>
      </c>
      <c r="B96" s="262" t="s">
        <v>410</v>
      </c>
      <c r="C96" s="291" t="e">
        <f ca="1">ROUND(D63*D96/(1+'数据-取费表'!C42),0)</f>
        <v>#REF!</v>
      </c>
      <c r="D96" s="292">
        <f>'数据-取费表'!B43</f>
        <v>5.000000000000001E-3</v>
      </c>
      <c r="E96" s="4085" t="s">
        <v>1696</v>
      </c>
      <c r="F96" s="4086"/>
      <c r="G96" s="4086"/>
      <c r="H96" s="4087"/>
      <c r="I96" s="1049"/>
      <c r="J96" s="1578"/>
      <c r="K96" s="1572"/>
      <c r="L96" s="1572"/>
      <c r="M96" s="1572"/>
      <c r="N96" s="1572"/>
      <c r="O96" s="1572"/>
      <c r="P96" s="1572"/>
      <c r="Q96" s="1572"/>
      <c r="R96" s="1572"/>
      <c r="S96" s="1572"/>
      <c r="T96" s="1572"/>
      <c r="U96" s="1572"/>
      <c r="V96" s="1572"/>
      <c r="W96" s="1576"/>
      <c r="X96" s="1576"/>
      <c r="Y96" s="1576"/>
      <c r="Z96" s="1576"/>
    </row>
    <row r="97" spans="1:26" s="1046" customFormat="1" ht="14.25">
      <c r="A97" s="1270" t="s">
        <v>1289</v>
      </c>
      <c r="B97" s="268" t="s">
        <v>411</v>
      </c>
      <c r="C97" s="271" t="e">
        <f ca="1">C90-C91</f>
        <v>#REF!</v>
      </c>
      <c r="D97" s="264" t="s">
        <v>13</v>
      </c>
      <c r="E97" s="832"/>
      <c r="F97" s="831"/>
      <c r="G97" s="831"/>
      <c r="H97" s="280"/>
      <c r="I97" s="1048"/>
      <c r="J97" s="1577"/>
      <c r="K97" s="1572"/>
      <c r="L97" s="1572"/>
      <c r="M97" s="1572"/>
      <c r="N97" s="1572"/>
      <c r="O97" s="1572"/>
      <c r="P97" s="1572"/>
      <c r="Q97" s="1572"/>
      <c r="R97" s="1572"/>
      <c r="S97" s="1572"/>
      <c r="T97" s="1572"/>
      <c r="U97" s="1572"/>
      <c r="V97" s="1572"/>
      <c r="W97" s="1576"/>
      <c r="X97" s="1576"/>
      <c r="Y97" s="1576"/>
      <c r="Z97" s="1576"/>
    </row>
    <row r="98" spans="1:26" s="1046" customFormat="1" ht="24">
      <c r="A98" s="1270"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1"/>
      <c r="G98" s="831"/>
      <c r="H98" s="280"/>
      <c r="I98" s="1048"/>
      <c r="J98" s="1577"/>
      <c r="K98" s="1572"/>
      <c r="L98" s="1572"/>
      <c r="M98" s="1572"/>
      <c r="N98" s="1572"/>
      <c r="O98" s="1572"/>
      <c r="P98" s="1572"/>
      <c r="Q98" s="1572"/>
      <c r="R98" s="1572"/>
      <c r="S98" s="1572"/>
      <c r="T98" s="1572"/>
      <c r="U98" s="1572"/>
      <c r="V98" s="1572"/>
      <c r="W98" s="1576"/>
      <c r="X98" s="1576"/>
      <c r="Y98" s="1576"/>
      <c r="Z98" s="1576"/>
    </row>
    <row r="99" spans="1:26" s="1046" customFormat="1" ht="24.75" thickBot="1">
      <c r="A99" s="1271"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8"/>
      <c r="J99" s="1577"/>
      <c r="K99" s="1572"/>
      <c r="L99" s="1572"/>
      <c r="M99" s="1572"/>
      <c r="N99" s="1572"/>
      <c r="O99" s="1572"/>
      <c r="P99" s="1572"/>
      <c r="Q99" s="1572"/>
      <c r="R99" s="1572"/>
      <c r="S99" s="1572"/>
      <c r="T99" s="1572"/>
      <c r="U99" s="1572"/>
      <c r="V99" s="1572"/>
      <c r="W99" s="1576"/>
      <c r="X99" s="1576"/>
      <c r="Y99" s="1576"/>
      <c r="Z99" s="1576"/>
    </row>
    <row r="100" spans="1:26" s="1046" customFormat="1" ht="7.5" customHeight="1">
      <c r="A100" s="1050"/>
      <c r="B100" s="1051"/>
      <c r="C100" s="8"/>
      <c r="D100" s="8"/>
      <c r="E100" s="1051"/>
      <c r="F100" s="1051"/>
      <c r="G100" s="1051"/>
      <c r="H100" s="1052"/>
      <c r="I100" s="1049"/>
      <c r="J100" s="1578"/>
      <c r="K100" s="1572"/>
      <c r="L100" s="1572"/>
      <c r="M100" s="1572"/>
      <c r="N100" s="1572"/>
      <c r="O100" s="1572"/>
      <c r="P100" s="1572"/>
      <c r="Q100" s="1572"/>
      <c r="R100" s="1572"/>
      <c r="S100" s="1572"/>
      <c r="T100" s="1572"/>
      <c r="U100" s="1572"/>
      <c r="V100" s="1572"/>
      <c r="W100" s="1576"/>
      <c r="X100" s="1576"/>
      <c r="Y100" s="1576"/>
      <c r="Z100" s="1576"/>
    </row>
    <row r="101" spans="1:26" s="1046" customFormat="1" ht="15" thickBot="1">
      <c r="A101" s="4094" t="s">
        <v>414</v>
      </c>
      <c r="B101" s="4095"/>
      <c r="C101" s="4095"/>
      <c r="D101" s="4095"/>
      <c r="E101" s="4095"/>
      <c r="F101" s="4095"/>
      <c r="G101" s="4095"/>
      <c r="H101" s="4095"/>
      <c r="I101" s="8"/>
      <c r="J101" s="1572"/>
      <c r="K101" s="1572"/>
      <c r="L101" s="1572"/>
      <c r="M101" s="1572"/>
      <c r="N101" s="1572"/>
      <c r="O101" s="1572"/>
      <c r="P101" s="1572"/>
      <c r="Q101" s="1572"/>
      <c r="R101" s="1572"/>
      <c r="S101" s="1572"/>
      <c r="T101" s="1572"/>
      <c r="U101" s="1572"/>
      <c r="V101" s="1572"/>
      <c r="W101" s="1576"/>
      <c r="X101" s="1576"/>
      <c r="Y101" s="1576"/>
      <c r="Z101" s="1576"/>
    </row>
    <row r="102" spans="1:26" s="1046" customFormat="1" ht="14.25">
      <c r="A102" s="4069" t="s">
        <v>389</v>
      </c>
      <c r="B102" s="4070"/>
      <c r="C102" s="835"/>
      <c r="D102" s="835"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6" customFormat="1" ht="14.25">
      <c r="A103" s="267" t="s">
        <v>1277</v>
      </c>
      <c r="B103" s="268" t="s">
        <v>400</v>
      </c>
      <c r="C103" s="271" t="e">
        <f ca="1">ROUND(D63/(1+'数据-取费表'!C42),0)</f>
        <v>#REF!</v>
      </c>
      <c r="D103" s="264" t="s">
        <v>13</v>
      </c>
      <c r="E103" s="832"/>
      <c r="F103" s="831"/>
      <c r="G103" s="831"/>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6" customFormat="1" ht="14.25">
      <c r="A104" s="267" t="s">
        <v>1283</v>
      </c>
      <c r="B104" s="238" t="s">
        <v>401</v>
      </c>
      <c r="C104" s="271" t="e">
        <f ca="1">IF(H106="仅含出让金",C105+C108+C109+C110+C111+C112,C105+C109+C110+C111+C112)</f>
        <v>#REF!</v>
      </c>
      <c r="D104" s="301"/>
      <c r="E104" s="832"/>
      <c r="F104" s="831"/>
      <c r="G104" s="831"/>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6" customFormat="1" ht="14.25">
      <c r="A105" s="281" t="s">
        <v>1284</v>
      </c>
      <c r="B105" s="262" t="s">
        <v>415</v>
      </c>
      <c r="C105" s="291">
        <f>C106+C107</f>
        <v>0</v>
      </c>
      <c r="D105" s="292"/>
      <c r="E105" s="826"/>
      <c r="F105" s="827"/>
      <c r="G105" s="827"/>
      <c r="H105" s="828"/>
      <c r="I105" s="8"/>
      <c r="J105" s="1572"/>
      <c r="K105" s="1572"/>
      <c r="L105" s="1572"/>
      <c r="M105" s="1572"/>
      <c r="N105" s="1572"/>
      <c r="O105" s="1572"/>
      <c r="P105" s="1572"/>
      <c r="Q105" s="1572"/>
      <c r="R105" s="1572"/>
      <c r="S105" s="1572"/>
      <c r="T105" s="1572"/>
      <c r="U105" s="1572"/>
      <c r="V105" s="1572"/>
      <c r="W105" s="1576"/>
      <c r="X105" s="1576"/>
      <c r="Y105" s="1576"/>
      <c r="Z105" s="1576"/>
    </row>
    <row r="106" spans="1:26" s="1046" customFormat="1" ht="14.25">
      <c r="A106" s="281" t="s">
        <v>1285</v>
      </c>
      <c r="B106" s="262" t="s">
        <v>416</v>
      </c>
      <c r="C106" s="302"/>
      <c r="D106" s="292"/>
      <c r="E106" s="303" t="s">
        <v>417</v>
      </c>
      <c r="F106" s="827"/>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6" customFormat="1" ht="14.25">
      <c r="A107" s="281" t="s">
        <v>1286</v>
      </c>
      <c r="B107" s="262" t="s">
        <v>408</v>
      </c>
      <c r="C107" s="291">
        <f>ROUND(C106*D107,0)</f>
        <v>0</v>
      </c>
      <c r="D107" s="292">
        <f>'数据-取费表'!B48+'数据-取费表'!B49</f>
        <v>3.0499999999999999E-2</v>
      </c>
      <c r="E107" s="303" t="s">
        <v>419</v>
      </c>
      <c r="F107" s="827"/>
      <c r="G107" s="827"/>
      <c r="H107" s="828"/>
      <c r="I107" s="8"/>
      <c r="J107" s="1572"/>
      <c r="K107" s="1572"/>
      <c r="L107" s="1572"/>
      <c r="M107" s="1572"/>
      <c r="N107" s="1572"/>
      <c r="O107" s="1572"/>
      <c r="P107" s="1572"/>
      <c r="Q107" s="1572"/>
      <c r="R107" s="1572"/>
      <c r="S107" s="1572"/>
      <c r="T107" s="1572"/>
      <c r="U107" s="1572"/>
      <c r="V107" s="1572"/>
      <c r="W107" s="1576"/>
      <c r="X107" s="1576"/>
      <c r="Y107" s="1576"/>
      <c r="Z107" s="1576"/>
    </row>
    <row r="108" spans="1:26" s="1046" customFormat="1" ht="14.25">
      <c r="A108" s="281" t="s">
        <v>1288</v>
      </c>
      <c r="B108" s="262" t="s">
        <v>420</v>
      </c>
      <c r="C108" s="302"/>
      <c r="D108" s="292"/>
      <c r="E108" s="303" t="str">
        <f>IF(H106="-","土地取得成本中已包含该笔费用"," ")</f>
        <v xml:space="preserve"> </v>
      </c>
      <c r="F108" s="827"/>
      <c r="G108" s="4045" t="s">
        <v>2158</v>
      </c>
      <c r="H108" s="4046"/>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6" customFormat="1" ht="24" customHeight="1">
      <c r="A109" s="1272" t="s">
        <v>1292</v>
      </c>
      <c r="B109" s="262" t="s">
        <v>421</v>
      </c>
      <c r="C109" s="291">
        <f>IF(H109="——",IF(F1="现房",'剩余法-现房'!C18,0),I109)</f>
        <v>0</v>
      </c>
      <c r="D109" s="292"/>
      <c r="E109" s="4088" t="s">
        <v>422</v>
      </c>
      <c r="F109" s="4086"/>
      <c r="G109" s="4086"/>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6" customFormat="1" ht="25.5" customHeight="1">
      <c r="A110" s="1272" t="s">
        <v>1293</v>
      </c>
      <c r="B110" s="262" t="s">
        <v>423</v>
      </c>
      <c r="C110" s="291">
        <f>ROUND((C105+C108+C109)*D110,0)</f>
        <v>0</v>
      </c>
      <c r="D110" s="2686">
        <v>0</v>
      </c>
      <c r="E110" s="4088" t="s">
        <v>424</v>
      </c>
      <c r="F110" s="4086"/>
      <c r="G110" s="4086"/>
      <c r="H110" s="4087"/>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6" customFormat="1" ht="25.5" customHeight="1">
      <c r="A111" s="1272" t="s">
        <v>1294</v>
      </c>
      <c r="B111" s="262" t="s">
        <v>410</v>
      </c>
      <c r="C111" s="291" t="e">
        <f ca="1">ROUND(D63*D111/(1+'数据-取费表'!C42),0)</f>
        <v>#REF!</v>
      </c>
      <c r="D111" s="292">
        <f>'数据-取费表'!B43</f>
        <v>5.000000000000001E-3</v>
      </c>
      <c r="E111" s="4085" t="s">
        <v>1696</v>
      </c>
      <c r="F111" s="4086"/>
      <c r="G111" s="4086"/>
      <c r="H111" s="4087"/>
      <c r="I111" s="8"/>
      <c r="J111" s="1572"/>
      <c r="K111" s="1572"/>
      <c r="L111" s="1572"/>
      <c r="M111" s="1572"/>
      <c r="N111" s="1572"/>
      <c r="O111" s="1572"/>
      <c r="P111" s="1572"/>
      <c r="Q111" s="1572"/>
      <c r="R111" s="1572"/>
      <c r="S111" s="1572"/>
      <c r="T111" s="1572"/>
      <c r="U111" s="1572"/>
      <c r="V111" s="1572"/>
      <c r="W111" s="1576"/>
      <c r="X111" s="1576"/>
      <c r="Y111" s="1576"/>
      <c r="Z111" s="1576"/>
    </row>
    <row r="112" spans="1:26" s="1046" customFormat="1" ht="25.5" customHeight="1">
      <c r="A112" s="1272" t="s">
        <v>1295</v>
      </c>
      <c r="B112" s="262" t="s">
        <v>425</v>
      </c>
      <c r="C112" s="291">
        <f>ROUND(C108*D112,0)</f>
        <v>0</v>
      </c>
      <c r="D112" s="292">
        <v>0.2</v>
      </c>
      <c r="E112" s="4088" t="s">
        <v>1715</v>
      </c>
      <c r="F112" s="4086"/>
      <c r="G112" s="4086"/>
      <c r="H112" s="4087"/>
      <c r="I112" s="8"/>
      <c r="J112" s="1572"/>
      <c r="K112" s="1572"/>
      <c r="L112" s="1572"/>
      <c r="M112" s="1572"/>
      <c r="N112" s="1572"/>
      <c r="O112" s="1572"/>
      <c r="P112" s="1572"/>
      <c r="Q112" s="1572"/>
      <c r="R112" s="1572"/>
      <c r="S112" s="1572"/>
      <c r="T112" s="1572"/>
      <c r="U112" s="1572"/>
      <c r="V112" s="1572"/>
      <c r="W112" s="1576"/>
      <c r="X112" s="1576"/>
      <c r="Y112" s="1576"/>
      <c r="Z112" s="1576"/>
    </row>
    <row r="113" spans="1:26" s="1046" customFormat="1" ht="14.25">
      <c r="A113" s="1270" t="s">
        <v>1289</v>
      </c>
      <c r="B113" s="268" t="s">
        <v>411</v>
      </c>
      <c r="C113" s="271" t="e">
        <f ca="1">ROUND(C103-C104,0)</f>
        <v>#REF!</v>
      </c>
      <c r="D113" s="264" t="s">
        <v>13</v>
      </c>
      <c r="E113" s="832"/>
      <c r="F113" s="831"/>
      <c r="G113" s="831"/>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6" customFormat="1" ht="24">
      <c r="A114" s="1270"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1"/>
      <c r="G114" s="831"/>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6" customFormat="1" ht="24.75" thickBot="1">
      <c r="A115" s="1271"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0F00-000000000000}">
      <formula1>估价方法</formula1>
    </dataValidation>
    <dataValidation type="list" allowBlank="1" showInputMessage="1" showErrorMessage="1" sqref="H73:H74" xr:uid="{00000000-0002-0000-0F00-000001000000}">
      <formula1>"个人住宅,正常"</formula1>
    </dataValidation>
    <dataValidation type="list" allowBlank="1" showInputMessage="1" showErrorMessage="1" sqref="H66" xr:uid="{00000000-0002-0000-0F00-000002000000}">
      <formula1>"情况1,情况2,情况3,情况4"</formula1>
    </dataValidation>
    <dataValidation type="list" allowBlank="1" showInputMessage="1" showErrorMessage="1" sqref="H76" xr:uid="{00000000-0002-0000-0F00-000003000000}">
      <formula1>"转让取得,自行开发建设"</formula1>
    </dataValidation>
    <dataValidation type="list" allowBlank="1" showInputMessage="1" showErrorMessage="1" sqref="F63" xr:uid="{00000000-0002-0000-0F00-000004000000}">
      <formula1>"100%,70%,56%"</formula1>
    </dataValidation>
    <dataValidation type="list" allowBlank="1" showInputMessage="1" showErrorMessage="1" sqref="H106" xr:uid="{00000000-0002-0000-0F00-000005000000}">
      <formula1>"仅含出让金,出让金+开发费"</formula1>
    </dataValidation>
    <dataValidation type="list" allowBlank="1" showInputMessage="1" showErrorMessage="1" sqref="G95" xr:uid="{00000000-0002-0000-0F00-000006000000}">
      <formula1>"个人买卖住房,,2016年5月1日前购买,2016年5月1日后购买"</formula1>
    </dataValidation>
    <dataValidation type="list" allowBlank="1" showInputMessage="1" showErrorMessage="1" sqref="F93" xr:uid="{00000000-0002-0000-0F00-000007000000}">
      <formula1>"买卖合同,购房发票"</formula1>
    </dataValidation>
    <dataValidation type="list" allowBlank="1" showInputMessage="1" showErrorMessage="1" sqref="H33" xr:uid="{00000000-0002-0000-0F00-000008000000}">
      <formula1>"同一抵押权人同一抵押物续贷,注销后放款,正常操作"</formula1>
    </dataValidation>
    <dataValidation type="list" allowBlank="1" showInputMessage="1" showErrorMessage="1" sqref="C47" xr:uid="{00000000-0002-0000-0F00-000009000000}">
      <formula1>"无,有"</formula1>
    </dataValidation>
    <dataValidation type="list" allowBlank="1" showInputMessage="1" showErrorMessage="1" sqref="B25" xr:uid="{00000000-0002-0000-0F00-00000A000000}">
      <formula1>"楼面地价,单位面积地价"</formula1>
    </dataValidation>
    <dataValidation type="list" allowBlank="1" showInputMessage="1" showErrorMessage="1" sqref="L42" xr:uid="{00000000-0002-0000-0F00-00000B000000}">
      <formula1>"估价结果/万元,估价结果/（元/平方米）"</formula1>
    </dataValidation>
    <dataValidation type="list" allowBlank="1" showInputMessage="1" showErrorMessage="1" sqref="O42" xr:uid="{00000000-0002-0000-0F00-00000C000000}">
      <formula1>"最终结果/万元,最终结果/（元/平方米）"</formula1>
    </dataValidation>
    <dataValidation type="list" allowBlank="1" showInputMessage="1" showErrorMessage="1" sqref="N42" xr:uid="{00000000-0002-0000-0F00-00000D000000}">
      <formula1>"测算结果/万元,测算结果/（元/平方米）"</formula1>
    </dataValidation>
    <dataValidation type="list" allowBlank="1" showInputMessage="1" showErrorMessage="1" sqref="D1" xr:uid="{00000000-0002-0000-0F00-00000E000000}">
      <formula1>"项目局部,项目全部"</formula1>
    </dataValidation>
    <dataValidation type="list" showInputMessage="1" showErrorMessage="1" sqref="F1" xr:uid="{00000000-0002-0000-0F00-00000F000000}">
      <formula1>"土地,现房"</formula1>
    </dataValidation>
    <dataValidation type="list" allowBlank="1" showInputMessage="1" showErrorMessage="1" sqref="H109" xr:uid="{00000000-0002-0000-0F00-000010000000}">
      <formula1>"企业提供(在右侧录入),——"</formula1>
    </dataValidation>
    <dataValidation type="list" allowBlank="1" showInputMessage="1" showErrorMessage="1" sqref="G43" xr:uid="{00000000-0002-0000-0F00-000011000000}">
      <formula1>"设定,——"</formula1>
    </dataValidation>
    <dataValidation type="list" allowBlank="1" showInputMessage="1" showErrorMessage="1" sqref="A43" xr:uid="{00000000-0002-0000-0F00-000012000000}">
      <formula1>"2.估价师知悉的法定优先受偿款,2.估价师知悉的除抵押担保权以外的法定优先受偿款,——"</formula1>
    </dataValidation>
    <dataValidation type="list" allowBlank="1" showInputMessage="1" showErrorMessage="1" sqref="H77" xr:uid="{00000000-0002-0000-0F00-000013000000}">
      <formula1>"非个人房产,个人住宅（满五唯一有凭证）,个人其他（有凭证）,个人其他（无凭证）"</formula1>
    </dataValidation>
    <dataValidation type="list" allowBlank="1" showInputMessage="1" showErrorMessage="1" sqref="D110" xr:uid="{00000000-0002-0000-0F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26"/>
  <sheetViews>
    <sheetView workbookViewId="0">
      <selection activeCell="I26" sqref="I26"/>
    </sheetView>
  </sheetViews>
  <sheetFormatPr defaultColWidth="9" defaultRowHeight="15.75"/>
  <cols>
    <col min="1" max="1" width="10.75" style="3872" customWidth="1"/>
    <col min="2" max="2" width="8.25" style="3872" customWidth="1"/>
    <col min="3" max="3" width="10.125" style="3872" customWidth="1"/>
    <col min="4" max="4" width="12.375" style="3872" customWidth="1"/>
    <col min="5" max="5" width="7.625" style="3872" customWidth="1"/>
    <col min="6" max="6" width="7.75" style="3872" customWidth="1"/>
    <col min="7" max="7" width="6.125" style="3872" customWidth="1"/>
    <col min="8" max="8" width="9.875" style="3872" customWidth="1"/>
    <col min="9" max="9" width="14.5" style="3874" customWidth="1"/>
    <col min="10" max="10" width="8.5" style="3874" customWidth="1"/>
    <col min="11" max="11" width="7.75" style="3875" customWidth="1"/>
    <col min="12" max="12" width="10.875" style="3872" customWidth="1"/>
    <col min="13" max="14" width="22.75" style="3872" bestFit="1" customWidth="1"/>
    <col min="15" max="16384" width="9" style="3872"/>
  </cols>
  <sheetData>
    <row r="1" spans="1:14" s="3827" customFormat="1" ht="14.25">
      <c r="A1" s="4127" t="s">
        <v>3223</v>
      </c>
      <c r="B1" s="4127"/>
      <c r="C1" s="4127"/>
      <c r="D1" s="4127"/>
      <c r="E1" s="4127"/>
      <c r="F1" s="4127"/>
      <c r="G1" s="4127"/>
      <c r="H1" s="4127"/>
      <c r="I1" s="4128"/>
      <c r="J1" s="4127"/>
      <c r="K1" s="4128"/>
    </row>
    <row r="2" spans="1:14" s="3827" customFormat="1" ht="36">
      <c r="A2" s="3828" t="s">
        <v>3188</v>
      </c>
      <c r="B2" s="3829" t="s">
        <v>3189</v>
      </c>
      <c r="C2" s="3830" t="s">
        <v>3190</v>
      </c>
      <c r="D2" s="3831" t="s">
        <v>3191</v>
      </c>
      <c r="E2" s="3831" t="s">
        <v>3192</v>
      </c>
      <c r="F2" s="3831" t="s">
        <v>3193</v>
      </c>
      <c r="G2" s="3831" t="s">
        <v>2585</v>
      </c>
      <c r="H2" s="3831" t="s">
        <v>3194</v>
      </c>
      <c r="I2" s="3831" t="s">
        <v>3195</v>
      </c>
      <c r="J2" s="3832" t="s">
        <v>3196</v>
      </c>
      <c r="K2" s="3833" t="s">
        <v>3197</v>
      </c>
    </row>
    <row r="3" spans="1:14" s="3837" customFormat="1" ht="10.5" hidden="1">
      <c r="A3" s="3831" t="s">
        <v>2631</v>
      </c>
      <c r="B3" s="3834">
        <f>[2]基准地价住宅!C6</f>
        <v>0</v>
      </c>
      <c r="C3" s="3834">
        <f>[2]基准地价住宅!C13</f>
        <v>1</v>
      </c>
      <c r="D3" s="3834" t="e">
        <f>[2]基准地价住宅!C20</f>
        <v>#DIV/0!</v>
      </c>
      <c r="E3" s="3834">
        <f>[2]基准地价住宅!C22</f>
        <v>1</v>
      </c>
      <c r="F3" s="3834">
        <f>[2]基准地价住宅!C23</f>
        <v>1.0677000000000001</v>
      </c>
      <c r="G3" s="3834">
        <f>[2]基准地价住宅!C24</f>
        <v>0</v>
      </c>
      <c r="H3" s="3834">
        <f>[2]基准地价住宅!C25</f>
        <v>0</v>
      </c>
      <c r="I3" s="3834">
        <f>[2]基准地价住宅!C28</f>
        <v>1.0170999999999999</v>
      </c>
      <c r="J3" s="3835" t="e">
        <f>ROUND((B3*C3+D3)*E3*F3*G3*H3*I3,0)</f>
        <v>#DIV/0!</v>
      </c>
      <c r="K3" s="3836" t="e">
        <f t="shared" ref="K3:K10" si="0">J3*0.25</f>
        <v>#DIV/0!</v>
      </c>
    </row>
    <row r="4" spans="1:14" s="3837" customFormat="1" ht="10.5">
      <c r="A4" s="3831" t="s">
        <v>3222</v>
      </c>
      <c r="B4" s="3834">
        <f>'基准地价-商业'!C6</f>
        <v>0</v>
      </c>
      <c r="C4" s="3834">
        <f>'基准地价-商业'!C7*'基准地价-商业'!C17</f>
        <v>0.8</v>
      </c>
      <c r="D4" s="3834" t="e">
        <f>'基准地价-商业'!C20</f>
        <v>#DIV/0!</v>
      </c>
      <c r="E4" s="3834">
        <f>'基准地价-商业'!C22</f>
        <v>1</v>
      </c>
      <c r="F4" s="3834">
        <f>'基准地价-商业'!C23</f>
        <v>1.038</v>
      </c>
      <c r="G4" s="3834" t="e">
        <f>'基准地价-商业'!C24</f>
        <v>#DIV/0!</v>
      </c>
      <c r="H4" s="3834">
        <f>'基准地价-商业'!C25</f>
        <v>0</v>
      </c>
      <c r="I4" s="3834">
        <f>'基准地价-商业'!C28</f>
        <v>1</v>
      </c>
      <c r="J4" s="3835" t="e">
        <f t="shared" ref="J4:J5" si="1">ROUND((B4*C4+D4)*E4*F4*G4*H4*I4,0)</f>
        <v>#DIV/0!</v>
      </c>
      <c r="K4" s="3836" t="e">
        <f t="shared" si="0"/>
        <v>#DIV/0!</v>
      </c>
    </row>
    <row r="5" spans="1:14" s="3837" customFormat="1" ht="10.5">
      <c r="A5" s="3831" t="s">
        <v>2701</v>
      </c>
      <c r="B5" s="3834">
        <f>'基准地价-办公'!C6</f>
        <v>8700</v>
      </c>
      <c r="C5" s="3834">
        <f>'基准地价-办公'!C7*'基准地价-办公'!C12*'基准地价-办公'!C17</f>
        <v>0.84000000000000008</v>
      </c>
      <c r="D5" s="3834">
        <f>'基准地价-办公'!C20</f>
        <v>-6</v>
      </c>
      <c r="E5" s="3838">
        <f>'基准地价-办公'!C22</f>
        <v>1</v>
      </c>
      <c r="F5" s="3838">
        <f>'基准地价-办公'!C23</f>
        <v>1.0273000000000001</v>
      </c>
      <c r="G5" s="3838" t="e">
        <f>'基准地价-办公'!C24</f>
        <v>#DIV/0!</v>
      </c>
      <c r="H5" s="3838">
        <f>'基准地价-办公'!C25</f>
        <v>1.0092000000000001</v>
      </c>
      <c r="I5" s="3838">
        <f>'基准地价-办公'!C28</f>
        <v>1.0310999999999999</v>
      </c>
      <c r="J5" s="3835" t="e">
        <f t="shared" si="1"/>
        <v>#DIV/0!</v>
      </c>
      <c r="K5" s="3836" t="e">
        <f t="shared" si="0"/>
        <v>#DIV/0!</v>
      </c>
    </row>
    <row r="6" spans="1:14" s="3827" customFormat="1" ht="14.25">
      <c r="A6" s="4129" t="s">
        <v>3199</v>
      </c>
      <c r="B6" s="4129"/>
      <c r="C6" s="4129"/>
      <c r="D6" s="4129"/>
      <c r="E6" s="4129"/>
      <c r="F6" s="4129"/>
      <c r="G6" s="4129"/>
      <c r="H6" s="4129"/>
      <c r="I6" s="4129"/>
      <c r="J6" s="4129" t="s">
        <v>3200</v>
      </c>
      <c r="K6" s="4129"/>
    </row>
    <row r="7" spans="1:14" s="3827" customFormat="1" ht="27">
      <c r="A7" s="3828" t="s">
        <v>3201</v>
      </c>
      <c r="B7" s="3830" t="s">
        <v>3202</v>
      </c>
      <c r="C7" s="3829" t="s">
        <v>3203</v>
      </c>
      <c r="D7" s="3829" t="s">
        <v>3204</v>
      </c>
      <c r="E7" s="3829" t="s">
        <v>3205</v>
      </c>
      <c r="F7" s="3829" t="s">
        <v>3206</v>
      </c>
      <c r="G7" s="3829" t="s">
        <v>3207</v>
      </c>
      <c r="H7" s="3829" t="s">
        <v>3208</v>
      </c>
      <c r="I7" s="3829" t="s">
        <v>3209</v>
      </c>
      <c r="J7" s="3839" t="s">
        <v>3196</v>
      </c>
      <c r="K7" s="3840" t="s">
        <v>3197</v>
      </c>
    </row>
    <row r="8" spans="1:14" s="3846" customFormat="1" ht="14.25" hidden="1">
      <c r="A8" s="3831" t="s">
        <v>2631</v>
      </c>
      <c r="B8" s="3841">
        <f>'[2]剩余法住宅(待)'!C8</f>
        <v>27463</v>
      </c>
      <c r="C8" s="3842">
        <f>H8</f>
        <v>0</v>
      </c>
      <c r="D8" s="3841">
        <v>0</v>
      </c>
      <c r="E8" s="3841">
        <v>0</v>
      </c>
      <c r="F8" s="3841">
        <v>0</v>
      </c>
      <c r="G8" s="3841">
        <v>0</v>
      </c>
      <c r="H8" s="3842">
        <f>'[2]数据-汇总表'!F19</f>
        <v>0</v>
      </c>
      <c r="I8" s="3843">
        <f>B8</f>
        <v>27463</v>
      </c>
      <c r="J8" s="3844" t="e">
        <f>'[2]剩余法住宅(待)'!B3</f>
        <v>#DIV/0!</v>
      </c>
      <c r="K8" s="3845" t="e">
        <f t="shared" si="0"/>
        <v>#DIV/0!</v>
      </c>
    </row>
    <row r="9" spans="1:14" s="3846" customFormat="1" ht="14.25">
      <c r="A9" s="3831" t="str">
        <f>A4</f>
        <v>商业</v>
      </c>
      <c r="B9" s="3841">
        <f ca="1">'不动产收益法-商业'!C43</f>
        <v>11832</v>
      </c>
      <c r="C9" s="3847">
        <f>'数据-汇总表'!E20</f>
        <v>0</v>
      </c>
      <c r="D9" s="3841">
        <v>0</v>
      </c>
      <c r="E9" s="3841">
        <v>0</v>
      </c>
      <c r="F9" s="3841">
        <v>0</v>
      </c>
      <c r="G9" s="3841">
        <v>0</v>
      </c>
      <c r="H9" s="3847">
        <f>C9</f>
        <v>0</v>
      </c>
      <c r="I9" s="3843">
        <f t="shared" ref="I9:I10" ca="1" si="2">B9</f>
        <v>11832</v>
      </c>
      <c r="J9" s="3844" t="e">
        <f ca="1">'剩余法（待）-商业'!B3</f>
        <v>#N/A</v>
      </c>
      <c r="K9" s="3845" t="e">
        <f t="shared" ca="1" si="0"/>
        <v>#N/A</v>
      </c>
    </row>
    <row r="10" spans="1:14" s="3827" customFormat="1" ht="14.25">
      <c r="A10" s="3831" t="str">
        <f>A5</f>
        <v>办公</v>
      </c>
      <c r="B10" s="3841">
        <f ca="1">'不动产收益法-科研'!C43</f>
        <v>11759</v>
      </c>
      <c r="C10" s="3848">
        <v>0</v>
      </c>
      <c r="D10" s="3849">
        <v>0</v>
      </c>
      <c r="E10" s="3848">
        <v>0</v>
      </c>
      <c r="F10" s="3848">
        <v>0</v>
      </c>
      <c r="G10" s="3848">
        <v>0</v>
      </c>
      <c r="H10" s="3848">
        <v>0</v>
      </c>
      <c r="I10" s="3843">
        <f t="shared" ca="1" si="2"/>
        <v>11759</v>
      </c>
      <c r="J10" s="3844">
        <f ca="1">'剩余法（待）-科研'!B3</f>
        <v>4535</v>
      </c>
      <c r="K10" s="3845">
        <f t="shared" ca="1" si="0"/>
        <v>1133.75</v>
      </c>
    </row>
    <row r="11" spans="1:14" s="3827" customFormat="1" ht="27" hidden="1">
      <c r="A11" s="3828" t="s">
        <v>3201</v>
      </c>
      <c r="B11" s="3830" t="s">
        <v>3210</v>
      </c>
      <c r="C11" s="3829" t="s">
        <v>3203</v>
      </c>
      <c r="D11" s="3829" t="s">
        <v>3204</v>
      </c>
      <c r="E11" s="3829" t="s">
        <v>3205</v>
      </c>
      <c r="F11" s="3829" t="s">
        <v>3206</v>
      </c>
      <c r="G11" s="3829" t="s">
        <v>3207</v>
      </c>
      <c r="H11" s="3829" t="s">
        <v>3208</v>
      </c>
      <c r="I11" s="3829" t="s">
        <v>3209</v>
      </c>
      <c r="J11" s="3839" t="s">
        <v>3196</v>
      </c>
      <c r="K11" s="3840" t="s">
        <v>3197</v>
      </c>
    </row>
    <row r="12" spans="1:14" s="3846" customFormat="1" ht="14.25" hidden="1">
      <c r="A12" s="3831" t="s">
        <v>2631</v>
      </c>
      <c r="B12" s="3841" t="str">
        <f>'[2]剩余法住宅(待)'!C12</f>
        <v>总额</v>
      </c>
      <c r="C12" s="3842">
        <f>C8</f>
        <v>0</v>
      </c>
      <c r="D12" s="3841">
        <v>0</v>
      </c>
      <c r="E12" s="3841">
        <v>0</v>
      </c>
      <c r="F12" s="3841">
        <v>0</v>
      </c>
      <c r="G12" s="3841">
        <v>0</v>
      </c>
      <c r="H12" s="3842">
        <f>H8</f>
        <v>0</v>
      </c>
      <c r="I12" s="3843" t="str">
        <f>B12</f>
        <v>总额</v>
      </c>
      <c r="J12" s="3844">
        <f>'[2]剩余法住宅(待)'!B6</f>
        <v>0</v>
      </c>
      <c r="K12" s="3845">
        <f t="shared" ref="K12:K14" si="3">J12*0.25</f>
        <v>0</v>
      </c>
    </row>
    <row r="13" spans="1:14" s="3846" customFormat="1" ht="14.25" hidden="1">
      <c r="A13" s="3831" t="s">
        <v>3198</v>
      </c>
      <c r="B13" s="3841" t="str">
        <f>'[2]剩余法商业(待)'!C12</f>
        <v>总额</v>
      </c>
      <c r="C13" s="3847">
        <v>0</v>
      </c>
      <c r="D13" s="3841">
        <v>0</v>
      </c>
      <c r="E13" s="3841">
        <v>0</v>
      </c>
      <c r="F13" s="3841">
        <v>0</v>
      </c>
      <c r="G13" s="3841">
        <v>0</v>
      </c>
      <c r="H13" s="3847">
        <v>0</v>
      </c>
      <c r="I13" s="3843" t="str">
        <f t="shared" ref="I13:I14" si="4">B13</f>
        <v>总额</v>
      </c>
      <c r="J13" s="3844">
        <f>'[2]剩余法商业(待)'!B6</f>
        <v>0</v>
      </c>
      <c r="K13" s="3845">
        <f t="shared" si="3"/>
        <v>0</v>
      </c>
    </row>
    <row r="14" spans="1:14" s="3827" customFormat="1" ht="14.25" hidden="1">
      <c r="A14" s="3831" t="s">
        <v>3099</v>
      </c>
      <c r="B14" s="3841" t="str">
        <f>'[2]剩余法办公(待)'!C12</f>
        <v>总额</v>
      </c>
      <c r="C14" s="3848">
        <f>H14</f>
        <v>0</v>
      </c>
      <c r="D14" s="3849">
        <v>0</v>
      </c>
      <c r="E14" s="3848">
        <v>0</v>
      </c>
      <c r="F14" s="3848">
        <v>0</v>
      </c>
      <c r="G14" s="3848">
        <v>0</v>
      </c>
      <c r="H14" s="3848">
        <f>'[2]数据-汇总表'!F24</f>
        <v>0</v>
      </c>
      <c r="I14" s="3843" t="str">
        <f t="shared" si="4"/>
        <v>总额</v>
      </c>
      <c r="J14" s="3844">
        <f>'[2]剩余法办公(待)'!B6</f>
        <v>0</v>
      </c>
      <c r="K14" s="3845">
        <f t="shared" si="3"/>
        <v>0</v>
      </c>
    </row>
    <row r="15" spans="1:14" s="3827" customFormat="1" ht="18">
      <c r="A15" s="3850" t="s">
        <v>3211</v>
      </c>
      <c r="B15" s="3851" t="s">
        <v>3212</v>
      </c>
      <c r="C15" s="3851" t="s">
        <v>3213</v>
      </c>
      <c r="D15" s="3851" t="s">
        <v>3214</v>
      </c>
      <c r="E15" s="3851" t="s">
        <v>3213</v>
      </c>
      <c r="F15" s="3851"/>
      <c r="G15" s="3851"/>
      <c r="H15" s="3851" t="s">
        <v>3215</v>
      </c>
      <c r="I15" s="3851" t="s">
        <v>3216</v>
      </c>
      <c r="J15" s="3851" t="s">
        <v>3217</v>
      </c>
      <c r="K15" s="3851" t="s">
        <v>3197</v>
      </c>
    </row>
    <row r="16" spans="1:14" s="3827" customFormat="1" ht="14.25" hidden="1">
      <c r="A16" s="3829" t="s">
        <v>2631</v>
      </c>
      <c r="B16" s="3852" t="e">
        <f>J3</f>
        <v>#DIV/0!</v>
      </c>
      <c r="C16" s="3853">
        <v>0.3</v>
      </c>
      <c r="D16" s="3854" t="e">
        <f>J8</f>
        <v>#DIV/0!</v>
      </c>
      <c r="E16" s="3855">
        <f>1-C16</f>
        <v>0.7</v>
      </c>
      <c r="F16" s="3849"/>
      <c r="G16" s="3855"/>
      <c r="H16" s="3856">
        <f>H8</f>
        <v>0</v>
      </c>
      <c r="I16" s="3857" t="e">
        <f>ROUND(J16*H16/10000,4)</f>
        <v>#DIV/0!</v>
      </c>
      <c r="J16" s="3844" t="e">
        <f>ROUND(B16*C16+D16*E16,0)</f>
        <v>#DIV/0!</v>
      </c>
      <c r="K16" s="3858" t="e">
        <f>ROUND(J16*0.25,0)</f>
        <v>#DIV/0!</v>
      </c>
      <c r="L16" s="3859" t="e">
        <f>K16*H16/10000</f>
        <v>#DIV/0!</v>
      </c>
      <c r="M16" s="3860">
        <v>10421</v>
      </c>
      <c r="N16" s="3860">
        <v>27463</v>
      </c>
    </row>
    <row r="17" spans="1:14" s="3827" customFormat="1" ht="14.25">
      <c r="A17" s="3831" t="str">
        <f>A4</f>
        <v>商业</v>
      </c>
      <c r="B17" s="3852" t="e">
        <f>J4</f>
        <v>#DIV/0!</v>
      </c>
      <c r="C17" s="3853">
        <v>0.3</v>
      </c>
      <c r="D17" s="3854" t="e">
        <f ca="1">J9</f>
        <v>#N/A</v>
      </c>
      <c r="E17" s="3855">
        <f t="shared" ref="E17:E18" si="5">1-C17</f>
        <v>0.7</v>
      </c>
      <c r="F17" s="3849"/>
      <c r="G17" s="3855"/>
      <c r="H17" s="3848">
        <f>H9</f>
        <v>0</v>
      </c>
      <c r="I17" s="3857" t="e">
        <f ca="1">ROUND(H17*J17/10000,4)</f>
        <v>#DIV/0!</v>
      </c>
      <c r="J17" s="3844" t="e">
        <f ca="1">ROUND(B17*C17+D17*E17,0)</f>
        <v>#DIV/0!</v>
      </c>
      <c r="K17" s="3858" t="e">
        <f ca="1">ROUND(J17*0.25,0)</f>
        <v>#DIV/0!</v>
      </c>
      <c r="L17" s="3859"/>
      <c r="M17" s="3860">
        <v>6974</v>
      </c>
      <c r="N17" s="3860">
        <v>19035</v>
      </c>
    </row>
    <row r="18" spans="1:14" s="3827" customFormat="1" ht="14.25">
      <c r="A18" s="3831" t="str">
        <f>A10</f>
        <v>办公</v>
      </c>
      <c r="B18" s="3852" t="e">
        <f>J5</f>
        <v>#DIV/0!</v>
      </c>
      <c r="C18" s="3853">
        <v>0.3</v>
      </c>
      <c r="D18" s="3854">
        <f ca="1">J10</f>
        <v>4535</v>
      </c>
      <c r="E18" s="3855">
        <f t="shared" si="5"/>
        <v>0.7</v>
      </c>
      <c r="F18" s="3849"/>
      <c r="G18" s="3855"/>
      <c r="H18" s="3848">
        <f>H10</f>
        <v>0</v>
      </c>
      <c r="I18" s="3857" t="e">
        <f ca="1">ROUND(H18*J18/10000,4)</f>
        <v>#DIV/0!</v>
      </c>
      <c r="J18" s="3844" t="e">
        <f ca="1">ROUND(B18*C18+D18*E18,0)</f>
        <v>#DIV/0!</v>
      </c>
      <c r="K18" s="3858" t="e">
        <f ca="1">ROUND(J18*0.25,0)</f>
        <v>#DIV/0!</v>
      </c>
      <c r="L18" s="3859" t="e">
        <f ca="1">K18*H18/10000</f>
        <v>#DIV/0!</v>
      </c>
      <c r="M18" s="3860">
        <v>3051</v>
      </c>
      <c r="N18" s="3860">
        <v>8220</v>
      </c>
    </row>
    <row r="19" spans="1:14" s="3827" customFormat="1" ht="14.25">
      <c r="A19" s="3861" t="s">
        <v>3216</v>
      </c>
      <c r="B19" s="3862"/>
      <c r="C19" s="3862"/>
      <c r="D19" s="3862"/>
      <c r="E19" s="3862"/>
      <c r="F19" s="3862"/>
      <c r="G19" s="3862"/>
      <c r="H19" s="3862"/>
      <c r="I19" s="3863" t="e">
        <f ca="1">I17+I18</f>
        <v>#DIV/0!</v>
      </c>
      <c r="J19" s="3862"/>
      <c r="K19" s="3864"/>
    </row>
    <row r="20" spans="1:14" s="3827" customFormat="1" ht="14.25">
      <c r="A20" s="3831" t="s">
        <v>3218</v>
      </c>
      <c r="B20" s="3865"/>
      <c r="C20" s="3865"/>
      <c r="D20" s="3865"/>
      <c r="E20" s="3865"/>
      <c r="F20" s="3865"/>
      <c r="G20" s="3865"/>
      <c r="H20" s="3865"/>
      <c r="I20" s="3857" t="e">
        <f ca="1">ROUND(K17*H17/10000,4)+ROUND(K18*H18/10000,4)</f>
        <v>#DIV/0!</v>
      </c>
      <c r="J20" s="3865"/>
      <c r="K20" s="3866"/>
    </row>
    <row r="21" spans="1:14" s="3827" customFormat="1" ht="14.25">
      <c r="A21" s="3831" t="s">
        <v>3219</v>
      </c>
      <c r="B21" s="3865"/>
      <c r="C21" s="3865"/>
      <c r="D21" s="3865"/>
      <c r="E21" s="3865"/>
      <c r="F21" s="3865"/>
      <c r="G21" s="3865"/>
      <c r="H21" s="3865"/>
      <c r="I21" s="3867">
        <v>14613.75</v>
      </c>
      <c r="J21" s="3865"/>
      <c r="K21" s="3866"/>
    </row>
    <row r="22" spans="1:14" s="3827" customFormat="1" ht="14.25">
      <c r="A22" s="3831" t="s">
        <v>3220</v>
      </c>
      <c r="B22" s="3865"/>
      <c r="C22" s="3865"/>
      <c r="D22" s="3865"/>
      <c r="E22" s="3865"/>
      <c r="F22" s="3865"/>
      <c r="G22" s="3865"/>
      <c r="H22" s="3865"/>
      <c r="I22" s="3857" t="e">
        <f ca="1">I20+I21</f>
        <v>#DIV/0!</v>
      </c>
      <c r="J22" s="3865"/>
      <c r="K22" s="3866"/>
    </row>
    <row r="23" spans="1:14" s="3868" customFormat="1" hidden="1">
      <c r="A23" s="3868" t="s">
        <v>3221</v>
      </c>
      <c r="I23" s="3869"/>
      <c r="J23" s="3869"/>
      <c r="K23" s="3870"/>
    </row>
    <row r="24" spans="1:14" hidden="1">
      <c r="A24" s="3871" t="s">
        <v>2631</v>
      </c>
      <c r="B24" s="3872" t="e">
        <f>B16/D16</f>
        <v>#DIV/0!</v>
      </c>
      <c r="C24" s="3873" t="e">
        <f>B24-1</f>
        <v>#DIV/0!</v>
      </c>
      <c r="D24" s="3872" t="e">
        <f>D16/B16</f>
        <v>#DIV/0!</v>
      </c>
      <c r="E24" s="3873" t="e">
        <f>D24-1</f>
        <v>#DIV/0!</v>
      </c>
    </row>
    <row r="25" spans="1:14" s="3877" customFormat="1">
      <c r="A25" s="3876" t="s">
        <v>3222</v>
      </c>
      <c r="B25" s="3877" t="e">
        <f ca="1">B17-D17</f>
        <v>#DIV/0!</v>
      </c>
      <c r="C25" s="3877" t="e">
        <f ca="1">B25/B17</f>
        <v>#DIV/0!</v>
      </c>
      <c r="D25" s="3877" t="e">
        <f t="shared" ref="D25:D26" ca="1" si="6">D17/B17</f>
        <v>#N/A</v>
      </c>
      <c r="E25" s="3877" t="e">
        <f t="shared" ref="E25:E26" ca="1" si="7">D25-1</f>
        <v>#N/A</v>
      </c>
      <c r="I25" s="3878"/>
      <c r="J25" s="3878"/>
      <c r="K25" s="3878"/>
    </row>
    <row r="26" spans="1:14" s="3877" customFormat="1">
      <c r="A26" s="3876" t="s">
        <v>2701</v>
      </c>
      <c r="B26" s="3877" t="e">
        <f ca="1">B18-D18</f>
        <v>#DIV/0!</v>
      </c>
      <c r="C26" s="3877" t="e">
        <f ca="1">B26/D18</f>
        <v>#DIV/0!</v>
      </c>
      <c r="D26" s="3877" t="e">
        <f t="shared" ca="1" si="6"/>
        <v>#DIV/0!</v>
      </c>
      <c r="E26" s="3877" t="e">
        <f t="shared" ca="1" si="7"/>
        <v>#DIV/0!</v>
      </c>
      <c r="I26" s="3878"/>
      <c r="J26" s="3878"/>
      <c r="K26" s="3878"/>
    </row>
  </sheetData>
  <mergeCells count="3">
    <mergeCell ref="A1:K1"/>
    <mergeCell ref="A6:I6"/>
    <mergeCell ref="J6:K6"/>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R123"/>
  <sheetViews>
    <sheetView view="pageBreakPreview" topLeftCell="A40" zoomScale="80" zoomScaleNormal="60" zoomScaleSheetLayoutView="80" workbookViewId="0">
      <selection activeCell="C51" sqref="C5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1694</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9" t="s">
        <v>848</v>
      </c>
      <c r="B2" s="870" t="e">
        <f>C30</f>
        <v>#DIV/0!</v>
      </c>
      <c r="C2" s="1110" t="s">
        <v>849</v>
      </c>
      <c r="D2" s="1111" t="s">
        <v>850</v>
      </c>
      <c r="E2" s="1112" t="s">
        <v>2645</v>
      </c>
      <c r="F2" s="1111" t="s">
        <v>852</v>
      </c>
      <c r="G2" s="1296">
        <f>IF(E2="商业",项目基本情况!B43,IF(E2="办公",项目基本情况!C43,IF(E2="住宅",项目基本情况!D43,IF(E2="工业",项目基本情况!E43,项目基本情况!F43))))</f>
        <v>0</v>
      </c>
      <c r="H2" s="1111" t="s">
        <v>854</v>
      </c>
      <c r="I2" s="1297">
        <f>IF(E2="商业",项目基本情况!B44,IF(E2="办公",项目基本情况!C44,IF(E2="住宅",项目基本情况!D44,IF(E2="工业",项目基本情况!E44,项目基本情况!F44))))</f>
        <v>0</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0</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2367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0</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t="e">
        <f>ROUND(IF(E2="商业",C6*C7*C17+C20,(IF(E2="住宅",C6*C13*C17+C20,IF(E2="办公",C6*C12*C17+C20,C6+C20)))),0)</f>
        <v>#DIV/0!</v>
      </c>
      <c r="D5" s="2245" t="e">
        <f>ROUND(C6*C17+C20,0)</f>
        <v>#DIV/0!</v>
      </c>
      <c r="E5" s="3616" t="e">
        <f>C6+C20</f>
        <v>#DIV/0!</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3100</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t="e">
        <f t="shared" si="0"/>
        <v>#DIV/0!</v>
      </c>
      <c r="U7" s="2117"/>
      <c r="V7" s="2127" t="e">
        <f t="shared" si="1"/>
        <v>#DIV/0!</v>
      </c>
      <c r="W7" s="2125" t="s">
        <v>1955</v>
      </c>
      <c r="X7" s="2118">
        <f>G2</f>
        <v>0</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3105</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'数据-汇总表'!E20</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t="e">
        <f>ROUND(IF(F21="与级别开发程度一致",0,(G21-E21)/C21),0)</f>
        <v>#DIV/0!</v>
      </c>
      <c r="D20" s="4136" t="s">
        <v>879</v>
      </c>
      <c r="E20" s="4137"/>
      <c r="F20" s="4136" t="s">
        <v>876</v>
      </c>
      <c r="G20" s="4137"/>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0</v>
      </c>
      <c r="D21" s="2302" t="str">
        <f>IF(OR(G2="八级",G2="九级",G2="十级",G2="十一级",G2="十二级"),"五通一平","七通一平")</f>
        <v>七通一平</v>
      </c>
      <c r="E21" s="2292">
        <f>SUMPRODUCT((修正!B1:M1=G2)*(修正!B17:M17))</f>
        <v>0</v>
      </c>
      <c r="F21" s="2293" t="s">
        <v>3224</v>
      </c>
      <c r="G21" s="2292">
        <f>SUM(H21:O21)</f>
        <v>0</v>
      </c>
      <c r="H21" s="876">
        <f>SUMPRODUCT((七通一平=H20)*(修正!B1:M1=G2)*(修正!B8:M16))</f>
        <v>0</v>
      </c>
      <c r="I21" s="876">
        <f>SUMPRODUCT((七通一平=I20)*(修正!B1:M1=G2)*(修正!B8:M16))</f>
        <v>0</v>
      </c>
      <c r="J21" s="876">
        <f>SUMPRODUCT((七通一平=J20)*(修正!B1:M1=G2)*(修正!B8:M16))</f>
        <v>0</v>
      </c>
      <c r="K21" s="876">
        <f>SUMPRODUCT((七通一平=K20)*(修正!B1:M1=G2)*(修正!B8:M16))</f>
        <v>0</v>
      </c>
      <c r="L21" s="876">
        <f>SUMPRODUCT((七通一平=L20)*(修正!B1:M1=G2)*(修正!B8:M16))</f>
        <v>0</v>
      </c>
      <c r="M21" s="876">
        <f>SUMPRODUCT((七通一平=M20)*(修正!B1:M1=G2)*(修正!B8:M16))</f>
        <v>0</v>
      </c>
      <c r="N21" s="876">
        <f>SUMPRODUCT((七通一平=N20)*(修正!B1:M1=G2)*(修正!B8:M16))</f>
        <v>0</v>
      </c>
      <c r="O21" s="2303">
        <f>SUMPRODUCT((七通一平=O20)*(修正!B1:M1=G2)*(修正!B8:M16))</f>
        <v>0</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1289</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1290</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907</v>
      </c>
      <c r="N30" s="1127" t="s">
        <v>908</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'数据-汇总表'!E20</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t="e">
        <f>ROUND(D5*C22*C23*C24*C28*F37,0)</f>
        <v>#DIV/0!</v>
      </c>
      <c r="D37" s="1204"/>
      <c r="E37" s="875" t="e">
        <f>ROUND(C37*D37/10000,0)</f>
        <v>#DIV/0!</v>
      </c>
      <c r="F37" s="875">
        <f>SUMIF(修正!A57:A68,G2,修正!B57:B68)</f>
        <v>0</v>
      </c>
      <c r="G37" s="875" t="e">
        <f>ROUND(IF(E2="工业",C37*$M$42,C37*$M$41),0)</f>
        <v>#DIV/0!</v>
      </c>
      <c r="H37" s="875">
        <f>D37</f>
        <v>0</v>
      </c>
      <c r="I37" s="875" t="e">
        <f>ROUND(G37*H37/10000,0)</f>
        <v>#DIV/0!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t="e">
        <f>ROUND(D5*C22*C23*C24*C28*F38,0)</f>
        <v>#DIV/0!</v>
      </c>
      <c r="D38" s="1204"/>
      <c r="E38" s="875" t="e">
        <f t="shared" ref="E38:E42" si="4">ROUND(C38*D38/10000,0)</f>
        <v>#DIV/0!</v>
      </c>
      <c r="F38" s="875">
        <f>SUMIF(修正!A57:A68,G2,修正!C57:C68)</f>
        <v>0</v>
      </c>
      <c r="G38" s="875" t="e">
        <f>ROUND(IF(E2="工业",C38*$M$42,C38*$M$41),0)</f>
        <v>#DIV/0!</v>
      </c>
      <c r="H38" s="875">
        <f t="shared" ref="H38:H42" si="5">D38</f>
        <v>0</v>
      </c>
      <c r="I38" s="875" t="e">
        <f t="shared" ref="I38:I42" si="6">ROUND(G38*H38/10000,0)</f>
        <v>#DIV/0!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t="e">
        <f>ROUND(D5*C22*C23*C24*C28*F39,0)</f>
        <v>#DIV/0!</v>
      </c>
      <c r="D39" s="1204"/>
      <c r="E39" s="875" t="e">
        <f t="shared" si="4"/>
        <v>#DIV/0!</v>
      </c>
      <c r="F39" s="875">
        <f>SUMIF(修正!A57:A68,G2,修正!D57:D68)</f>
        <v>0</v>
      </c>
      <c r="G39" s="875" t="e">
        <f>ROUND(IF(E2="工业",C39*$M$42,C39*$M$41),0)</f>
        <v>#DIV/0!</v>
      </c>
      <c r="H39" s="875">
        <f t="shared" si="5"/>
        <v>0</v>
      </c>
      <c r="I39" s="875" t="e">
        <f t="shared" si="6"/>
        <v>#DIV/0!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t="e">
        <f>ROUND(E5*C22*C23*C44*C28*F41,0)</f>
        <v>#DIV/0!</v>
      </c>
      <c r="D41" s="1204"/>
      <c r="E41" s="875" t="e">
        <f t="shared" si="4"/>
        <v>#DIV/0!</v>
      </c>
      <c r="F41" s="884">
        <f>SUMIF(修正!A57:A68,G2,修正!F57:F68)</f>
        <v>0</v>
      </c>
      <c r="G41" s="875" t="e">
        <f>ROUND(IF(E2="工业",C41*$M$42,C41*$M$41),0)</f>
        <v>#DIV/0!</v>
      </c>
      <c r="H41" s="875">
        <f t="shared" si="5"/>
        <v>0</v>
      </c>
      <c r="I41" s="875" t="e">
        <f t="shared" si="6"/>
        <v>#DIV/0!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t="e">
        <f>ROUND(E5*C22*C23*C44*C28*F42,0)</f>
        <v>#DIV/0!</v>
      </c>
      <c r="D42" s="1205"/>
      <c r="E42" s="876" t="e">
        <f t="shared" si="4"/>
        <v>#DIV/0!</v>
      </c>
      <c r="F42" s="886">
        <f>SUMIF(修正!A57:A68,G2,修正!G57:G68)</f>
        <v>0</v>
      </c>
      <c r="G42" s="876" t="e">
        <f>ROUND(IF(E2="工业",C42*$M$42,C42*$M$41),0)</f>
        <v>#DIV/0!</v>
      </c>
      <c r="H42" s="876">
        <f t="shared" si="5"/>
        <v>0</v>
      </c>
      <c r="I42" s="876" t="e">
        <f t="shared" si="6"/>
        <v>#DIV/0!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3180</v>
      </c>
      <c r="D50" s="3250">
        <f t="shared" ref="D50:D58" si="7">SUMIF($J$49:$N$49,C50,J50:N50)</f>
        <v>0</v>
      </c>
      <c r="E50" s="3251">
        <f>ROUND(SUM(D50:D58),4)</f>
        <v>0</v>
      </c>
      <c r="F50" s="3252">
        <f>IF(E2="商业",SUMIF(L1:L12,G2,N1:N12),"——")</f>
        <v>0</v>
      </c>
      <c r="G50" s="3253">
        <f>H50</f>
        <v>0</v>
      </c>
      <c r="H50" s="3254">
        <f t="shared" ref="H50:H58" si="8">IFERROR(ROUNDDOWN(($F$50*I50/2),4),"——")</f>
        <v>0</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3179</v>
      </c>
      <c r="D51" s="3250">
        <f t="shared" si="7"/>
        <v>0</v>
      </c>
      <c r="E51" s="3256"/>
      <c r="F51" s="3252"/>
      <c r="G51" s="3253">
        <f t="shared" ref="G51:G57" si="12">H51</f>
        <v>0</v>
      </c>
      <c r="H51" s="3254">
        <f t="shared" si="8"/>
        <v>0</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3179</v>
      </c>
      <c r="D52" s="3250">
        <f t="shared" si="7"/>
        <v>0</v>
      </c>
      <c r="E52" s="3256"/>
      <c r="F52" s="3252"/>
      <c r="G52" s="3253">
        <f t="shared" si="12"/>
        <v>0</v>
      </c>
      <c r="H52" s="3254">
        <f t="shared" si="8"/>
        <v>0</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3179</v>
      </c>
      <c r="D53" s="3250">
        <f t="shared" si="7"/>
        <v>0</v>
      </c>
      <c r="E53" s="3256"/>
      <c r="F53" s="3252"/>
      <c r="G53" s="3253">
        <f t="shared" si="12"/>
        <v>0</v>
      </c>
      <c r="H53" s="3254">
        <f t="shared" si="8"/>
        <v>0</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3180</v>
      </c>
      <c r="D54" s="3250">
        <f t="shared" si="7"/>
        <v>0</v>
      </c>
      <c r="E54" s="3256"/>
      <c r="F54" s="3252"/>
      <c r="G54" s="3253">
        <f t="shared" si="12"/>
        <v>0</v>
      </c>
      <c r="H54" s="3254">
        <f t="shared" si="8"/>
        <v>0</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3179</v>
      </c>
      <c r="D55" s="3250">
        <f t="shared" si="7"/>
        <v>0</v>
      </c>
      <c r="E55" s="3256"/>
      <c r="F55" s="3252"/>
      <c r="G55" s="3253">
        <f t="shared" si="12"/>
        <v>0</v>
      </c>
      <c r="H55" s="3254">
        <f t="shared" si="8"/>
        <v>0</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3180</v>
      </c>
      <c r="D56" s="3250">
        <f t="shared" si="7"/>
        <v>0</v>
      </c>
      <c r="E56" s="3256"/>
      <c r="F56" s="3252"/>
      <c r="G56" s="3253">
        <f t="shared" si="12"/>
        <v>0</v>
      </c>
      <c r="H56" s="3254">
        <f t="shared" si="8"/>
        <v>0</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3180</v>
      </c>
      <c r="D57" s="3250">
        <f t="shared" si="7"/>
        <v>0</v>
      </c>
      <c r="E57" s="3256"/>
      <c r="F57" s="3252"/>
      <c r="G57" s="3253">
        <f t="shared" si="12"/>
        <v>0</v>
      </c>
      <c r="H57" s="3254">
        <f t="shared" si="8"/>
        <v>0</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3180</v>
      </c>
      <c r="D58" s="3250">
        <f t="shared" si="7"/>
        <v>0</v>
      </c>
      <c r="E58" s="3263"/>
      <c r="F58" s="3252"/>
      <c r="G58" s="3253">
        <f>H58</f>
        <v>0</v>
      </c>
      <c r="H58" s="3254">
        <f t="shared" si="8"/>
        <v>0</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1874"/>
      <c r="L104" s="1874"/>
      <c r="M104" s="1874"/>
      <c r="N104" s="1874"/>
    </row>
    <row r="105" spans="1:36">
      <c r="A105" s="4144" t="s">
        <v>1161</v>
      </c>
      <c r="B105" s="4144" t="s">
        <v>1173</v>
      </c>
      <c r="C105" s="920" t="s">
        <v>1174</v>
      </c>
      <c r="D105" s="921"/>
      <c r="E105" s="921"/>
      <c r="F105" s="921"/>
      <c r="G105" s="921"/>
      <c r="H105" s="921"/>
      <c r="I105" s="921"/>
      <c r="J105" s="922"/>
      <c r="K105" s="914"/>
      <c r="L105" s="914"/>
      <c r="M105" s="914"/>
      <c r="N105" s="914"/>
    </row>
    <row r="106" spans="1:36">
      <c r="A106" s="4144"/>
      <c r="B106" s="4144"/>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5">$I$3</f>
        <v>0</v>
      </c>
      <c r="E112" s="925">
        <f t="shared" si="35"/>
        <v>0</v>
      </c>
      <c r="F112" s="925">
        <f t="shared" si="35"/>
        <v>0</v>
      </c>
      <c r="G112" s="925">
        <f t="shared" si="35"/>
        <v>0</v>
      </c>
      <c r="H112" s="925">
        <f t="shared" si="35"/>
        <v>0</v>
      </c>
      <c r="I112" s="925">
        <f t="shared" si="35"/>
        <v>0</v>
      </c>
      <c r="J112" s="925">
        <f t="shared" si="35"/>
        <v>0</v>
      </c>
      <c r="K112" s="925">
        <f t="shared" si="35"/>
        <v>0</v>
      </c>
      <c r="L112" s="925">
        <f t="shared" si="35"/>
        <v>0</v>
      </c>
      <c r="M112" s="925">
        <f t="shared" si="35"/>
        <v>0</v>
      </c>
      <c r="N112" s="925">
        <f t="shared" si="35"/>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1872"/>
      <c r="L114" s="1872"/>
      <c r="M114" s="1872"/>
      <c r="N114" s="1872"/>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商业</v>
      </c>
      <c r="G117" s="858" t="s">
        <v>834</v>
      </c>
      <c r="H117" s="859">
        <f>G2</f>
        <v>0</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6">I119</f>
        <v>0.8054</v>
      </c>
      <c r="K119" s="3226">
        <f t="shared" si="36"/>
        <v>0.8054</v>
      </c>
      <c r="L119" s="3226">
        <f t="shared" si="36"/>
        <v>0.8054</v>
      </c>
      <c r="M119" s="3287">
        <f t="shared" si="36"/>
        <v>0.8054</v>
      </c>
    </row>
    <row r="120" spans="1:14" ht="12.75">
      <c r="A120" s="3284" t="s">
        <v>3142</v>
      </c>
      <c r="B120" s="3226">
        <f>ROUND(0.993-0.0112*B117,4)</f>
        <v>0.96609999999999996</v>
      </c>
      <c r="C120" s="3226">
        <f>B120</f>
        <v>0.96609999999999996</v>
      </c>
      <c r="D120" s="3226">
        <f>ROUND(0.9415-0.0142*B117,4)</f>
        <v>0.90739999999999998</v>
      </c>
      <c r="E120" s="3226">
        <f t="shared" ref="E120:H121" si="37">D120</f>
        <v>0.90739999999999998</v>
      </c>
      <c r="F120" s="3226">
        <f t="shared" si="37"/>
        <v>0.90739999999999998</v>
      </c>
      <c r="G120" s="3226">
        <f t="shared" si="37"/>
        <v>0.90739999999999998</v>
      </c>
      <c r="H120" s="3226">
        <f t="shared" si="37"/>
        <v>0.90739999999999998</v>
      </c>
      <c r="I120" s="3226">
        <f>ROUND(0.838-0.0182*B117,4)</f>
        <v>0.7944</v>
      </c>
      <c r="J120" s="3226">
        <f t="shared" si="36"/>
        <v>0.7944</v>
      </c>
      <c r="K120" s="3226">
        <f t="shared" si="36"/>
        <v>0.7944</v>
      </c>
      <c r="L120" s="3226">
        <f t="shared" si="36"/>
        <v>0.7944</v>
      </c>
      <c r="M120" s="3287">
        <f t="shared" si="36"/>
        <v>0.7944</v>
      </c>
    </row>
    <row r="121" spans="1:14" ht="12.75">
      <c r="A121" s="3284" t="s">
        <v>3143</v>
      </c>
      <c r="B121" s="3226">
        <f>ROUND(0.9448-0.0115*B117,4)</f>
        <v>0.91720000000000002</v>
      </c>
      <c r="C121" s="3226">
        <f>B121</f>
        <v>0.91720000000000002</v>
      </c>
      <c r="D121" s="3226">
        <f>ROUND(0.937-0.0145*B117,4)</f>
        <v>0.9022</v>
      </c>
      <c r="E121" s="3226">
        <f t="shared" si="37"/>
        <v>0.9022</v>
      </c>
      <c r="F121" s="3226">
        <f t="shared" si="37"/>
        <v>0.9022</v>
      </c>
      <c r="G121" s="3226">
        <f t="shared" si="37"/>
        <v>0.9022</v>
      </c>
      <c r="H121" s="3226">
        <f t="shared" si="37"/>
        <v>0.9022</v>
      </c>
      <c r="I121" s="3226">
        <f>ROUND(0.7965-0.0185*B117,4)</f>
        <v>0.75209999999999999</v>
      </c>
      <c r="J121" s="3226">
        <f t="shared" si="36"/>
        <v>0.75209999999999999</v>
      </c>
      <c r="K121" s="3226">
        <f t="shared" si="36"/>
        <v>0.75209999999999999</v>
      </c>
      <c r="L121" s="3226">
        <f t="shared" si="36"/>
        <v>0.75209999999999999</v>
      </c>
      <c r="M121" s="3287">
        <f t="shared" si="36"/>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6"/>
        <v>0.54490000000000005</v>
      </c>
      <c r="K122" s="3288">
        <f t="shared" si="36"/>
        <v>0.54490000000000005</v>
      </c>
      <c r="L122" s="3288">
        <f t="shared" si="36"/>
        <v>0.54490000000000005</v>
      </c>
      <c r="M122" s="3289">
        <f t="shared" si="36"/>
        <v>0.54490000000000005</v>
      </c>
    </row>
    <row r="123" spans="1:14" ht="12.75">
      <c r="A123" s="3286" t="s">
        <v>3125</v>
      </c>
      <c r="B123" s="3226">
        <f>ROUND(0.9404-0.0106*B117,4)</f>
        <v>0.91500000000000004</v>
      </c>
      <c r="C123" s="3226">
        <f>B123</f>
        <v>0.91500000000000004</v>
      </c>
      <c r="D123" s="3226">
        <f>ROUND(0.8955-0.0135*B117,4)</f>
        <v>0.86309999999999998</v>
      </c>
      <c r="E123" s="3226">
        <f t="shared" ref="E123:H123" si="38">D123</f>
        <v>0.86309999999999998</v>
      </c>
      <c r="F123" s="3226">
        <f t="shared" si="38"/>
        <v>0.86309999999999998</v>
      </c>
      <c r="G123" s="3226">
        <f t="shared" si="38"/>
        <v>0.86309999999999998</v>
      </c>
      <c r="H123" s="3226">
        <f t="shared" si="38"/>
        <v>0.86309999999999998</v>
      </c>
      <c r="I123" s="3226">
        <f>ROUND(0.7632-0.0166*B117,4)</f>
        <v>0.72340000000000004</v>
      </c>
      <c r="J123" s="3226">
        <f t="shared" si="36"/>
        <v>0.72340000000000004</v>
      </c>
      <c r="K123" s="3226">
        <f t="shared" si="36"/>
        <v>0.72340000000000004</v>
      </c>
      <c r="L123" s="3226">
        <f t="shared" si="36"/>
        <v>0.72340000000000004</v>
      </c>
      <c r="M123" s="3287">
        <f t="shared" si="36"/>
        <v>0.72340000000000004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85" priority="7" stopIfTrue="1" operator="notEqual">
      <formula>"——"</formula>
    </cfRule>
  </conditionalFormatting>
  <conditionalFormatting sqref="F61">
    <cfRule type="cellIs" dxfId="184" priority="6" stopIfTrue="1" operator="notEqual">
      <formula>"——"</formula>
    </cfRule>
  </conditionalFormatting>
  <conditionalFormatting sqref="F72">
    <cfRule type="cellIs" dxfId="183" priority="5" stopIfTrue="1" operator="notEqual">
      <formula>"——"</formula>
    </cfRule>
  </conditionalFormatting>
  <conditionalFormatting sqref="F83">
    <cfRule type="cellIs" dxfId="182" priority="4" stopIfTrue="1" operator="notEqual">
      <formula>"——"</formula>
    </cfRule>
  </conditionalFormatting>
  <conditionalFormatting sqref="H50:H58 H72:H80 H83:H91 H93:H102 H61:H69">
    <cfRule type="cellIs" dxfId="181" priority="3" operator="notEqual">
      <formula>"——"</formula>
    </cfRule>
  </conditionalFormatting>
  <dataValidations count="12">
    <dataValidation type="list" allowBlank="1" showInputMessage="1" showErrorMessage="1" sqref="E2" xr:uid="{00000000-0002-0000-1100-000000000000}">
      <formula1>"商业,办公,住宅,工业,公共服务"</formula1>
    </dataValidation>
    <dataValidation type="list" allowBlank="1" showInputMessage="1" showErrorMessage="1" sqref="F21" xr:uid="{00000000-0002-0000-1100-000001000000}">
      <formula1>"与级别开发程度一致,与级别开发程度不一致"</formula1>
    </dataValidation>
    <dataValidation type="list" allowBlank="1" showInputMessage="1" showErrorMessage="1" sqref="B25" xr:uid="{00000000-0002-0000-1100-000002000000}">
      <formula1>"容积率修正,楼层修正"</formula1>
    </dataValidation>
    <dataValidation type="list" allowBlank="1" showInputMessage="1" showErrorMessage="1" sqref="C15:D15" xr:uid="{00000000-0002-0000-1100-000003000000}">
      <formula1>"有,无"</formula1>
    </dataValidation>
    <dataValidation type="list" allowBlank="1" showInputMessage="1" showErrorMessage="1" sqref="E15" xr:uid="{00000000-0002-0000-1100-000004000000}">
      <formula1>"500米范围内,500-1000米,1000米以外"</formula1>
    </dataValidation>
    <dataValidation type="list" allowBlank="1" showInputMessage="1" showErrorMessage="1" sqref="H23" xr:uid="{00000000-0002-0000-1100-000005000000}">
      <formula1>"地价指数,季度增幅（自定义）,按公示增长率计算"</formula1>
    </dataValidation>
    <dataValidation type="list" allowBlank="1" showInputMessage="1" showErrorMessage="1" sqref="F3" xr:uid="{00000000-0002-0000-1100-000006000000}">
      <formula1>"宗地容积率,估价对象容积率,自定义容积率"</formula1>
    </dataValidation>
    <dataValidation type="list" allowBlank="1" showInputMessage="1" showErrorMessage="1" sqref="C8" xr:uid="{00000000-0002-0000-1100-000007000000}">
      <formula1>商业街名称</formula1>
    </dataValidation>
    <dataValidation type="list" allowBlank="1" showInputMessage="1" showErrorMessage="1" sqref="E3" xr:uid="{00000000-0002-0000-1100-000008000000}">
      <formula1>二级分类</formula1>
    </dataValidation>
    <dataValidation type="list" allowBlank="1" showInputMessage="1" showErrorMessage="1" sqref="C50:C58 C61:C69 C93:C102 C72:C80 C83:C90" xr:uid="{00000000-0002-0000-1100-000009000000}">
      <formula1>五等判定</formula1>
    </dataValidation>
    <dataValidation type="list" allowBlank="1" showInputMessage="1" showErrorMessage="1" sqref="H20:O20" xr:uid="{00000000-0002-0000-1100-00000A000000}">
      <formula1>七通一平</formula1>
    </dataValidation>
    <dataValidation type="list" allowBlank="1" showInputMessage="1" showErrorMessage="1" sqref="J23" xr:uid="{00000000-0002-0000-11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R123"/>
  <sheetViews>
    <sheetView view="pageBreakPreview" zoomScale="80" zoomScaleNormal="60" zoomScaleSheetLayoutView="80" workbookViewId="0">
      <selection activeCell="G22" sqref="G22"/>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t="e">
        <f>C30</f>
        <v>#DIV/0!</v>
      </c>
      <c r="C2" s="1110" t="s">
        <v>849</v>
      </c>
      <c r="D2" s="1111" t="s">
        <v>833</v>
      </c>
      <c r="E2" s="1112" t="s">
        <v>1212</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3178</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7302</v>
      </c>
      <c r="D5" s="2245">
        <f>ROUND(C6*C17+C20,0)</f>
        <v>6954</v>
      </c>
      <c r="E5" s="3616">
        <f>C6+C20</f>
        <v>8694</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8700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8700</v>
      </c>
      <c r="N7" s="1471">
        <f>SUMPRODUCT((因素修正幅度!B190:B233=I2)*(因素修正幅度!C3:G3=E2)*(因素修正幅度!C190:G233))</f>
        <v>0.13</v>
      </c>
      <c r="O7" s="2647"/>
      <c r="P7" s="2650"/>
      <c r="Q7" s="1708"/>
      <c r="R7" s="2127">
        <v>6</v>
      </c>
      <c r="S7" s="2117"/>
      <c r="T7" s="2127" t="e">
        <f t="shared" si="0"/>
        <v>#DIV/0!</v>
      </c>
      <c r="U7" s="2117"/>
      <c r="V7" s="2127" t="e">
        <f t="shared" si="1"/>
        <v>#DIV/0!</v>
      </c>
      <c r="W7" s="3336"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1292</v>
      </c>
      <c r="B12" s="3158" t="s">
        <v>3102</v>
      </c>
      <c r="C12" s="3825">
        <v>1.05</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'数据-汇总表'!E21</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f>ROUND(IF(F21="与级别开发程度一致",0,(G21-E21)/C21),0)</f>
        <v>-6</v>
      </c>
      <c r="D20" s="4136" t="s">
        <v>879</v>
      </c>
      <c r="E20" s="4137"/>
      <c r="F20" s="4136" t="s">
        <v>876</v>
      </c>
      <c r="G20" s="4137"/>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2.5</v>
      </c>
      <c r="D21" s="2302" t="str">
        <f>IF(OR(G2="八级",G2="九级",G2="十级",G2="十一级",G2="十二级"),"五通一平","七通一平")</f>
        <v>七通一平</v>
      </c>
      <c r="E21" s="2292">
        <f>SUMPRODUCT((修正!B1:M1=G2)*(修正!B17:M17))</f>
        <v>315</v>
      </c>
      <c r="F21" s="2293" t="s">
        <v>3224</v>
      </c>
      <c r="G21" s="2292">
        <f>SUM(H21:O21)</f>
        <v>300</v>
      </c>
      <c r="H21" s="876">
        <f>SUMPRODUCT((七通一平=H20)*(修正!B1:M1=G2)*(修正!B8:M16))</f>
        <v>70</v>
      </c>
      <c r="I21" s="876">
        <f>SUMPRODUCT((七通一平=I20)*(修正!B1:M1=G2)*(修正!B8:M16))</f>
        <v>60</v>
      </c>
      <c r="J21" s="876">
        <f>SUMPRODUCT((七通一平=J20)*(修正!B1:M1=G2)*(修正!B8:M16))</f>
        <v>0</v>
      </c>
      <c r="K21" s="876">
        <f>SUMPRODUCT((七通一平=K20)*(修正!B1:M1=G2)*(修正!B8:M16))</f>
        <v>25</v>
      </c>
      <c r="L21" s="876">
        <f>SUMPRODUCT((七通一平=L20)*(修正!B1:M1=G2)*(修正!B8:M16))</f>
        <v>40</v>
      </c>
      <c r="M21" s="876">
        <f>SUMPRODUCT((七通一平=M20)*(修正!B1:M1=G2)*(修正!B8:M16))</f>
        <v>50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1.0092000000000001</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1.0092000000000001</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1.0310999999999999</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'数据-汇总表'!E21</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t="e">
        <f>ROUND(D5*C22*C23*C24*C28*F37,0)</f>
        <v>#DIV/0!</v>
      </c>
      <c r="D37" s="1204"/>
      <c r="E37" s="875" t="e">
        <f>ROUND(C37*D37/10000,0)</f>
        <v>#DIV/0!</v>
      </c>
      <c r="F37" s="875">
        <f>SUMIF(修正!A57:A68,G2,修正!B57:B68)</f>
        <v>0.6</v>
      </c>
      <c r="G37" s="875" t="e">
        <f>ROUND(IF(E2="工业",C37*$M$42,C37*$M$41),0)</f>
        <v>#DIV/0!</v>
      </c>
      <c r="H37" s="875">
        <f>D37</f>
        <v>0</v>
      </c>
      <c r="I37" s="875" t="e">
        <f>ROUND(G37*H37/10000,0)</f>
        <v>#DIV/0!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t="e">
        <f>ROUND(D5*C22*C23*C24*C28*F38,0)</f>
        <v>#DIV/0!</v>
      </c>
      <c r="D38" s="1204"/>
      <c r="E38" s="875" t="e">
        <f t="shared" ref="E38:E42" si="4">ROUND(C38*D38/10000,0)</f>
        <v>#DIV/0!</v>
      </c>
      <c r="F38" s="875">
        <f>SUMIF(修正!A57:A68,G2,修正!C57:C68)</f>
        <v>0.3</v>
      </c>
      <c r="G38" s="875" t="e">
        <f>ROUND(IF(E2="工业",C38*$M$42,C38*$M$41),0)</f>
        <v>#DIV/0!</v>
      </c>
      <c r="H38" s="875">
        <f t="shared" ref="H38:H42" si="5">D38</f>
        <v>0</v>
      </c>
      <c r="I38" s="875" t="e">
        <f t="shared" ref="I38:I42" si="6">ROUND(G38*H38/10000,0)</f>
        <v>#DIV/0!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t="e">
        <f>ROUND(D5*C22*C23*C24*C28*F39,0)</f>
        <v>#DIV/0!</v>
      </c>
      <c r="D39" s="1204"/>
      <c r="E39" s="875" t="e">
        <f t="shared" si="4"/>
        <v>#DIV/0!</v>
      </c>
      <c r="F39" s="875">
        <f>SUMIF(修正!A57:A68,G2,修正!D57:D68)</f>
        <v>0.25</v>
      </c>
      <c r="G39" s="875" t="e">
        <f>ROUND(IF(E2="工业",C39*$M$42,C39*$M$41),0)</f>
        <v>#DIV/0!</v>
      </c>
      <c r="H39" s="875">
        <f t="shared" si="5"/>
        <v>0</v>
      </c>
      <c r="I39" s="875" t="e">
        <f t="shared" si="6"/>
        <v>#DIV/0!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0.25</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1.0310999999999999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3180</v>
      </c>
      <c r="D61" s="3250">
        <f t="shared" ref="D61:D69" si="12">SUMIF($J$60:$N$60,C61,J61:N61)</f>
        <v>0</v>
      </c>
      <c r="E61" s="3251">
        <f>ROUND(SUM(D61:D69),4)</f>
        <v>3.1099999999999999E-2</v>
      </c>
      <c r="F61" s="3252">
        <f>IF(E2="办公",SUMIF(L1:L12,G2,N1:N12),"——")</f>
        <v>0.13</v>
      </c>
      <c r="G61" s="3253">
        <f>H61</f>
        <v>1.6199999999999999E-2</v>
      </c>
      <c r="H61" s="3254">
        <f>IFERROR(ROUNDDOWN($F$61*I61/2,4),"——")</f>
        <v>1.6199999999999999E-2</v>
      </c>
      <c r="I61" s="3228">
        <v>0.25</v>
      </c>
      <c r="J61" s="3255">
        <f t="shared" ref="J61:J69" si="13">K61+$G61</f>
        <v>3.2399999999999998E-2</v>
      </c>
      <c r="K61" s="3255">
        <f t="shared" ref="K61:K69" si="14">$L61+$G61</f>
        <v>1.6199999999999999E-2</v>
      </c>
      <c r="L61" s="3255">
        <v>0</v>
      </c>
      <c r="M61" s="3255">
        <f t="shared" ref="M61:N69" si="15">L61-$G61</f>
        <v>-1.6199999999999999E-2</v>
      </c>
      <c r="N61" s="3255">
        <f t="shared" si="15"/>
        <v>-3.2399999999999998E-2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较好</v>
      </c>
      <c r="D62" s="3250">
        <f t="shared" si="12"/>
        <v>1.6899999999999998E-2</v>
      </c>
      <c r="E62" s="3256"/>
      <c r="F62" s="3252"/>
      <c r="G62" s="3253">
        <f t="shared" ref="G62:G69" si="16">H62</f>
        <v>1.6899999999999998E-2</v>
      </c>
      <c r="H62" s="3254">
        <f t="shared" ref="H62:H69" si="17">IFERROR(ROUNDDOWN($F$61*I62/2,4),"——")</f>
        <v>1.6899999999999998E-2</v>
      </c>
      <c r="I62" s="3228">
        <v>0.26</v>
      </c>
      <c r="J62" s="3255">
        <f t="shared" si="13"/>
        <v>3.3799999999999997E-2</v>
      </c>
      <c r="K62" s="3255">
        <f t="shared" si="14"/>
        <v>1.6899999999999998E-2</v>
      </c>
      <c r="L62" s="3255">
        <v>0</v>
      </c>
      <c r="M62" s="3255">
        <f t="shared" si="15"/>
        <v>-1.6899999999999998E-2</v>
      </c>
      <c r="N62" s="3255">
        <f t="shared" si="15"/>
        <v>-3.3799999999999997E-2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7.1000000000000004E-3</v>
      </c>
      <c r="E63" s="3256"/>
      <c r="F63" s="3252"/>
      <c r="G63" s="3253">
        <f t="shared" si="16"/>
        <v>7.1000000000000004E-3</v>
      </c>
      <c r="H63" s="3254">
        <f t="shared" si="17"/>
        <v>7.1000000000000004E-3</v>
      </c>
      <c r="I63" s="3228">
        <v>0.11</v>
      </c>
      <c r="J63" s="3255">
        <f t="shared" si="13"/>
        <v>1.4200000000000001E-2</v>
      </c>
      <c r="K63" s="3255">
        <f t="shared" si="14"/>
        <v>7.1000000000000004E-3</v>
      </c>
      <c r="L63" s="3255">
        <v>0</v>
      </c>
      <c r="M63" s="3255">
        <f t="shared" si="15"/>
        <v>-7.1000000000000004E-3</v>
      </c>
      <c r="N63" s="3255">
        <f t="shared" si="15"/>
        <v>-1.4200000000000001E-2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3.2000000000000002E-3</v>
      </c>
      <c r="E64" s="3256"/>
      <c r="F64" s="3252"/>
      <c r="G64" s="3253">
        <f t="shared" si="16"/>
        <v>3.2000000000000002E-3</v>
      </c>
      <c r="H64" s="3254">
        <f t="shared" si="17"/>
        <v>3.2000000000000002E-3</v>
      </c>
      <c r="I64" s="3228">
        <v>0.05</v>
      </c>
      <c r="J64" s="3255">
        <f t="shared" si="13"/>
        <v>6.4000000000000003E-3</v>
      </c>
      <c r="K64" s="3255">
        <f t="shared" si="14"/>
        <v>3.2000000000000002E-3</v>
      </c>
      <c r="L64" s="3255">
        <v>0</v>
      </c>
      <c r="M64" s="3255">
        <f t="shared" si="15"/>
        <v>-3.2000000000000002E-3</v>
      </c>
      <c r="N64" s="3255">
        <f t="shared" si="15"/>
        <v>-6.4000000000000003E-3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3.2000000000000002E-3</v>
      </c>
      <c r="H65" s="3254">
        <f t="shared" si="17"/>
        <v>3.2000000000000002E-3</v>
      </c>
      <c r="I65" s="3228">
        <v>0.05</v>
      </c>
      <c r="J65" s="3255">
        <f t="shared" si="13"/>
        <v>6.4000000000000003E-3</v>
      </c>
      <c r="K65" s="3255">
        <f t="shared" si="14"/>
        <v>3.2000000000000002E-3</v>
      </c>
      <c r="L65" s="3255">
        <v>0</v>
      </c>
      <c r="M65" s="3255">
        <f t="shared" si="15"/>
        <v>-3.2000000000000002E-3</v>
      </c>
      <c r="N65" s="3255">
        <f t="shared" si="15"/>
        <v>-6.4000000000000003E-3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3.8999999999999998E-3</v>
      </c>
      <c r="E66" s="3256"/>
      <c r="F66" s="3252"/>
      <c r="G66" s="3253">
        <f t="shared" si="16"/>
        <v>3.8999999999999998E-3</v>
      </c>
      <c r="H66" s="3254">
        <f t="shared" si="17"/>
        <v>3.8999999999999998E-3</v>
      </c>
      <c r="I66" s="3228">
        <v>0.06</v>
      </c>
      <c r="J66" s="3255">
        <f t="shared" si="13"/>
        <v>7.7999999999999996E-3</v>
      </c>
      <c r="K66" s="3255">
        <f t="shared" si="14"/>
        <v>3.8999999999999998E-3</v>
      </c>
      <c r="L66" s="3255">
        <v>0</v>
      </c>
      <c r="M66" s="3255">
        <f t="shared" si="15"/>
        <v>-3.8999999999999998E-3</v>
      </c>
      <c r="N66" s="3255">
        <f t="shared" si="15"/>
        <v>-7.7999999999999996E-3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3.8999999999999998E-3</v>
      </c>
      <c r="H67" s="3254">
        <f t="shared" si="17"/>
        <v>3.8999999999999998E-3</v>
      </c>
      <c r="I67" s="3228">
        <v>0.06</v>
      </c>
      <c r="J67" s="3255">
        <f t="shared" si="13"/>
        <v>7.7999999999999996E-3</v>
      </c>
      <c r="K67" s="3255">
        <f t="shared" si="14"/>
        <v>3.8999999999999998E-3</v>
      </c>
      <c r="L67" s="3255">
        <v>0</v>
      </c>
      <c r="M67" s="3255">
        <f t="shared" si="15"/>
        <v>-3.8999999999999998E-3</v>
      </c>
      <c r="N67" s="3255">
        <f t="shared" si="15"/>
        <v>-7.7999999999999996E-3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一般</v>
      </c>
      <c r="D68" s="3250">
        <f t="shared" si="12"/>
        <v>0</v>
      </c>
      <c r="E68" s="3256"/>
      <c r="F68" s="3252"/>
      <c r="G68" s="3253">
        <f t="shared" si="16"/>
        <v>5.7999999999999996E-3</v>
      </c>
      <c r="H68" s="3254">
        <f t="shared" si="17"/>
        <v>5.7999999999999996E-3</v>
      </c>
      <c r="I68" s="3228">
        <v>0.09</v>
      </c>
      <c r="J68" s="3255">
        <f t="shared" si="13"/>
        <v>1.1599999999999999E-2</v>
      </c>
      <c r="K68" s="3255">
        <f t="shared" si="14"/>
        <v>5.7999999999999996E-3</v>
      </c>
      <c r="L68" s="3255">
        <v>0</v>
      </c>
      <c r="M68" s="3255">
        <f t="shared" si="15"/>
        <v>-5.7999999999999996E-3</v>
      </c>
      <c r="N68" s="3255">
        <f t="shared" si="15"/>
        <v>-1.1599999999999999E-2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一般</v>
      </c>
      <c r="D69" s="3250">
        <f t="shared" si="12"/>
        <v>0</v>
      </c>
      <c r="E69" s="3263"/>
      <c r="F69" s="3252"/>
      <c r="G69" s="3253">
        <f t="shared" si="16"/>
        <v>4.4999999999999997E-3</v>
      </c>
      <c r="H69" s="3254">
        <f t="shared" si="17"/>
        <v>4.4999999999999997E-3</v>
      </c>
      <c r="I69" s="3230">
        <v>7.0000000000000007E-2</v>
      </c>
      <c r="J69" s="3255">
        <f t="shared" si="13"/>
        <v>8.9999999999999993E-3</v>
      </c>
      <c r="K69" s="3255">
        <f t="shared" si="14"/>
        <v>4.4999999999999997E-3</v>
      </c>
      <c r="L69" s="3255">
        <v>0</v>
      </c>
      <c r="M69" s="3255">
        <f t="shared" si="15"/>
        <v>-4.4999999999999997E-3</v>
      </c>
      <c r="N69" s="3255">
        <f t="shared" si="15"/>
        <v>-8.9999999999999993E-3</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3334"/>
      <c r="L104" s="3334"/>
      <c r="M104" s="3334"/>
      <c r="N104" s="3334"/>
    </row>
    <row r="105" spans="1:36">
      <c r="A105" s="4144" t="s">
        <v>833</v>
      </c>
      <c r="B105" s="4144" t="s">
        <v>1173</v>
      </c>
      <c r="C105" s="920" t="s">
        <v>1174</v>
      </c>
      <c r="D105" s="921"/>
      <c r="E105" s="921"/>
      <c r="F105" s="921"/>
      <c r="G105" s="921"/>
      <c r="H105" s="921"/>
      <c r="I105" s="921"/>
      <c r="J105" s="922"/>
      <c r="K105" s="914"/>
      <c r="L105" s="914"/>
      <c r="M105" s="914"/>
      <c r="N105" s="914"/>
    </row>
    <row r="106" spans="1:36">
      <c r="A106" s="4144"/>
      <c r="B106" s="4144"/>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3">$I$3</f>
        <v>0</v>
      </c>
      <c r="E112" s="925">
        <f t="shared" si="33"/>
        <v>0</v>
      </c>
      <c r="F112" s="925">
        <f t="shared" si="33"/>
        <v>0</v>
      </c>
      <c r="G112" s="925">
        <f t="shared" si="33"/>
        <v>0</v>
      </c>
      <c r="H112" s="925">
        <f t="shared" si="33"/>
        <v>0</v>
      </c>
      <c r="I112" s="925">
        <f t="shared" si="33"/>
        <v>0</v>
      </c>
      <c r="J112" s="925">
        <f t="shared" si="33"/>
        <v>0</v>
      </c>
      <c r="K112" s="925">
        <f t="shared" si="33"/>
        <v>0</v>
      </c>
      <c r="L112" s="925">
        <f t="shared" si="33"/>
        <v>0</v>
      </c>
      <c r="M112" s="925">
        <f t="shared" si="33"/>
        <v>0</v>
      </c>
      <c r="N112" s="925">
        <f t="shared" si="33"/>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3333"/>
      <c r="L114" s="3333"/>
      <c r="M114" s="3333"/>
      <c r="N114" s="3333"/>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办公</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4">I119</f>
        <v>0.8054</v>
      </c>
      <c r="K119" s="3226">
        <f t="shared" si="34"/>
        <v>0.8054</v>
      </c>
      <c r="L119" s="3226">
        <f t="shared" si="34"/>
        <v>0.8054</v>
      </c>
      <c r="M119" s="3287">
        <f t="shared" si="34"/>
        <v>0.8054</v>
      </c>
    </row>
    <row r="120" spans="1:14" ht="12.75">
      <c r="A120" s="3284" t="s">
        <v>3142</v>
      </c>
      <c r="B120" s="3226">
        <f>ROUND(0.993-0.0112*B117,4)</f>
        <v>0.96609999999999996</v>
      </c>
      <c r="C120" s="3226">
        <f>B120</f>
        <v>0.96609999999999996</v>
      </c>
      <c r="D120" s="3226">
        <f>ROUND(0.9415-0.0142*B117,4)</f>
        <v>0.90739999999999998</v>
      </c>
      <c r="E120" s="3226">
        <f t="shared" ref="E120:H121" si="35">D120</f>
        <v>0.90739999999999998</v>
      </c>
      <c r="F120" s="3226">
        <f t="shared" si="35"/>
        <v>0.90739999999999998</v>
      </c>
      <c r="G120" s="3226">
        <f t="shared" si="35"/>
        <v>0.90739999999999998</v>
      </c>
      <c r="H120" s="3226">
        <f t="shared" si="35"/>
        <v>0.90739999999999998</v>
      </c>
      <c r="I120" s="3226">
        <f>ROUND(0.838-0.0182*B117,4)</f>
        <v>0.7944</v>
      </c>
      <c r="J120" s="3226">
        <f t="shared" si="34"/>
        <v>0.7944</v>
      </c>
      <c r="K120" s="3226">
        <f t="shared" si="34"/>
        <v>0.7944</v>
      </c>
      <c r="L120" s="3226">
        <f t="shared" si="34"/>
        <v>0.7944</v>
      </c>
      <c r="M120" s="3287">
        <f t="shared" si="34"/>
        <v>0.7944</v>
      </c>
    </row>
    <row r="121" spans="1:14" ht="12.75">
      <c r="A121" s="3284" t="s">
        <v>3143</v>
      </c>
      <c r="B121" s="3226">
        <f>ROUND(0.9448-0.0115*B117,4)</f>
        <v>0.91720000000000002</v>
      </c>
      <c r="C121" s="3226">
        <f>B121</f>
        <v>0.91720000000000002</v>
      </c>
      <c r="D121" s="3226">
        <f>ROUND(0.937-0.0145*B117,4)</f>
        <v>0.9022</v>
      </c>
      <c r="E121" s="3226">
        <f t="shared" si="35"/>
        <v>0.9022</v>
      </c>
      <c r="F121" s="3226">
        <f t="shared" si="35"/>
        <v>0.9022</v>
      </c>
      <c r="G121" s="3226">
        <f t="shared" si="35"/>
        <v>0.9022</v>
      </c>
      <c r="H121" s="3226">
        <f t="shared" si="35"/>
        <v>0.9022</v>
      </c>
      <c r="I121" s="3226">
        <f>ROUND(0.7965-0.0185*B117,4)</f>
        <v>0.75209999999999999</v>
      </c>
      <c r="J121" s="3226">
        <f t="shared" si="34"/>
        <v>0.75209999999999999</v>
      </c>
      <c r="K121" s="3226">
        <f t="shared" si="34"/>
        <v>0.75209999999999999</v>
      </c>
      <c r="L121" s="3226">
        <f t="shared" si="34"/>
        <v>0.75209999999999999</v>
      </c>
      <c r="M121" s="3287">
        <f t="shared" si="34"/>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4"/>
        <v>0.54490000000000005</v>
      </c>
      <c r="K122" s="3288">
        <f t="shared" si="34"/>
        <v>0.54490000000000005</v>
      </c>
      <c r="L122" s="3288">
        <f t="shared" si="34"/>
        <v>0.54490000000000005</v>
      </c>
      <c r="M122" s="3289">
        <f t="shared" si="34"/>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6">D123</f>
        <v>0.86309999999999998</v>
      </c>
      <c r="F123" s="3226">
        <f t="shared" si="36"/>
        <v>0.86309999999999998</v>
      </c>
      <c r="G123" s="3226">
        <f t="shared" si="36"/>
        <v>0.86309999999999998</v>
      </c>
      <c r="H123" s="3226">
        <f t="shared" si="36"/>
        <v>0.86309999999999998</v>
      </c>
      <c r="I123" s="3226">
        <f>ROUND(0.7632-0.0166*B117,4)</f>
        <v>0.72340000000000004</v>
      </c>
      <c r="J123" s="3226">
        <f t="shared" si="34"/>
        <v>0.72340000000000004</v>
      </c>
      <c r="K123" s="3226">
        <f t="shared" si="34"/>
        <v>0.72340000000000004</v>
      </c>
      <c r="L123" s="3226">
        <f t="shared" si="34"/>
        <v>0.72340000000000004</v>
      </c>
      <c r="M123" s="3287">
        <f t="shared" si="34"/>
        <v>0.72340000000000004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80" priority="5" stopIfTrue="1" operator="notEqual">
      <formula>"——"</formula>
    </cfRule>
  </conditionalFormatting>
  <conditionalFormatting sqref="F61">
    <cfRule type="cellIs" dxfId="179" priority="4" stopIfTrue="1" operator="notEqual">
      <formula>"——"</formula>
    </cfRule>
  </conditionalFormatting>
  <conditionalFormatting sqref="F72">
    <cfRule type="cellIs" dxfId="178" priority="3" stopIfTrue="1" operator="notEqual">
      <formula>"——"</formula>
    </cfRule>
  </conditionalFormatting>
  <conditionalFormatting sqref="F83">
    <cfRule type="cellIs" dxfId="177" priority="2" stopIfTrue="1" operator="notEqual">
      <formula>"——"</formula>
    </cfRule>
  </conditionalFormatting>
  <conditionalFormatting sqref="H50:H58 H72:H80 H83:H91 H93:H102 H61:H69">
    <cfRule type="cellIs" dxfId="176" priority="1" operator="notEqual">
      <formula>"——"</formula>
    </cfRule>
  </conditionalFormatting>
  <dataValidations count="12">
    <dataValidation type="list" allowBlank="1" showInputMessage="1" showErrorMessage="1" sqref="J23" xr:uid="{00000000-0002-0000-1200-000000000000}">
      <formula1>"不用分区数据,中心城区,中心城区以外"</formula1>
    </dataValidation>
    <dataValidation type="list" allowBlank="1" showInputMessage="1" showErrorMessage="1" sqref="H20:O20" xr:uid="{00000000-0002-0000-1200-000001000000}">
      <formula1>七通一平</formula1>
    </dataValidation>
    <dataValidation type="list" allowBlank="1" showInputMessage="1" showErrorMessage="1" sqref="C50:C58 C61:C69 C93:C102 C72:C80 C83:C90" xr:uid="{00000000-0002-0000-1200-000002000000}">
      <formula1>五等判定</formula1>
    </dataValidation>
    <dataValidation type="list" allowBlank="1" showInputMessage="1" showErrorMessage="1" sqref="E3" xr:uid="{00000000-0002-0000-1200-000003000000}">
      <formula1>二级分类</formula1>
    </dataValidation>
    <dataValidation type="list" allowBlank="1" showInputMessage="1" showErrorMessage="1" sqref="C8" xr:uid="{00000000-0002-0000-1200-000004000000}">
      <formula1>商业街名称</formula1>
    </dataValidation>
    <dataValidation type="list" allowBlank="1" showInputMessage="1" showErrorMessage="1" sqref="F3" xr:uid="{00000000-0002-0000-1200-000005000000}">
      <formula1>"宗地容积率,估价对象容积率,自定义容积率"</formula1>
    </dataValidation>
    <dataValidation type="list" allowBlank="1" showInputMessage="1" showErrorMessage="1" sqref="H23" xr:uid="{00000000-0002-0000-1200-000006000000}">
      <formula1>"地价指数,季度增幅（自定义）,按公示增长率计算"</formula1>
    </dataValidation>
    <dataValidation type="list" allowBlank="1" showInputMessage="1" showErrorMessage="1" sqref="E15" xr:uid="{00000000-0002-0000-1200-000007000000}">
      <formula1>"500米范围内,500-1000米,1000米以外"</formula1>
    </dataValidation>
    <dataValidation type="list" allowBlank="1" showInputMessage="1" showErrorMessage="1" sqref="C15:D15" xr:uid="{00000000-0002-0000-1200-000008000000}">
      <formula1>"有,无"</formula1>
    </dataValidation>
    <dataValidation type="list" allowBlank="1" showInputMessage="1" showErrorMessage="1" sqref="B25" xr:uid="{00000000-0002-0000-1200-000009000000}">
      <formula1>"容积率修正,楼层修正"</formula1>
    </dataValidation>
    <dataValidation type="list" allowBlank="1" showInputMessage="1" showErrorMessage="1" sqref="F21" xr:uid="{00000000-0002-0000-1200-00000A000000}">
      <formula1>"与级别开发程度一致,与级别开发程度不一致"</formula1>
    </dataValidation>
    <dataValidation type="list" allowBlank="1" showInputMessage="1" showErrorMessage="1" sqref="E2" xr:uid="{00000000-0002-0000-12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2:P50"/>
  <sheetViews>
    <sheetView tabSelected="1" topLeftCell="A2" zoomScale="90" zoomScaleNormal="90" workbookViewId="0">
      <selection activeCell="F37" sqref="F37:F38"/>
    </sheetView>
  </sheetViews>
  <sheetFormatPr defaultRowHeight="13.5"/>
  <cols>
    <col min="1" max="1" width="16.625" style="3926" customWidth="1"/>
    <col min="2" max="2" width="16.125" style="3926" customWidth="1"/>
    <col min="3" max="3" width="10.625" style="3926" customWidth="1"/>
    <col min="4" max="4" width="14.5" style="3926" customWidth="1"/>
    <col min="5" max="5" width="10.625" style="3926" customWidth="1"/>
    <col min="6" max="6" width="12.75" style="3926" customWidth="1"/>
    <col min="7" max="7" width="7.75" customWidth="1"/>
    <col min="8" max="8" width="10.125" customWidth="1"/>
    <col min="15" max="15" width="10.625" bestFit="1" customWidth="1"/>
  </cols>
  <sheetData>
    <row r="2" spans="1:16" ht="24">
      <c r="A2" s="3927" t="s">
        <v>3093</v>
      </c>
      <c r="B2" s="3927" t="s">
        <v>3348</v>
      </c>
      <c r="C2" s="3927" t="s">
        <v>3349</v>
      </c>
      <c r="D2" s="3927" t="s">
        <v>3213</v>
      </c>
      <c r="E2" s="3927" t="s">
        <v>3350</v>
      </c>
      <c r="F2" s="3927" t="s">
        <v>3351</v>
      </c>
      <c r="H2" s="3927" t="s">
        <v>3399</v>
      </c>
      <c r="I2" s="3927" t="s">
        <v>3400</v>
      </c>
      <c r="J2" s="3927" t="s">
        <v>3401</v>
      </c>
    </row>
    <row r="3" spans="1:16" hidden="1">
      <c r="A3" s="4151" t="s">
        <v>3352</v>
      </c>
      <c r="B3" s="3928" t="s">
        <v>3212</v>
      </c>
      <c r="C3" s="3928" t="e">
        <f>'[5]基准地价 住宅-满年限'!C30</f>
        <v>#REF!</v>
      </c>
      <c r="D3" s="3928">
        <v>0.4</v>
      </c>
      <c r="E3" s="4152" t="e">
        <f>ROUND(C3*D3+C4*D4+C5*D5,0)</f>
        <v>#REF!</v>
      </c>
      <c r="F3" s="4155" t="e">
        <f>ROUND(E3*0.25,0)</f>
        <v>#REF!</v>
      </c>
      <c r="H3" s="3951"/>
      <c r="I3" s="3951"/>
      <c r="J3" s="3951"/>
    </row>
    <row r="4" spans="1:16" hidden="1">
      <c r="A4" s="4151"/>
      <c r="B4" s="3928" t="s">
        <v>3214</v>
      </c>
      <c r="C4" s="3928" t="e">
        <f>[5]剩余法住宅!B4</f>
        <v>#REF!</v>
      </c>
      <c r="D4" s="3928">
        <f>1-D3</f>
        <v>0.6</v>
      </c>
      <c r="E4" s="4153"/>
      <c r="F4" s="4156"/>
      <c r="H4" s="3951"/>
      <c r="I4" s="3951"/>
      <c r="J4" s="3951"/>
    </row>
    <row r="5" spans="1:16" hidden="1">
      <c r="A5" s="4151"/>
      <c r="B5" s="3928" t="s">
        <v>3353</v>
      </c>
      <c r="C5" s="3928"/>
      <c r="D5" s="3928">
        <v>0</v>
      </c>
      <c r="E5" s="4154"/>
      <c r="F5" s="4157"/>
      <c r="H5" s="3951"/>
      <c r="I5" s="3951"/>
      <c r="J5" s="3951"/>
    </row>
    <row r="6" spans="1:16" hidden="1">
      <c r="A6" s="4151" t="s">
        <v>3354</v>
      </c>
      <c r="B6" s="4151" t="s">
        <v>3212</v>
      </c>
      <c r="C6" s="4151" t="e">
        <f>'[5]基准地价（商业）-满年限'!C30</f>
        <v>#REF!</v>
      </c>
      <c r="D6" s="4158">
        <v>0.3</v>
      </c>
      <c r="E6" s="4159" t="e">
        <f>ROUND(C6*D6+C8*D8+C9*D9,0)</f>
        <v>#REF!</v>
      </c>
      <c r="F6" s="4162" t="e">
        <f>ROUND(E6*0.25,0)</f>
        <v>#REF!</v>
      </c>
      <c r="H6" s="3951"/>
      <c r="I6" s="3951"/>
      <c r="J6" s="3951"/>
    </row>
    <row r="7" spans="1:16" hidden="1">
      <c r="A7" s="4151"/>
      <c r="B7" s="4151"/>
      <c r="C7" s="4151"/>
      <c r="D7" s="4158"/>
      <c r="E7" s="4160"/>
      <c r="F7" s="4163"/>
      <c r="H7" s="3951"/>
      <c r="I7" s="3951"/>
      <c r="J7" s="3951"/>
    </row>
    <row r="8" spans="1:16" hidden="1">
      <c r="A8" s="4151"/>
      <c r="B8" s="3928" t="s">
        <v>3214</v>
      </c>
      <c r="C8" s="3928" t="e">
        <f>'[5]剩余法-待开发（商业）'!B4</f>
        <v>#REF!</v>
      </c>
      <c r="D8" s="3929">
        <v>0.3</v>
      </c>
      <c r="E8" s="4160"/>
      <c r="F8" s="4163"/>
      <c r="H8" s="3951"/>
      <c r="I8" s="3951"/>
      <c r="J8" s="3951"/>
    </row>
    <row r="9" spans="1:16" hidden="1">
      <c r="A9" s="4151"/>
      <c r="B9" s="3928" t="s">
        <v>3353</v>
      </c>
      <c r="C9" s="3928" t="e">
        <f>'[5]比较法-商业土地'!B4</f>
        <v>#REF!</v>
      </c>
      <c r="D9" s="3929">
        <v>0.4</v>
      </c>
      <c r="E9" s="4161"/>
      <c r="F9" s="4164"/>
      <c r="H9" s="3951"/>
      <c r="I9" s="3951"/>
      <c r="J9" s="3951"/>
    </row>
    <row r="10" spans="1:16">
      <c r="A10" s="4151" t="s">
        <v>3369</v>
      </c>
      <c r="B10" s="3928" t="s">
        <v>3212</v>
      </c>
      <c r="C10" s="3929">
        <f>'基准地价-科研'!C33</f>
        <v>4528</v>
      </c>
      <c r="D10" s="3929">
        <v>0.5</v>
      </c>
      <c r="E10" s="4159">
        <f ca="1">ROUND(C10*D10+C11*D11+C12*D12,0)</f>
        <v>4532</v>
      </c>
      <c r="F10" s="4162">
        <f ca="1">ROUND(E10*0.25,0)</f>
        <v>1133</v>
      </c>
      <c r="G10" s="3950">
        <f ca="1">(C11-C10)/C10</f>
        <v>1.5459363957597172E-3</v>
      </c>
      <c r="H10" s="3951">
        <v>5420</v>
      </c>
      <c r="I10" s="3952">
        <v>0.7</v>
      </c>
      <c r="J10" s="3951">
        <f>H10*I10</f>
        <v>3793.9999999999995</v>
      </c>
    </row>
    <row r="11" spans="1:16" ht="14.25" thickBot="1">
      <c r="A11" s="4151"/>
      <c r="B11" s="3928" t="s">
        <v>3214</v>
      </c>
      <c r="C11" s="3929">
        <f ca="1">'剩余法（待）-科研'!B3</f>
        <v>4535</v>
      </c>
      <c r="D11" s="3929">
        <f>1-D10</f>
        <v>0.5</v>
      </c>
      <c r="E11" s="4160"/>
      <c r="F11" s="4163"/>
    </row>
    <row r="12" spans="1:16" ht="23.25" thickBot="1">
      <c r="A12" s="4151"/>
      <c r="B12" s="3928" t="s">
        <v>3373</v>
      </c>
      <c r="C12" s="3929"/>
      <c r="D12" s="3929">
        <v>0</v>
      </c>
      <c r="E12" s="4161"/>
      <c r="F12" s="4164"/>
      <c r="H12" s="3954" t="s">
        <v>3093</v>
      </c>
      <c r="I12" s="3955" t="s">
        <v>2668</v>
      </c>
      <c r="J12" s="3955" t="s">
        <v>3407</v>
      </c>
      <c r="K12" s="3955" t="s">
        <v>3409</v>
      </c>
      <c r="L12" s="3955" t="s">
        <v>3410</v>
      </c>
      <c r="M12" s="3955" t="s">
        <v>3411</v>
      </c>
      <c r="N12" s="3955" t="s">
        <v>3412</v>
      </c>
      <c r="O12" s="3955" t="s">
        <v>3413</v>
      </c>
      <c r="P12" s="3955" t="s">
        <v>3404</v>
      </c>
    </row>
    <row r="13" spans="1:16">
      <c r="A13" s="4151" t="s">
        <v>3370</v>
      </c>
      <c r="B13" s="3928" t="s">
        <v>3212</v>
      </c>
      <c r="C13" s="3948">
        <f>'基准地价-科研'!C41</f>
        <v>1179</v>
      </c>
      <c r="D13" s="3929">
        <f>D10</f>
        <v>0.5</v>
      </c>
      <c r="E13" s="4159">
        <f ca="1">ROUND(C13*D13+C14*D14+C15*D15,0)</f>
        <v>1156</v>
      </c>
      <c r="F13" s="4162">
        <f ca="1">ROUND(E13*0.25,0)</f>
        <v>289</v>
      </c>
      <c r="H13" s="4145" t="s">
        <v>3405</v>
      </c>
      <c r="I13" s="4149" t="s">
        <v>3406</v>
      </c>
      <c r="J13" s="4149">
        <v>5490</v>
      </c>
      <c r="K13" s="4149">
        <f>'基准地价-科研'!C22</f>
        <v>0.8</v>
      </c>
      <c r="L13" s="4149">
        <f>'基准地价-科研'!C23</f>
        <v>1.0273000000000001</v>
      </c>
      <c r="M13" s="4149">
        <f>'基准地价-科研'!C24</f>
        <v>1</v>
      </c>
      <c r="N13" s="4145">
        <f>'基准地价-科研'!C25</f>
        <v>0.95979999999999999</v>
      </c>
      <c r="O13" s="4147">
        <v>0.25</v>
      </c>
      <c r="P13" s="4147">
        <f>ROUND(J13*K13*L13*M13*N13*0.7*O13,0)</f>
        <v>758</v>
      </c>
    </row>
    <row r="14" spans="1:16" ht="14.25" thickBot="1">
      <c r="A14" s="4151"/>
      <c r="B14" s="3928" t="s">
        <v>3214</v>
      </c>
      <c r="C14" s="3931">
        <f ca="1">C11*0.25</f>
        <v>1133.75</v>
      </c>
      <c r="D14" s="3929">
        <f>D11</f>
        <v>0.5</v>
      </c>
      <c r="E14" s="4160"/>
      <c r="F14" s="4163"/>
      <c r="H14" s="4146"/>
      <c r="I14" s="4150"/>
      <c r="J14" s="4150"/>
      <c r="K14" s="4150"/>
      <c r="L14" s="4150"/>
      <c r="M14" s="4150"/>
      <c r="N14" s="4146"/>
      <c r="O14" s="4148"/>
      <c r="P14" s="4148"/>
    </row>
    <row r="15" spans="1:16">
      <c r="A15" s="4151"/>
      <c r="B15" s="3928" t="str">
        <f>B12</f>
        <v>市场比较法</v>
      </c>
      <c r="C15" s="3929"/>
      <c r="D15" s="3929">
        <v>0</v>
      </c>
      <c r="E15" s="4161"/>
      <c r="F15" s="4164"/>
      <c r="P15">
        <f>P13*0.7</f>
        <v>530.6</v>
      </c>
    </row>
    <row r="16" spans="1:16" hidden="1">
      <c r="A16" s="4165" t="s">
        <v>3355</v>
      </c>
      <c r="B16" s="3930" t="s">
        <v>3212</v>
      </c>
      <c r="C16" s="3929" t="e">
        <f>'[5]基准地价（商业）-满年限'!C35</f>
        <v>#REF!</v>
      </c>
      <c r="D16" s="3929">
        <f>D13</f>
        <v>0.5</v>
      </c>
      <c r="E16" s="4159" t="e">
        <f>ROUND(C16*D16+C17*D17+C18*D18,0)</f>
        <v>#REF!</v>
      </c>
      <c r="F16" s="4162" t="e">
        <f>ROUND(E16*0.25,0)</f>
        <v>#REF!</v>
      </c>
    </row>
    <row r="17" spans="1:6" hidden="1">
      <c r="A17" s="4166"/>
      <c r="B17" s="3930" t="s">
        <v>3214</v>
      </c>
      <c r="C17" s="3929" t="e">
        <f>ROUND(C8*0.4,0)</f>
        <v>#REF!</v>
      </c>
      <c r="D17" s="3929">
        <f>D14</f>
        <v>0.5</v>
      </c>
      <c r="E17" s="4160"/>
      <c r="F17" s="4163"/>
    </row>
    <row r="18" spans="1:6" hidden="1">
      <c r="A18" s="4167"/>
      <c r="B18" s="3930" t="s">
        <v>3353</v>
      </c>
      <c r="C18" s="3929" t="e">
        <f>ROUND(C9*0.4,0)</f>
        <v>#REF!</v>
      </c>
      <c r="D18" s="3929">
        <f>D9</f>
        <v>0.4</v>
      </c>
      <c r="E18" s="4161"/>
      <c r="F18" s="4164"/>
    </row>
    <row r="19" spans="1:6" hidden="1">
      <c r="A19" s="4151" t="s">
        <v>3356</v>
      </c>
      <c r="B19" s="3928" t="s">
        <v>3212</v>
      </c>
      <c r="C19" s="3929" t="e">
        <f>'[5]基准地价 (办公)'!C39</f>
        <v>#REF!</v>
      </c>
      <c r="D19" s="3929">
        <v>0.5</v>
      </c>
      <c r="E19" s="4159" t="e">
        <f ca="1">ROUND(C19*D19+C20*D20+C21*D21,0)</f>
        <v>#REF!</v>
      </c>
      <c r="F19" s="4162" t="e">
        <f ca="1">ROUND(E19*0.25,0)</f>
        <v>#REF!</v>
      </c>
    </row>
    <row r="20" spans="1:6" hidden="1">
      <c r="A20" s="4151"/>
      <c r="B20" s="3928" t="s">
        <v>3214</v>
      </c>
      <c r="C20" s="3929" t="e">
        <f ca="1">ROUND(C11*0.25*'[5]基准地价 (办公)'!C42,0)</f>
        <v>#REF!</v>
      </c>
      <c r="D20" s="3929">
        <f>1-D19</f>
        <v>0.5</v>
      </c>
      <c r="E20" s="4160"/>
      <c r="F20" s="4163"/>
    </row>
    <row r="21" spans="1:6" hidden="1">
      <c r="A21" s="4151"/>
      <c r="B21" s="3928" t="s">
        <v>3353</v>
      </c>
      <c r="C21" s="3929"/>
      <c r="D21" s="3929">
        <v>0</v>
      </c>
      <c r="E21" s="4161"/>
      <c r="F21" s="4164"/>
    </row>
    <row r="22" spans="1:6" hidden="1">
      <c r="A22" s="4168" t="s">
        <v>3357</v>
      </c>
      <c r="B22" s="3930" t="s">
        <v>3212</v>
      </c>
      <c r="C22" s="3929" t="e">
        <f>'[5]基准地价（商业）-满年限'!C39</f>
        <v>#REF!</v>
      </c>
      <c r="D22" s="3930">
        <f>D6</f>
        <v>0.3</v>
      </c>
      <c r="E22" s="4165" t="e">
        <f>ROUND(C22*D22+C23*D23+C24*D24,0)</f>
        <v>#REF!</v>
      </c>
      <c r="F22" s="4169" t="e">
        <f>ROUND(E22*0.25,0)</f>
        <v>#REF!</v>
      </c>
    </row>
    <row r="23" spans="1:6" hidden="1">
      <c r="A23" s="4168"/>
      <c r="B23" s="3930" t="s">
        <v>3214</v>
      </c>
      <c r="C23" s="3929" t="e">
        <f>ROUND(C8*0.25,0)</f>
        <v>#REF!</v>
      </c>
      <c r="D23" s="3930">
        <f>D8</f>
        <v>0.3</v>
      </c>
      <c r="E23" s="4166"/>
      <c r="F23" s="4170"/>
    </row>
    <row r="24" spans="1:6" hidden="1">
      <c r="A24" s="4168"/>
      <c r="B24" s="3930" t="s">
        <v>3353</v>
      </c>
      <c r="C24" s="3929" t="e">
        <f>ROUND(C9*0.25,0)</f>
        <v>#REF!</v>
      </c>
      <c r="D24" s="3930">
        <f>D9</f>
        <v>0.4</v>
      </c>
      <c r="E24" s="4167"/>
      <c r="F24" s="4171"/>
    </row>
    <row r="25" spans="1:6" hidden="1">
      <c r="A25" s="4151" t="s">
        <v>3358</v>
      </c>
      <c r="B25" s="3928" t="s">
        <v>3212</v>
      </c>
      <c r="C25" s="3929">
        <f>[6]基准地价出结果用!C40</f>
        <v>0</v>
      </c>
      <c r="D25" s="3928">
        <f>D13</f>
        <v>0.5</v>
      </c>
      <c r="E25" s="4152">
        <f ca="1">ROUND(C25*D25+C26*D26+C27*D27,0)</f>
        <v>0</v>
      </c>
      <c r="F25" s="4152">
        <f ca="1">ROUND(E25*0.25,0)</f>
        <v>0</v>
      </c>
    </row>
    <row r="26" spans="1:6" hidden="1">
      <c r="A26" s="4151"/>
      <c r="B26" s="3928" t="s">
        <v>3214</v>
      </c>
      <c r="C26" s="3929">
        <f ca="1">ROUND(C11*[6]基准地价出结果用!F40*[6]基准地价出结果用!C42,0)</f>
        <v>0</v>
      </c>
      <c r="D26" s="3928">
        <f>D14</f>
        <v>0.5</v>
      </c>
      <c r="E26" s="4153"/>
      <c r="F26" s="4153"/>
    </row>
    <row r="27" spans="1:6" hidden="1">
      <c r="A27" s="4151"/>
      <c r="B27" s="3928" t="s">
        <v>3353</v>
      </c>
      <c r="C27" s="3929"/>
      <c r="D27" s="3928">
        <v>0</v>
      </c>
      <c r="E27" s="4154"/>
      <c r="F27" s="4154"/>
    </row>
    <row r="29" spans="1:6" ht="14.25" thickBot="1">
      <c r="A29" s="3938" t="s">
        <v>3360</v>
      </c>
      <c r="B29"/>
      <c r="C29"/>
      <c r="D29"/>
      <c r="E29"/>
      <c r="F29"/>
    </row>
    <row r="30" spans="1:6" ht="14.25" customHeight="1" thickBot="1">
      <c r="A30" s="4173" t="s">
        <v>3361</v>
      </c>
      <c r="B30" s="4174" t="s">
        <v>3362</v>
      </c>
      <c r="C30" s="4174" t="s">
        <v>3093</v>
      </c>
      <c r="D30" s="4174" t="s">
        <v>3363</v>
      </c>
      <c r="E30" s="4174" t="s">
        <v>3371</v>
      </c>
      <c r="F30" s="4176" t="s">
        <v>3216</v>
      </c>
    </row>
    <row r="31" spans="1:6" ht="14.25" thickBot="1">
      <c r="A31" s="4173"/>
      <c r="B31" s="4174"/>
      <c r="C31" s="4174"/>
      <c r="D31" s="4174"/>
      <c r="E31" s="4174"/>
      <c r="F31" s="4177"/>
    </row>
    <row r="32" spans="1:6" ht="27.75" thickBot="1">
      <c r="A32" s="4178" t="s">
        <v>3364</v>
      </c>
      <c r="B32" s="3932" t="s">
        <v>3368</v>
      </c>
      <c r="C32" s="3932" t="s">
        <v>3372</v>
      </c>
      <c r="D32" s="3933">
        <f ca="1">E13</f>
        <v>1156</v>
      </c>
      <c r="E32" s="3933">
        <f>面积表!G8</f>
        <v>1902.72</v>
      </c>
      <c r="F32" s="3933">
        <f ca="1">ROUND(D32*E32/10000,4)</f>
        <v>219.95439999999999</v>
      </c>
    </row>
    <row r="33" spans="1:7" ht="15" thickBot="1">
      <c r="A33" s="4178"/>
      <c r="B33" s="4172" t="s">
        <v>16</v>
      </c>
      <c r="C33" s="4172"/>
      <c r="D33" s="4172"/>
      <c r="E33" s="4172"/>
      <c r="F33" s="3933">
        <f ca="1">F32</f>
        <v>219.95439999999999</v>
      </c>
    </row>
    <row r="34" spans="1:7" ht="15" thickBot="1">
      <c r="A34" s="4175" t="s">
        <v>3170</v>
      </c>
      <c r="B34" s="4175"/>
      <c r="C34" s="4175"/>
      <c r="D34" s="4175"/>
      <c r="E34" s="4175"/>
      <c r="F34" s="3933">
        <f ca="1">F33</f>
        <v>219.95439999999999</v>
      </c>
    </row>
    <row r="35" spans="1:7">
      <c r="A35" s="3935"/>
      <c r="B35" s="3935"/>
      <c r="C35" s="3935"/>
      <c r="D35" s="3935"/>
      <c r="E35" s="3935"/>
      <c r="F35" s="3936"/>
    </row>
    <row r="36" spans="1:7" ht="14.25" thickBot="1">
      <c r="A36" s="3937" t="s">
        <v>3374</v>
      </c>
      <c r="B36"/>
      <c r="C36"/>
      <c r="D36"/>
      <c r="E36"/>
      <c r="F36"/>
    </row>
    <row r="37" spans="1:7" ht="14.25" customHeight="1" thickBot="1">
      <c r="A37" s="4173" t="s">
        <v>3361</v>
      </c>
      <c r="B37" s="4174" t="s">
        <v>3362</v>
      </c>
      <c r="C37" s="4174" t="s">
        <v>3093</v>
      </c>
      <c r="D37" s="4174" t="s">
        <v>3403</v>
      </c>
      <c r="E37" s="4174" t="s">
        <v>3371</v>
      </c>
      <c r="F37" s="4176" t="s">
        <v>3402</v>
      </c>
    </row>
    <row r="38" spans="1:7" ht="35.25" customHeight="1" thickBot="1">
      <c r="A38" s="4173"/>
      <c r="B38" s="4174"/>
      <c r="C38" s="4174"/>
      <c r="D38" s="4174"/>
      <c r="E38" s="4174"/>
      <c r="F38" s="4177"/>
    </row>
    <row r="39" spans="1:7" ht="27.75" thickBot="1">
      <c r="A39" s="4178" t="s">
        <v>3364</v>
      </c>
      <c r="B39" s="3932" t="s">
        <v>3368</v>
      </c>
      <c r="C39" s="3932" t="s">
        <v>3372</v>
      </c>
      <c r="D39" s="3933">
        <f ca="1">F13</f>
        <v>289</v>
      </c>
      <c r="E39" s="3933">
        <f>E32</f>
        <v>1902.72</v>
      </c>
      <c r="F39" s="3933">
        <f ca="1">ROUND(D39*E39/10000,4)</f>
        <v>54.988599999999998</v>
      </c>
    </row>
    <row r="40" spans="1:7" ht="15" thickBot="1">
      <c r="A40" s="4178"/>
      <c r="B40" s="4172" t="s">
        <v>16</v>
      </c>
      <c r="C40" s="4172"/>
      <c r="D40" s="4172"/>
      <c r="E40" s="4172"/>
      <c r="F40" s="3933">
        <f ca="1">F39</f>
        <v>54.988599999999998</v>
      </c>
    </row>
    <row r="41" spans="1:7" ht="15" thickBot="1">
      <c r="A41" s="4175" t="s">
        <v>3170</v>
      </c>
      <c r="B41" s="4175"/>
      <c r="C41" s="4175"/>
      <c r="D41" s="4175"/>
      <c r="E41" s="4175"/>
      <c r="F41" s="3933">
        <f ca="1">F40</f>
        <v>54.988599999999998</v>
      </c>
      <c r="G41" s="3934"/>
    </row>
    <row r="42" spans="1:7">
      <c r="A42" s="3934"/>
      <c r="B42" s="3934"/>
      <c r="C42" s="3934"/>
      <c r="D42" s="3934"/>
      <c r="E42" s="3934"/>
      <c r="F42" s="3934"/>
      <c r="G42" s="3934"/>
    </row>
    <row r="43" spans="1:7" ht="14.25" thickBot="1">
      <c r="A43" s="3937" t="s">
        <v>3365</v>
      </c>
      <c r="B43"/>
      <c r="C43"/>
      <c r="D43"/>
      <c r="E43"/>
      <c r="F43"/>
      <c r="G43" s="3934"/>
    </row>
    <row r="44" spans="1:7" ht="14.25" thickBot="1">
      <c r="A44" s="4173" t="s">
        <v>3361</v>
      </c>
      <c r="B44" s="4174" t="s">
        <v>3362</v>
      </c>
      <c r="C44" s="4174" t="s">
        <v>3093</v>
      </c>
      <c r="D44" s="4174" t="s">
        <v>3366</v>
      </c>
      <c r="E44" s="4174" t="s">
        <v>3371</v>
      </c>
      <c r="F44" s="4176" t="s">
        <v>3367</v>
      </c>
      <c r="G44" s="3934"/>
    </row>
    <row r="45" spans="1:7" ht="25.5" customHeight="1" thickBot="1">
      <c r="A45" s="4173"/>
      <c r="B45" s="4174"/>
      <c r="C45" s="4174"/>
      <c r="D45" s="4174"/>
      <c r="E45" s="4174"/>
      <c r="F45" s="4177"/>
      <c r="G45" s="3934"/>
    </row>
    <row r="46" spans="1:7" ht="27.75" thickBot="1">
      <c r="A46" s="4178" t="s">
        <v>3364</v>
      </c>
      <c r="B46" s="3932" t="s">
        <v>3368</v>
      </c>
      <c r="C46" s="3932" t="s">
        <v>3372</v>
      </c>
      <c r="D46" s="3933">
        <f ca="1">D39</f>
        <v>289</v>
      </c>
      <c r="E46" s="3933">
        <f>E39</f>
        <v>1902.72</v>
      </c>
      <c r="F46" s="3933">
        <f ca="1">ROUND(D46*E46/10000,4)</f>
        <v>54.988599999999998</v>
      </c>
      <c r="G46" s="3934"/>
    </row>
    <row r="47" spans="1:7" ht="15" thickBot="1">
      <c r="A47" s="4178"/>
      <c r="B47" s="4172" t="s">
        <v>16</v>
      </c>
      <c r="C47" s="4172"/>
      <c r="D47" s="4172"/>
      <c r="E47" s="4172"/>
      <c r="F47" s="3933">
        <f ca="1">F46</f>
        <v>54.988599999999998</v>
      </c>
      <c r="G47" s="3934"/>
    </row>
    <row r="48" spans="1:7" ht="15" thickBot="1">
      <c r="A48" s="4175" t="s">
        <v>3170</v>
      </c>
      <c r="B48" s="4175"/>
      <c r="C48" s="4175"/>
      <c r="D48" s="4175"/>
      <c r="E48" s="4175"/>
      <c r="F48" s="3933">
        <f ca="1">F47</f>
        <v>54.988599999999998</v>
      </c>
      <c r="G48" s="3934"/>
    </row>
    <row r="49" spans="1:7">
      <c r="A49" s="3934"/>
      <c r="B49" s="3934"/>
      <c r="C49" s="3934"/>
      <c r="D49" s="3934"/>
      <c r="E49" s="3934"/>
      <c r="F49" s="3934"/>
      <c r="G49" s="3934"/>
    </row>
    <row r="50" spans="1:7">
      <c r="B50" s="3934"/>
      <c r="C50" s="3934"/>
      <c r="D50" s="3934"/>
      <c r="E50" s="3934"/>
      <c r="F50" s="3934"/>
      <c r="G50" s="3934"/>
    </row>
  </sheetData>
  <mergeCells count="63">
    <mergeCell ref="D44:D45"/>
    <mergeCell ref="E44:E45"/>
    <mergeCell ref="F44:F45"/>
    <mergeCell ref="A46:A47"/>
    <mergeCell ref="B47:E47"/>
    <mergeCell ref="A48:E48"/>
    <mergeCell ref="F30:F31"/>
    <mergeCell ref="A37:A38"/>
    <mergeCell ref="B37:B38"/>
    <mergeCell ref="C37:C38"/>
    <mergeCell ref="D37:D38"/>
    <mergeCell ref="E37:E38"/>
    <mergeCell ref="F37:F38"/>
    <mergeCell ref="A39:A40"/>
    <mergeCell ref="B40:E40"/>
    <mergeCell ref="A34:E34"/>
    <mergeCell ref="A41:E41"/>
    <mergeCell ref="A44:A45"/>
    <mergeCell ref="B44:B45"/>
    <mergeCell ref="C44:C45"/>
    <mergeCell ref="A32:A33"/>
    <mergeCell ref="B33:E33"/>
    <mergeCell ref="A30:A31"/>
    <mergeCell ref="B30:B31"/>
    <mergeCell ref="C30:C31"/>
    <mergeCell ref="D30:D31"/>
    <mergeCell ref="E30:E31"/>
    <mergeCell ref="A22:A24"/>
    <mergeCell ref="E22:E24"/>
    <mergeCell ref="F22:F24"/>
    <mergeCell ref="A25:A27"/>
    <mergeCell ref="E25:E27"/>
    <mergeCell ref="F25:F27"/>
    <mergeCell ref="A16:A18"/>
    <mergeCell ref="E16:E18"/>
    <mergeCell ref="F16:F18"/>
    <mergeCell ref="A19:A21"/>
    <mergeCell ref="E19:E21"/>
    <mergeCell ref="F19:F21"/>
    <mergeCell ref="A10:A12"/>
    <mergeCell ref="E10:E12"/>
    <mergeCell ref="F10:F12"/>
    <mergeCell ref="A13:A15"/>
    <mergeCell ref="E13:E15"/>
    <mergeCell ref="F13:F15"/>
    <mergeCell ref="A3:A5"/>
    <mergeCell ref="E3:E5"/>
    <mergeCell ref="F3:F5"/>
    <mergeCell ref="A6:A9"/>
    <mergeCell ref="B6:B7"/>
    <mergeCell ref="C6:C7"/>
    <mergeCell ref="D6:D7"/>
    <mergeCell ref="E6:E9"/>
    <mergeCell ref="F6:F9"/>
    <mergeCell ref="H13:H14"/>
    <mergeCell ref="N13:N14"/>
    <mergeCell ref="P13:P14"/>
    <mergeCell ref="I13:I14"/>
    <mergeCell ref="J13:J14"/>
    <mergeCell ref="K13:K14"/>
    <mergeCell ref="L13:L14"/>
    <mergeCell ref="M13:M14"/>
    <mergeCell ref="O13:O14"/>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M45"/>
  <sheetViews>
    <sheetView zoomScale="90" zoomScaleNormal="90" workbookViewId="0">
      <selection activeCell="F17" sqref="F17"/>
    </sheetView>
  </sheetViews>
  <sheetFormatPr defaultColWidth="10.875" defaultRowHeight="13.5"/>
  <cols>
    <col min="1" max="1" width="11" style="3904" customWidth="1"/>
    <col min="2" max="2" width="10.875" style="3904" customWidth="1"/>
    <col min="3" max="3" width="9.875" style="3904" customWidth="1"/>
    <col min="4" max="4" width="10" style="3904" customWidth="1"/>
    <col min="5" max="5" width="11.375" style="3904" customWidth="1"/>
    <col min="6" max="6" width="14.875" style="3904" customWidth="1"/>
    <col min="7" max="7" width="10.875" style="3904"/>
    <col min="8" max="8" width="11.625" style="3904" customWidth="1"/>
    <col min="9" max="9" width="5.125" style="3904" bestFit="1" customWidth="1"/>
    <col min="10" max="10" width="10.875" style="3904" customWidth="1"/>
    <col min="11" max="16384" width="10.875" style="3904"/>
  </cols>
  <sheetData>
    <row r="1" spans="1:13" ht="16.5" customHeight="1">
      <c r="A1" s="3899"/>
      <c r="B1" s="3899"/>
      <c r="C1" s="3899"/>
      <c r="D1" s="3899"/>
      <c r="E1" s="3900" t="s">
        <v>3303</v>
      </c>
      <c r="F1" s="3901" t="s">
        <v>3304</v>
      </c>
      <c r="G1" s="3902"/>
      <c r="H1" s="3903"/>
    </row>
    <row r="2" spans="1:13">
      <c r="A2" s="3904" t="s">
        <v>3305</v>
      </c>
      <c r="B2" s="3905">
        <v>12128</v>
      </c>
      <c r="C2" s="4179" t="s">
        <v>1469</v>
      </c>
      <c r="D2" s="4179"/>
      <c r="E2" s="3906">
        <f>E7/B16</f>
        <v>2.4736147757255935</v>
      </c>
      <c r="F2" s="3906">
        <f>F7/B16</f>
        <v>2.3979675131926119</v>
      </c>
      <c r="G2" s="3902"/>
      <c r="H2" s="3903"/>
    </row>
    <row r="3" spans="1:13">
      <c r="A3" s="4180" t="s">
        <v>3306</v>
      </c>
      <c r="B3" s="4181"/>
      <c r="C3" s="4180" t="s">
        <v>3307</v>
      </c>
      <c r="D3" s="4181"/>
      <c r="E3" s="3907" t="s">
        <v>3308</v>
      </c>
      <c r="F3" s="3907" t="s">
        <v>3309</v>
      </c>
      <c r="G3" s="3907" t="s">
        <v>3310</v>
      </c>
      <c r="H3" s="3908" t="s">
        <v>3311</v>
      </c>
      <c r="J3" s="4182" t="s">
        <v>3312</v>
      </c>
      <c r="K3" s="4182"/>
      <c r="L3" s="4182"/>
      <c r="M3" s="4182"/>
    </row>
    <row r="4" spans="1:13">
      <c r="A4" s="4183" t="s">
        <v>3313</v>
      </c>
      <c r="B4" s="4183" t="s">
        <v>3314</v>
      </c>
      <c r="C4" s="4186" t="s">
        <v>3315</v>
      </c>
      <c r="D4" s="4186"/>
      <c r="E4" s="3909">
        <v>30000</v>
      </c>
      <c r="F4" s="3909">
        <f t="shared" ref="F4:F13" si="0">F18</f>
        <v>23347.35</v>
      </c>
      <c r="G4" s="3910">
        <f>F4-E4</f>
        <v>-6652.6500000000015</v>
      </c>
      <c r="H4" s="3911"/>
      <c r="J4" s="4182"/>
      <c r="K4" s="4182"/>
      <c r="L4" s="4182"/>
      <c r="M4" s="4182"/>
    </row>
    <row r="5" spans="1:13">
      <c r="A5" s="4184"/>
      <c r="B5" s="4184"/>
      <c r="C5" s="4186" t="s">
        <v>3316</v>
      </c>
      <c r="D5" s="4186"/>
      <c r="E5" s="3909">
        <v>0</v>
      </c>
      <c r="F5" s="3909">
        <f t="shared" si="0"/>
        <v>5735.2</v>
      </c>
      <c r="G5" s="3910">
        <f t="shared" ref="G5:G13" si="1">F5-E5</f>
        <v>5735.2</v>
      </c>
      <c r="H5" s="3911"/>
      <c r="J5" s="4182"/>
      <c r="K5" s="4182"/>
      <c r="L5" s="4182"/>
      <c r="M5" s="4182"/>
    </row>
    <row r="6" spans="1:13" hidden="1">
      <c r="A6" s="4184"/>
      <c r="B6" s="3907" t="s">
        <v>3317</v>
      </c>
      <c r="C6" s="4180" t="s">
        <v>3318</v>
      </c>
      <c r="D6" s="4181"/>
      <c r="E6" s="3909">
        <v>0</v>
      </c>
      <c r="F6" s="3909">
        <f t="shared" si="0"/>
        <v>0</v>
      </c>
      <c r="G6" s="3910">
        <f t="shared" si="1"/>
        <v>0</v>
      </c>
      <c r="H6" s="3908"/>
    </row>
    <row r="7" spans="1:13">
      <c r="A7" s="4185"/>
      <c r="B7" s="4187" t="s">
        <v>3319</v>
      </c>
      <c r="C7" s="4188"/>
      <c r="D7" s="4189"/>
      <c r="E7" s="3912">
        <f>SUM(E4:E6)</f>
        <v>30000</v>
      </c>
      <c r="F7" s="3909">
        <f t="shared" si="0"/>
        <v>29082.55</v>
      </c>
      <c r="G7" s="3910">
        <f t="shared" si="1"/>
        <v>-917.45000000000073</v>
      </c>
      <c r="H7" s="3908">
        <f t="shared" ref="H7" si="2">G7/E7</f>
        <v>-3.0581666666666691E-2</v>
      </c>
    </row>
    <row r="8" spans="1:13">
      <c r="A8" s="4183" t="s">
        <v>3320</v>
      </c>
      <c r="B8" s="4190" t="s">
        <v>3314</v>
      </c>
      <c r="C8" s="4190" t="str">
        <f>C4</f>
        <v>综合实验楼</v>
      </c>
      <c r="D8" s="4190"/>
      <c r="E8" s="3913">
        <v>0</v>
      </c>
      <c r="F8" s="3913">
        <f t="shared" si="0"/>
        <v>1902.72</v>
      </c>
      <c r="G8" s="3914">
        <f t="shared" si="1"/>
        <v>1902.72</v>
      </c>
      <c r="H8" s="3915">
        <v>1</v>
      </c>
      <c r="J8" s="4182" t="s">
        <v>3321</v>
      </c>
      <c r="K8" s="4182"/>
      <c r="L8" s="4182"/>
      <c r="M8" s="4182"/>
    </row>
    <row r="9" spans="1:13" ht="15" hidden="1" customHeight="1">
      <c r="A9" s="4184"/>
      <c r="B9" s="4190"/>
      <c r="C9" s="4190" t="str">
        <f>C5</f>
        <v>综合实验厂房</v>
      </c>
      <c r="D9" s="4190"/>
      <c r="E9" s="3916">
        <v>0</v>
      </c>
      <c r="F9" s="3916">
        <f t="shared" si="0"/>
        <v>0</v>
      </c>
      <c r="G9" s="3917">
        <f t="shared" si="1"/>
        <v>0</v>
      </c>
      <c r="H9" s="3918"/>
      <c r="J9" s="4182"/>
      <c r="K9" s="4182"/>
      <c r="L9" s="4182"/>
      <c r="M9" s="4182"/>
    </row>
    <row r="10" spans="1:13">
      <c r="A10" s="4184"/>
      <c r="B10" s="4186" t="s">
        <v>3317</v>
      </c>
      <c r="C10" s="4186" t="s">
        <v>3322</v>
      </c>
      <c r="D10" s="4186"/>
      <c r="E10" s="3909">
        <f>C48-E8</f>
        <v>0</v>
      </c>
      <c r="F10" s="3909">
        <f t="shared" si="0"/>
        <v>3023.92</v>
      </c>
      <c r="G10" s="3910">
        <f t="shared" si="1"/>
        <v>3023.92</v>
      </c>
      <c r="H10" s="3908"/>
      <c r="J10" s="4182"/>
      <c r="K10" s="4182"/>
      <c r="L10" s="4182"/>
      <c r="M10" s="4182"/>
    </row>
    <row r="11" spans="1:13">
      <c r="A11" s="4184"/>
      <c r="B11" s="4186"/>
      <c r="C11" s="4186" t="str">
        <f>C6</f>
        <v>人防</v>
      </c>
      <c r="D11" s="4186"/>
      <c r="E11" s="3909">
        <v>0</v>
      </c>
      <c r="F11" s="3909">
        <f t="shared" si="0"/>
        <v>4161.3999999999996</v>
      </c>
      <c r="G11" s="3910">
        <f t="shared" si="1"/>
        <v>4161.3999999999996</v>
      </c>
      <c r="H11" s="3908"/>
      <c r="J11" s="4182"/>
      <c r="K11" s="4182"/>
      <c r="L11" s="4182"/>
      <c r="M11" s="4182"/>
    </row>
    <row r="12" spans="1:13">
      <c r="A12" s="4185"/>
      <c r="B12" s="4187" t="s">
        <v>3319</v>
      </c>
      <c r="C12" s="4188"/>
      <c r="D12" s="4189"/>
      <c r="E12" s="3919">
        <f>SUM(E8:E11)</f>
        <v>0</v>
      </c>
      <c r="F12" s="3909">
        <f t="shared" si="0"/>
        <v>9088.0400000000009</v>
      </c>
      <c r="G12" s="3910">
        <f t="shared" si="1"/>
        <v>9088.0400000000009</v>
      </c>
      <c r="H12" s="3908"/>
      <c r="J12" s="4182"/>
      <c r="K12" s="4182"/>
      <c r="L12" s="4182"/>
      <c r="M12" s="4182"/>
    </row>
    <row r="13" spans="1:13">
      <c r="A13" s="4187" t="s">
        <v>3323</v>
      </c>
      <c r="B13" s="4188"/>
      <c r="C13" s="4188"/>
      <c r="D13" s="4189"/>
      <c r="E13" s="3912">
        <f>E7+E12</f>
        <v>30000</v>
      </c>
      <c r="F13" s="3909">
        <f t="shared" si="0"/>
        <v>38170.589999999997</v>
      </c>
      <c r="G13" s="3910">
        <f t="shared" si="1"/>
        <v>8170.5899999999965</v>
      </c>
      <c r="H13" s="3908">
        <f t="shared" ref="H13" si="3">G13/E13</f>
        <v>0.2723529999999999</v>
      </c>
    </row>
    <row r="15" spans="1:13" ht="17.25" customHeight="1">
      <c r="E15" s="3900" t="s">
        <v>3324</v>
      </c>
      <c r="F15" s="3901" t="s">
        <v>3304</v>
      </c>
    </row>
    <row r="16" spans="1:13">
      <c r="A16" s="3904" t="s">
        <v>3305</v>
      </c>
      <c r="B16" s="3905">
        <v>12128</v>
      </c>
      <c r="C16" s="4191" t="s">
        <v>3325</v>
      </c>
      <c r="D16" s="4191"/>
      <c r="E16" s="3905">
        <f>E21/B16</f>
        <v>2.3405343007915569</v>
      </c>
      <c r="F16" s="3905">
        <f>F21/B16</f>
        <v>2.3979675131926119</v>
      </c>
    </row>
    <row r="17" spans="1:8">
      <c r="A17" s="4180" t="s">
        <v>3306</v>
      </c>
      <c r="B17" s="4181"/>
      <c r="C17" s="4180" t="s">
        <v>3307</v>
      </c>
      <c r="D17" s="4181"/>
      <c r="E17" s="3907" t="s">
        <v>3308</v>
      </c>
      <c r="F17" s="3907" t="s">
        <v>3309</v>
      </c>
      <c r="G17" s="3907" t="s">
        <v>3310</v>
      </c>
      <c r="H17" s="3908" t="s">
        <v>3311</v>
      </c>
    </row>
    <row r="18" spans="1:8">
      <c r="A18" s="4183" t="s">
        <v>3313</v>
      </c>
      <c r="B18" s="4183" t="s">
        <v>3314</v>
      </c>
      <c r="C18" s="4186" t="s">
        <v>3315</v>
      </c>
      <c r="D18" s="4186"/>
      <c r="E18" s="3909">
        <f>22812-E20</f>
        <v>22812</v>
      </c>
      <c r="F18" s="3909">
        <v>23347.35</v>
      </c>
      <c r="G18" s="3910">
        <f>F18-E18</f>
        <v>535.34999999999854</v>
      </c>
      <c r="H18" s="3911">
        <f>G18/E18</f>
        <v>2.3467911625460219E-2</v>
      </c>
    </row>
    <row r="19" spans="1:8">
      <c r="A19" s="4184"/>
      <c r="B19" s="4184"/>
      <c r="C19" s="4186" t="s">
        <v>3316</v>
      </c>
      <c r="D19" s="4186"/>
      <c r="E19" s="3909">
        <v>5574</v>
      </c>
      <c r="F19" s="3909">
        <v>5735.2</v>
      </c>
      <c r="G19" s="3910">
        <f t="shared" ref="G19:G27" si="4">F19-E19</f>
        <v>161.19999999999982</v>
      </c>
      <c r="H19" s="3911">
        <f t="shared" ref="H19:H27" si="5">G19/E19</f>
        <v>2.8919985647649769E-2</v>
      </c>
    </row>
    <row r="20" spans="1:8" hidden="1">
      <c r="A20" s="4184"/>
      <c r="B20" s="3907" t="s">
        <v>3317</v>
      </c>
      <c r="C20" s="4180" t="s">
        <v>3318</v>
      </c>
      <c r="D20" s="4181"/>
      <c r="E20" s="3909">
        <v>0</v>
      </c>
      <c r="F20" s="3909">
        <v>0</v>
      </c>
      <c r="G20" s="3910">
        <f t="shared" si="4"/>
        <v>0</v>
      </c>
      <c r="H20" s="3908">
        <v>0</v>
      </c>
    </row>
    <row r="21" spans="1:8">
      <c r="A21" s="4185"/>
      <c r="B21" s="4187" t="s">
        <v>3319</v>
      </c>
      <c r="C21" s="4188"/>
      <c r="D21" s="4189"/>
      <c r="E21" s="3912">
        <f>SUM(E18:E20)</f>
        <v>28386</v>
      </c>
      <c r="F21" s="3912">
        <f>SUM(F18:F20)</f>
        <v>29082.55</v>
      </c>
      <c r="G21" s="3910">
        <f t="shared" si="4"/>
        <v>696.54999999999927</v>
      </c>
      <c r="H21" s="3908">
        <f t="shared" si="5"/>
        <v>2.4538504896780076E-2</v>
      </c>
    </row>
    <row r="22" spans="1:8">
      <c r="A22" s="4183" t="s">
        <v>3320</v>
      </c>
      <c r="B22" s="4186" t="s">
        <v>3314</v>
      </c>
      <c r="C22" s="4186" t="str">
        <f>C18</f>
        <v>综合实验楼</v>
      </c>
      <c r="D22" s="4186"/>
      <c r="E22" s="3909">
        <f>C34+C35</f>
        <v>1992.2</v>
      </c>
      <c r="F22" s="3909">
        <v>1902.72</v>
      </c>
      <c r="G22" s="3910">
        <f t="shared" si="4"/>
        <v>-89.480000000000018</v>
      </c>
      <c r="H22" s="3911">
        <f t="shared" si="5"/>
        <v>-4.4915169159722927E-2</v>
      </c>
    </row>
    <row r="23" spans="1:8" hidden="1">
      <c r="A23" s="4184"/>
      <c r="B23" s="4186"/>
      <c r="C23" s="4186" t="str">
        <f>C19</f>
        <v>综合实验厂房</v>
      </c>
      <c r="D23" s="4186"/>
      <c r="E23" s="3909">
        <v>0</v>
      </c>
      <c r="F23" s="3909">
        <v>0</v>
      </c>
      <c r="G23" s="3910">
        <f t="shared" si="4"/>
        <v>0</v>
      </c>
      <c r="H23" s="3908">
        <v>0</v>
      </c>
    </row>
    <row r="24" spans="1:8">
      <c r="A24" s="4184"/>
      <c r="B24" s="4186" t="s">
        <v>3317</v>
      </c>
      <c r="C24" s="4186" t="s">
        <v>3322</v>
      </c>
      <c r="D24" s="4186"/>
      <c r="E24" s="3909">
        <f>C41-E22</f>
        <v>3737.8000000000011</v>
      </c>
      <c r="F24" s="3909">
        <f>D41-F22</f>
        <v>3023.92</v>
      </c>
      <c r="G24" s="3910">
        <f t="shared" si="4"/>
        <v>-713.88000000000102</v>
      </c>
      <c r="H24" s="3908">
        <f t="shared" si="5"/>
        <v>-0.19098935202525572</v>
      </c>
    </row>
    <row r="25" spans="1:8">
      <c r="A25" s="4184"/>
      <c r="B25" s="4186"/>
      <c r="C25" s="4186" t="str">
        <f>C20</f>
        <v>人防</v>
      </c>
      <c r="D25" s="4186"/>
      <c r="E25" s="3909">
        <f>C33</f>
        <v>3904</v>
      </c>
      <c r="F25" s="3909">
        <f>D33</f>
        <v>4161.3999999999996</v>
      </c>
      <c r="G25" s="3910">
        <f t="shared" si="4"/>
        <v>257.39999999999964</v>
      </c>
      <c r="H25" s="3908">
        <f t="shared" si="5"/>
        <v>6.593237704918023E-2</v>
      </c>
    </row>
    <row r="26" spans="1:8">
      <c r="A26" s="4185"/>
      <c r="B26" s="4187" t="s">
        <v>3319</v>
      </c>
      <c r="C26" s="4188"/>
      <c r="D26" s="4189"/>
      <c r="E26" s="3919">
        <f>SUM(E22:E25)</f>
        <v>9634</v>
      </c>
      <c r="F26" s="3920">
        <f>SUM(F22:F25)</f>
        <v>9088.0400000000009</v>
      </c>
      <c r="G26" s="3910">
        <f t="shared" si="4"/>
        <v>-545.95999999999913</v>
      </c>
      <c r="H26" s="3908">
        <f t="shared" si="5"/>
        <v>-5.6670126634834866E-2</v>
      </c>
    </row>
    <row r="27" spans="1:8">
      <c r="A27" s="4187" t="s">
        <v>3323</v>
      </c>
      <c r="B27" s="4188"/>
      <c r="C27" s="4188"/>
      <c r="D27" s="4189"/>
      <c r="E27" s="3919">
        <f>E21+E26</f>
        <v>38020</v>
      </c>
      <c r="F27" s="3912">
        <f>F21+F26</f>
        <v>38170.589999999997</v>
      </c>
      <c r="G27" s="3910">
        <f t="shared" si="4"/>
        <v>150.58999999999651</v>
      </c>
      <c r="H27" s="3908">
        <f t="shared" si="5"/>
        <v>3.9608100999473043E-3</v>
      </c>
    </row>
    <row r="30" spans="1:8" s="3922" customFormat="1" ht="27">
      <c r="A30" s="4192" t="s">
        <v>3326</v>
      </c>
      <c r="B30" s="4192"/>
      <c r="C30" s="4192"/>
      <c r="D30" s="3921" t="s">
        <v>3327</v>
      </c>
    </row>
    <row r="31" spans="1:8" s="3922" customFormat="1" ht="32.1" customHeight="1">
      <c r="A31" s="4193" t="s">
        <v>3328</v>
      </c>
      <c r="B31" s="3923" t="s">
        <v>3329</v>
      </c>
      <c r="C31" s="3923">
        <v>124</v>
      </c>
      <c r="D31" s="3923">
        <v>457.69</v>
      </c>
      <c r="E31" s="3924"/>
    </row>
    <row r="32" spans="1:8" s="3922" customFormat="1" ht="62.1" customHeight="1">
      <c r="A32" s="4193"/>
      <c r="B32" s="3923" t="s">
        <v>3330</v>
      </c>
      <c r="C32" s="3923">
        <v>3780</v>
      </c>
      <c r="D32" s="3923">
        <v>3703.71</v>
      </c>
      <c r="E32" s="3924"/>
    </row>
    <row r="33" spans="1:6" s="3922" customFormat="1">
      <c r="A33" s="4193"/>
      <c r="B33" s="3923" t="s">
        <v>3331</v>
      </c>
      <c r="C33" s="3923">
        <f>C31+C32</f>
        <v>3904</v>
      </c>
      <c r="D33" s="3923">
        <f>D31+D32</f>
        <v>4161.3999999999996</v>
      </c>
      <c r="E33" s="3924"/>
    </row>
    <row r="34" spans="1:6" s="3922" customFormat="1" ht="27">
      <c r="A34" s="4193" t="s">
        <v>3332</v>
      </c>
      <c r="B34" s="3923" t="s">
        <v>3333</v>
      </c>
      <c r="C34" s="3923">
        <v>1829.3</v>
      </c>
      <c r="D34" s="3923">
        <v>1747.15</v>
      </c>
      <c r="E34" s="3924">
        <f>D34+D35</f>
        <v>1902.72</v>
      </c>
    </row>
    <row r="35" spans="1:6" s="3922" customFormat="1" ht="18.95" customHeight="1">
      <c r="A35" s="4193"/>
      <c r="B35" s="3923" t="s">
        <v>3334</v>
      </c>
      <c r="C35" s="3923">
        <v>162.9</v>
      </c>
      <c r="D35" s="3923">
        <v>155.57</v>
      </c>
      <c r="E35" s="3924"/>
    </row>
    <row r="36" spans="1:6" s="3922" customFormat="1">
      <c r="A36" s="4193"/>
      <c r="B36" s="3923" t="s">
        <v>3335</v>
      </c>
      <c r="C36" s="3923">
        <v>134.6</v>
      </c>
      <c r="D36" s="3923">
        <v>128.57</v>
      </c>
      <c r="E36" s="3924"/>
    </row>
    <row r="37" spans="1:6" s="3922" customFormat="1">
      <c r="A37" s="4193"/>
      <c r="B37" s="3923" t="s">
        <v>3336</v>
      </c>
      <c r="C37" s="3923">
        <v>2560.6999999999998</v>
      </c>
      <c r="D37" s="3923">
        <v>2445.67</v>
      </c>
      <c r="E37" s="3924"/>
    </row>
    <row r="38" spans="1:6" s="3922" customFormat="1">
      <c r="A38" s="4193"/>
      <c r="B38" s="3923" t="s">
        <v>3337</v>
      </c>
      <c r="C38" s="3923">
        <v>470.8</v>
      </c>
      <c r="D38" s="3923">
        <v>449.68</v>
      </c>
    </row>
    <row r="39" spans="1:6" s="3922" customFormat="1">
      <c r="A39" s="4193"/>
      <c r="B39" s="3923" t="s">
        <v>3338</v>
      </c>
      <c r="C39" s="3923">
        <v>325.60000000000002</v>
      </c>
      <c r="D39" s="3923">
        <v>0</v>
      </c>
    </row>
    <row r="40" spans="1:6" s="3922" customFormat="1">
      <c r="A40" s="4193"/>
      <c r="B40" s="3923" t="s">
        <v>3339</v>
      </c>
      <c r="C40" s="3923">
        <v>246.1</v>
      </c>
      <c r="D40" s="3923">
        <v>0</v>
      </c>
    </row>
    <row r="41" spans="1:6" s="3922" customFormat="1">
      <c r="A41" s="4193"/>
      <c r="B41" s="3921" t="str">
        <f>B33</f>
        <v>小计</v>
      </c>
      <c r="C41" s="3923">
        <f>SUM(C34:C40)</f>
        <v>5730.0000000000009</v>
      </c>
      <c r="D41" s="3923">
        <f>SUM(D34:D40)</f>
        <v>4926.6400000000003</v>
      </c>
    </row>
    <row r="42" spans="1:6" s="3922" customFormat="1">
      <c r="A42" s="3921" t="s">
        <v>3340</v>
      </c>
      <c r="B42" s="3923" t="s">
        <v>3341</v>
      </c>
      <c r="C42" s="3923">
        <f>C33+C41</f>
        <v>9634</v>
      </c>
      <c r="D42" s="3923">
        <f>D33+D41</f>
        <v>9088.0400000000009</v>
      </c>
    </row>
    <row r="43" spans="1:6" s="3922" customFormat="1"/>
    <row r="44" spans="1:6">
      <c r="A44" s="3921" t="s">
        <v>3342</v>
      </c>
      <c r="B44" s="3921" t="s">
        <v>3343</v>
      </c>
      <c r="C44" s="3923">
        <f>22688.96+658.39</f>
        <v>23347.35</v>
      </c>
      <c r="D44" s="3923">
        <v>9088.0400000000009</v>
      </c>
      <c r="E44" s="3923">
        <f>C44+D44</f>
        <v>32435.39</v>
      </c>
      <c r="F44" s="3923">
        <f>E44+C45</f>
        <v>38170.589999999997</v>
      </c>
    </row>
    <row r="45" spans="1:6" ht="27">
      <c r="A45" s="3921"/>
      <c r="B45" s="3921" t="s">
        <v>3344</v>
      </c>
      <c r="C45" s="3923">
        <v>5735.2</v>
      </c>
      <c r="D45" s="3923"/>
      <c r="E45" s="3923"/>
      <c r="F45" s="3921"/>
    </row>
  </sheetData>
  <mergeCells count="41">
    <mergeCell ref="A27:D27"/>
    <mergeCell ref="A30:C30"/>
    <mergeCell ref="A31:A33"/>
    <mergeCell ref="A34:A41"/>
    <mergeCell ref="A22:A26"/>
    <mergeCell ref="B22:B23"/>
    <mergeCell ref="C22:D22"/>
    <mergeCell ref="C23:D23"/>
    <mergeCell ref="B24:B25"/>
    <mergeCell ref="C24:D24"/>
    <mergeCell ref="C25:D25"/>
    <mergeCell ref="B26:D26"/>
    <mergeCell ref="A13:D13"/>
    <mergeCell ref="C16:D16"/>
    <mergeCell ref="A17:B17"/>
    <mergeCell ref="C17:D17"/>
    <mergeCell ref="A18:A21"/>
    <mergeCell ref="B18:B19"/>
    <mergeCell ref="C18:D18"/>
    <mergeCell ref="C19:D19"/>
    <mergeCell ref="C20:D20"/>
    <mergeCell ref="B21:D21"/>
    <mergeCell ref="A8:A12"/>
    <mergeCell ref="B8:B9"/>
    <mergeCell ref="C8:D8"/>
    <mergeCell ref="J8:M12"/>
    <mergeCell ref="C9:D9"/>
    <mergeCell ref="B10:B11"/>
    <mergeCell ref="C10:D10"/>
    <mergeCell ref="C11:D11"/>
    <mergeCell ref="B12:D12"/>
    <mergeCell ref="C2:D2"/>
    <mergeCell ref="A3:B3"/>
    <mergeCell ref="C3:D3"/>
    <mergeCell ref="J3:M5"/>
    <mergeCell ref="A4:A7"/>
    <mergeCell ref="B4:B5"/>
    <mergeCell ref="C4:D4"/>
    <mergeCell ref="C5:D5"/>
    <mergeCell ref="C6:D6"/>
    <mergeCell ref="B7:D7"/>
  </mergeCells>
  <phoneticPr fontId="224" type="noConversion"/>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topLeftCell="A19" zoomScale="80" zoomScaleNormal="80" zoomScaleSheetLayoutView="80" workbookViewId="0">
      <selection activeCell="C25" sqref="C25"/>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29082.55</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f>C30</f>
        <v>13169</v>
      </c>
      <c r="C2" s="1110" t="s">
        <v>849</v>
      </c>
      <c r="D2" s="1111" t="s">
        <v>833</v>
      </c>
      <c r="E2" s="1112" t="s">
        <v>2643</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f>ROUND($C$5*$C$22*$C$23*$C$24*S2*$C$28,0)</f>
        <v>7086</v>
      </c>
      <c r="U2" s="2117"/>
      <c r="V2" s="2127">
        <f>ROUND(T2*U2/10000,0)</f>
        <v>0</v>
      </c>
      <c r="W2" s="1708"/>
      <c r="X2" s="1708"/>
      <c r="Y2" s="1708"/>
      <c r="Z2" s="1708"/>
      <c r="AA2" s="1708"/>
      <c r="AB2" s="1708"/>
      <c r="AC2" s="1709"/>
    </row>
    <row r="3" spans="1:39" ht="15.75">
      <c r="A3" s="1114" t="s">
        <v>1220</v>
      </c>
      <c r="B3" s="870">
        <f>ROUND(B2*10000/D1,0)</f>
        <v>4528</v>
      </c>
      <c r="C3" s="1110" t="s">
        <v>855</v>
      </c>
      <c r="D3" s="1111" t="s">
        <v>856</v>
      </c>
      <c r="E3" s="1115" t="s">
        <v>2387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f t="shared" ref="T3:T16" si="0">ROUND($C$5*$C$22*$C$23*$C$24*S3*$C$28,0)</f>
        <v>5585</v>
      </c>
      <c r="U3" s="2117"/>
      <c r="V3" s="2127">
        <f t="shared" ref="V3:V16" si="1">ROUND(T3*U3/10000,0)</f>
        <v>0</v>
      </c>
      <c r="W3" s="1708"/>
      <c r="X3" s="1708"/>
      <c r="Y3" s="1708"/>
      <c r="Z3" s="1708"/>
      <c r="AA3" s="1708"/>
      <c r="AB3" s="1708"/>
      <c r="AC3" s="1709"/>
    </row>
    <row r="4" spans="1:39" ht="28.5">
      <c r="A4" s="1475" t="s">
        <v>1557</v>
      </c>
      <c r="B4" s="1877">
        <f>ROUND(B2*10000/F1,0)</f>
        <v>10858</v>
      </c>
      <c r="C4" s="1478" t="s">
        <v>1532</v>
      </c>
      <c r="D4" s="1478">
        <f>ROUND(B2/(F1/666.67),0)</f>
        <v>724</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f t="shared" si="0"/>
        <v>4720</v>
      </c>
      <c r="U4" s="2117"/>
      <c r="V4" s="2127">
        <f t="shared" si="1"/>
        <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5465</v>
      </c>
      <c r="D5" s="2245">
        <f>ROUND(C6*C17+C20,0)</f>
        <v>5465</v>
      </c>
      <c r="E5" s="3616">
        <f>C6+C20</f>
        <v>5465</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f t="shared" si="0"/>
        <v>4163</v>
      </c>
      <c r="U5" s="2117"/>
      <c r="V5" s="2127">
        <f t="shared" si="1"/>
        <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5490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f t="shared" si="0"/>
        <v>4001</v>
      </c>
      <c r="U6" s="2117"/>
      <c r="V6" s="2127">
        <f t="shared" si="1"/>
        <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5490</v>
      </c>
      <c r="N7" s="1471">
        <f>SUMPRODUCT((因素修正幅度!B190:B233=I2)*(因素修正幅度!C3:G3=E2)*(因素修正幅度!C190:G233))</f>
        <v>0.13</v>
      </c>
      <c r="O7" s="2647"/>
      <c r="P7" s="2650"/>
      <c r="Q7" s="1708"/>
      <c r="R7" s="2127">
        <v>6</v>
      </c>
      <c r="S7" s="2117"/>
      <c r="T7" s="2127">
        <f t="shared" si="0"/>
        <v>0</v>
      </c>
      <c r="U7" s="2117"/>
      <c r="V7" s="2127">
        <f t="shared" si="1"/>
        <v>0</v>
      </c>
      <c r="W7" s="3898"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f t="shared" si="0"/>
        <v>0</v>
      </c>
      <c r="U10" s="2117"/>
      <c r="V10" s="2127">
        <f t="shared" si="1"/>
        <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1</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0.91279999999999994</v>
      </c>
      <c r="H18" s="3212" t="s">
        <v>3117</v>
      </c>
      <c r="I18" s="3214">
        <f>ROUND(1-(1/(POWER(1+G24,J24))),4)</f>
        <v>0.91279999999999994</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G19</f>
        <v>29082.55</v>
      </c>
      <c r="F19" s="3213" t="s">
        <v>3116</v>
      </c>
      <c r="G19" s="3217">
        <f>'数据-汇总表'!E3</f>
        <v>29082.55</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f>ROUND(IF(F21="与级别开发程度一致",0,(G21-E21)/C21),0)</f>
        <v>-25</v>
      </c>
      <c r="D20" s="4136" t="s">
        <v>879</v>
      </c>
      <c r="E20" s="4137"/>
      <c r="F20" s="4136" t="s">
        <v>876</v>
      </c>
      <c r="G20" s="4137"/>
      <c r="H20" s="1139" t="s">
        <v>2672</v>
      </c>
      <c r="I20" s="1139" t="s">
        <v>2673</v>
      </c>
      <c r="J20" s="1139" t="s">
        <v>2674</v>
      </c>
      <c r="K20" s="1139" t="s">
        <v>2675</v>
      </c>
      <c r="L20" s="1139" t="s">
        <v>2676</v>
      </c>
      <c r="M20" s="1139"/>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2</v>
      </c>
      <c r="D21" s="2302" t="str">
        <f>IF(OR(G2="八级",G2="九级",G2="十级",G2="十一级",G2="十二级"),"五通一平","七通一平")</f>
        <v>七通一平</v>
      </c>
      <c r="E21" s="2292">
        <f>SUMPRODUCT((修正!B1:M1=G2)*(修正!B17:M17))</f>
        <v>315</v>
      </c>
      <c r="F21" s="2293" t="s">
        <v>3224</v>
      </c>
      <c r="G21" s="2292">
        <f>SUM(H21:O21)</f>
        <v>265</v>
      </c>
      <c r="H21" s="876">
        <f>SUMPRODUCT((七通一平=H20)*(修正!B1:M1=G2)*(修正!B8:M16))</f>
        <v>70</v>
      </c>
      <c r="I21" s="876">
        <f>SUMPRODUCT((七通一平=I20)*(修正!B1:M1=G2)*(修正!B8:M16))</f>
        <v>60</v>
      </c>
      <c r="J21" s="876">
        <f>SUMPRODUCT((七通一平=J20)*(修正!B1:M1=G2)*(修正!B8:M16))</f>
        <v>15</v>
      </c>
      <c r="K21" s="876">
        <f>SUMPRODUCT((七通一平=K20)*(修正!B1:M1=G2)*(修正!B8:M16))</f>
        <v>25</v>
      </c>
      <c r="L21" s="876">
        <f>SUMPRODUCT((七通一平=L20)*(修正!B1:M1=G2)*(修正!B8:M16))</f>
        <v>40</v>
      </c>
      <c r="M21" s="876">
        <f>SUMPRODUCT((七通一平=M20)*(修正!B1:M1=G2)*(修正!B8:M16))</f>
        <v>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0.8</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0</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f>ROUND(POWER(1+G24,J24-I24)*(POWER(1+G24,I24)-1)/(POWER(1+G24,J24)-1),4)</f>
        <v>1</v>
      </c>
      <c r="D24" s="2023" t="s">
        <v>897</v>
      </c>
      <c r="E24" s="2237">
        <f>存贷款利率!E22/100</f>
        <v>4.3499999999999997E-2</v>
      </c>
      <c r="F24" s="2023" t="s">
        <v>898</v>
      </c>
      <c r="G24" s="2024">
        <f>SUMIF(M30:Q30,E2,M33:Q33)</f>
        <v>0.05</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4330">
        <f>H26</f>
        <v>0.95979999999999999</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4329">
        <f>IF(E26=G26,F26,IF(G3&lt;10,ROUND(F26+(H26-F26)*(G3-E26)/(G26-E26),4),"——"))</f>
        <v>0.96</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1.0504</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f>IF(B25="容积率修正",E33+SUM(E37:E42),SUM(V2:V16)+SUM(E37:E42))</f>
        <v>13169</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f>E34+SUM(I37:I42)</f>
        <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f>ROUND(C5*C22*C23*C24*C25*C28,0)</f>
        <v>4528</v>
      </c>
      <c r="D33" s="1174">
        <f>'数据-汇总表'!E19</f>
        <v>29082.55</v>
      </c>
      <c r="E33" s="1463">
        <f>ROUND(C33*D33/10000,0)</f>
        <v>13169</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f>ROUND(IF(E2="工业",C33*M42,IF(B25="楼层修正",SUM(V2:V16)*M41*10000/D34,C33*M41)),0)</f>
        <v>1132</v>
      </c>
      <c r="D34" s="1179"/>
      <c r="E34" s="1463">
        <f>ROUND(IF(B25="楼层修正",SUM(V2:V16)*#REF!,C34*D34/10000),0)</f>
        <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f>ROUND(D5*C22*C23*C24*C28*F37,0)</f>
        <v>2831</v>
      </c>
      <c r="D37" s="1204"/>
      <c r="E37" s="875">
        <f>ROUND(C37*D37/10000,0)</f>
        <v>0</v>
      </c>
      <c r="F37" s="875">
        <f>SUMIF(修正!A57:A68,G2,修正!B57:B68)</f>
        <v>0.6</v>
      </c>
      <c r="G37" s="875">
        <f>ROUND(IF(E2="工业",C37*$M$42,C37*$M$41),0)</f>
        <v>708</v>
      </c>
      <c r="H37" s="875">
        <f>D37</f>
        <v>0</v>
      </c>
      <c r="I37" s="875">
        <f>ROUND(G37*H37/10000,0)</f>
        <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f>ROUND(D5*C22*C23*C24*C28*F38,0)</f>
        <v>1415</v>
      </c>
      <c r="D38" s="1204"/>
      <c r="E38" s="875">
        <f t="shared" ref="E38:E42" si="4">ROUND(C38*D38/10000,0)</f>
        <v>0</v>
      </c>
      <c r="F38" s="875">
        <f>SUMIF(修正!A57:A68,G2,修正!C57:C68)</f>
        <v>0.3</v>
      </c>
      <c r="G38" s="875">
        <f>ROUND(IF(E2="工业",C38*$M$42,C38*$M$41),0)</f>
        <v>354</v>
      </c>
      <c r="H38" s="875">
        <f t="shared" ref="H38:H42" si="5">D38</f>
        <v>0</v>
      </c>
      <c r="I38" s="875">
        <f t="shared" ref="I38:I42" si="6">ROUND(G38*H38/10000,0)</f>
        <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f>ROUND(D5*C22*C23*C24*C28*F39,0)</f>
        <v>1179</v>
      </c>
      <c r="D39" s="1204"/>
      <c r="E39" s="875">
        <f t="shared" si="4"/>
        <v>0</v>
      </c>
      <c r="F39" s="875">
        <f>SUMIF(修正!A57:A68,G2,修正!D57:D68)</f>
        <v>0.25</v>
      </c>
      <c r="G39" s="875">
        <f>ROUND(IF(E2="工业",C39*$M$42,C39*$M$41),0)</f>
        <v>295</v>
      </c>
      <c r="H39" s="875">
        <f t="shared" si="5"/>
        <v>0</v>
      </c>
      <c r="I39" s="875">
        <f t="shared" si="6"/>
        <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f>ROUND(D5*C22*C23*C24*C28*F40,0)</f>
        <v>1179</v>
      </c>
      <c r="D40" s="1204"/>
      <c r="E40" s="875">
        <f t="shared" si="4"/>
        <v>0</v>
      </c>
      <c r="F40" s="884">
        <f>SUMIF(修正!A57:A68,G2,修正!E57:E68)</f>
        <v>0.25</v>
      </c>
      <c r="G40" s="875">
        <f>ROUND(IF(E2="工业",C40*$M$42,C40*$M$41),0)</f>
        <v>295</v>
      </c>
      <c r="H40" s="875">
        <f t="shared" si="5"/>
        <v>0</v>
      </c>
      <c r="I40" s="875">
        <f t="shared" si="6"/>
        <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1179</v>
      </c>
      <c r="D41" s="1204"/>
      <c r="E41" s="875">
        <f t="shared" si="4"/>
        <v>0</v>
      </c>
      <c r="F41" s="884">
        <f>SUMIF(修正!A57:A68,G2,修正!F57:F68)</f>
        <v>0.25</v>
      </c>
      <c r="G41" s="875">
        <f>ROUND(IF(E2="工业",C41*$M$42,C41*$M$41),0)</f>
        <v>295</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708</v>
      </c>
      <c r="D42" s="1205"/>
      <c r="E42" s="876">
        <f t="shared" si="4"/>
        <v>0</v>
      </c>
      <c r="F42" s="886">
        <f>SUMIF(修正!A57:A68,G2,修正!G57:G68)</f>
        <v>0.15</v>
      </c>
      <c r="G42" s="876">
        <f>ROUND(IF(E2="工业",C42*$M$42,C42*$M$41),0)</f>
        <v>177</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1</v>
      </c>
      <c r="D44" s="264" t="s">
        <v>2147</v>
      </c>
      <c r="E44" s="2280">
        <f>G24</f>
        <v>0.05</v>
      </c>
      <c r="F44" s="264" t="s">
        <v>2148</v>
      </c>
      <c r="G44" s="3947">
        <f>H44</f>
        <v>50</v>
      </c>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t="e">
        <f>1+E50</f>
        <v>#VALUE!</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89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t="s">
        <v>3180</v>
      </c>
      <c r="D50" s="3250">
        <f t="shared" ref="D50:D58" si="7">SUMIF($J$49:$N$49,C50,J50:N50)</f>
        <v>0</v>
      </c>
      <c r="E50" s="3251" t="e">
        <f>ROUND(SUM(D50:D58),4)</f>
        <v>#VALUE!</v>
      </c>
      <c r="F50" s="3252" t="str">
        <f>IF(E2="商业",SUMIF(L1:L12,G2,N1:N12),"——")</f>
        <v>——</v>
      </c>
      <c r="G50" s="3253" t="str">
        <f>H50</f>
        <v>——</v>
      </c>
      <c r="H50" s="3254" t="str">
        <f t="shared" ref="H50:H58" si="8">IFERROR(ROUNDDOWN(($F$50*I50/2),4),"——")</f>
        <v>——</v>
      </c>
      <c r="I50" s="3228">
        <v>0.3</v>
      </c>
      <c r="J50" s="3255" t="e">
        <f t="shared" ref="J50:J58" si="9">K50+$G50</f>
        <v>#VALUE!</v>
      </c>
      <c r="K50" s="3255" t="e">
        <f t="shared" ref="K50:K58" si="10">$L50+$G50</f>
        <v>#VALUE!</v>
      </c>
      <c r="L50" s="3255">
        <v>0</v>
      </c>
      <c r="M50" s="3255" t="e">
        <f t="shared" ref="M50:N58" si="11">L50-$G50</f>
        <v>#VALUE!</v>
      </c>
      <c r="N50" s="3255" t="e">
        <f t="shared" si="11"/>
        <v>#VALUE!</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t="s">
        <v>3179</v>
      </c>
      <c r="D51" s="3250" t="e">
        <f t="shared" si="7"/>
        <v>#VALUE!</v>
      </c>
      <c r="E51" s="3256"/>
      <c r="F51" s="3252"/>
      <c r="G51" s="3253" t="str">
        <f t="shared" ref="G51:G57" si="12">H51</f>
        <v>——</v>
      </c>
      <c r="H51" s="3254" t="str">
        <f t="shared" si="8"/>
        <v>——</v>
      </c>
      <c r="I51" s="3228">
        <v>0.22</v>
      </c>
      <c r="J51" s="3255" t="e">
        <f t="shared" si="9"/>
        <v>#VALUE!</v>
      </c>
      <c r="K51" s="3255" t="e">
        <f t="shared" si="10"/>
        <v>#VALUE!</v>
      </c>
      <c r="L51" s="3255">
        <v>0</v>
      </c>
      <c r="M51" s="3255" t="e">
        <f t="shared" si="11"/>
        <v>#VALUE!</v>
      </c>
      <c r="N51" s="3255" t="e">
        <f t="shared" si="11"/>
        <v>#VALUE!</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t="s">
        <v>3179</v>
      </c>
      <c r="D52" s="3250" t="e">
        <f t="shared" si="7"/>
        <v>#VALUE!</v>
      </c>
      <c r="E52" s="3256"/>
      <c r="F52" s="3252"/>
      <c r="G52" s="3253" t="str">
        <f t="shared" si="12"/>
        <v>——</v>
      </c>
      <c r="H52" s="3254" t="str">
        <f t="shared" si="8"/>
        <v>——</v>
      </c>
      <c r="I52" s="3228">
        <v>0.12</v>
      </c>
      <c r="J52" s="3255" t="e">
        <f t="shared" si="9"/>
        <v>#VALUE!</v>
      </c>
      <c r="K52" s="3255" t="e">
        <f t="shared" si="10"/>
        <v>#VALUE!</v>
      </c>
      <c r="L52" s="3255">
        <v>0</v>
      </c>
      <c r="M52" s="3255" t="e">
        <f t="shared" si="11"/>
        <v>#VALUE!</v>
      </c>
      <c r="N52" s="3255" t="e">
        <f t="shared" si="11"/>
        <v>#VALUE!</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t="s">
        <v>3179</v>
      </c>
      <c r="D53" s="3250" t="e">
        <f t="shared" si="7"/>
        <v>#VALUE!</v>
      </c>
      <c r="E53" s="3256"/>
      <c r="F53" s="3252"/>
      <c r="G53" s="3253" t="str">
        <f t="shared" si="12"/>
        <v>——</v>
      </c>
      <c r="H53" s="3254" t="str">
        <f t="shared" si="8"/>
        <v>——</v>
      </c>
      <c r="I53" s="3228">
        <v>0.05</v>
      </c>
      <c r="J53" s="3255" t="e">
        <f t="shared" si="9"/>
        <v>#VALUE!</v>
      </c>
      <c r="K53" s="3255" t="e">
        <f t="shared" si="10"/>
        <v>#VALUE!</v>
      </c>
      <c r="L53" s="3255">
        <v>0</v>
      </c>
      <c r="M53" s="3255" t="e">
        <f t="shared" si="11"/>
        <v>#VALUE!</v>
      </c>
      <c r="N53" s="3255" t="e">
        <f t="shared" si="11"/>
        <v>#VALUE!</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t="s">
        <v>3180</v>
      </c>
      <c r="D54" s="3250">
        <f t="shared" si="7"/>
        <v>0</v>
      </c>
      <c r="E54" s="3256"/>
      <c r="F54" s="3252"/>
      <c r="G54" s="3253" t="str">
        <f t="shared" si="12"/>
        <v>——</v>
      </c>
      <c r="H54" s="3254" t="str">
        <f t="shared" si="8"/>
        <v>——</v>
      </c>
      <c r="I54" s="3228">
        <v>0.08</v>
      </c>
      <c r="J54" s="3255" t="e">
        <f t="shared" si="9"/>
        <v>#VALUE!</v>
      </c>
      <c r="K54" s="3255" t="e">
        <f t="shared" si="10"/>
        <v>#VALUE!</v>
      </c>
      <c r="L54" s="3255">
        <v>0</v>
      </c>
      <c r="M54" s="3255" t="e">
        <f t="shared" si="11"/>
        <v>#VALUE!</v>
      </c>
      <c r="N54" s="3255" t="e">
        <f t="shared" si="11"/>
        <v>#VALUE!</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t="s">
        <v>3179</v>
      </c>
      <c r="D55" s="3250" t="e">
        <f t="shared" si="7"/>
        <v>#VALUE!</v>
      </c>
      <c r="E55" s="3256"/>
      <c r="F55" s="3252"/>
      <c r="G55" s="3253" t="str">
        <f t="shared" si="12"/>
        <v>——</v>
      </c>
      <c r="H55" s="3254" t="str">
        <f t="shared" si="8"/>
        <v>——</v>
      </c>
      <c r="I55" s="3228">
        <v>0.05</v>
      </c>
      <c r="J55" s="3255" t="e">
        <f t="shared" si="9"/>
        <v>#VALUE!</v>
      </c>
      <c r="K55" s="3255" t="e">
        <f t="shared" si="10"/>
        <v>#VALUE!</v>
      </c>
      <c r="L55" s="3255">
        <v>0</v>
      </c>
      <c r="M55" s="3255" t="e">
        <f t="shared" si="11"/>
        <v>#VALUE!</v>
      </c>
      <c r="N55" s="3255" t="e">
        <f t="shared" si="11"/>
        <v>#VALUE!</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t="s">
        <v>3180</v>
      </c>
      <c r="D56" s="3250">
        <f t="shared" si="7"/>
        <v>0</v>
      </c>
      <c r="E56" s="3256"/>
      <c r="F56" s="3252"/>
      <c r="G56" s="3253" t="str">
        <f t="shared" si="12"/>
        <v>——</v>
      </c>
      <c r="H56" s="3254" t="str">
        <f t="shared" si="8"/>
        <v>——</v>
      </c>
      <c r="I56" s="3228">
        <v>0.05</v>
      </c>
      <c r="J56" s="3255" t="e">
        <f t="shared" si="9"/>
        <v>#VALUE!</v>
      </c>
      <c r="K56" s="3255" t="e">
        <f t="shared" si="10"/>
        <v>#VALUE!</v>
      </c>
      <c r="L56" s="3255">
        <v>0</v>
      </c>
      <c r="M56" s="3255" t="e">
        <f t="shared" si="11"/>
        <v>#VALUE!</v>
      </c>
      <c r="N56" s="3255" t="e">
        <f t="shared" si="11"/>
        <v>#VALUE!</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t="s">
        <v>3180</v>
      </c>
      <c r="D57" s="3250">
        <f t="shared" si="7"/>
        <v>0</v>
      </c>
      <c r="E57" s="3256"/>
      <c r="F57" s="3252"/>
      <c r="G57" s="3253" t="str">
        <f t="shared" si="12"/>
        <v>——</v>
      </c>
      <c r="H57" s="3254" t="str">
        <f t="shared" si="8"/>
        <v>——</v>
      </c>
      <c r="I57" s="3228">
        <v>0.08</v>
      </c>
      <c r="J57" s="3255" t="e">
        <f t="shared" si="9"/>
        <v>#VALUE!</v>
      </c>
      <c r="K57" s="3255" t="e">
        <f t="shared" si="10"/>
        <v>#VALUE!</v>
      </c>
      <c r="L57" s="3255">
        <v>0</v>
      </c>
      <c r="M57" s="3255" t="e">
        <f t="shared" si="11"/>
        <v>#VALUE!</v>
      </c>
      <c r="N57" s="3255" t="e">
        <f t="shared" si="11"/>
        <v>#VALUE!</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t="s">
        <v>3180</v>
      </c>
      <c r="D58" s="3250">
        <f t="shared" si="7"/>
        <v>0</v>
      </c>
      <c r="E58" s="3263"/>
      <c r="F58" s="3252"/>
      <c r="G58" s="3253" t="str">
        <f>H58</f>
        <v>——</v>
      </c>
      <c r="H58" s="3254" t="str">
        <f t="shared" si="8"/>
        <v>——</v>
      </c>
      <c r="I58" s="3230">
        <v>0.05</v>
      </c>
      <c r="J58" s="3255" t="e">
        <f t="shared" si="9"/>
        <v>#VALUE!</v>
      </c>
      <c r="K58" s="3255" t="e">
        <f t="shared" si="10"/>
        <v>#VALUE!</v>
      </c>
      <c r="L58" s="3255">
        <v>0</v>
      </c>
      <c r="M58" s="3255" t="e">
        <f t="shared" si="11"/>
        <v>#VALUE!</v>
      </c>
      <c r="N58" s="3255" t="e">
        <f t="shared" si="11"/>
        <v>#VALUE!</v>
      </c>
      <c r="P58" s="1717"/>
      <c r="Q58" s="1717"/>
      <c r="R58" s="1717"/>
      <c r="S58" s="1717"/>
      <c r="T58" s="1717"/>
      <c r="U58" s="1717"/>
      <c r="V58" s="1717"/>
      <c r="W58" s="1717"/>
      <c r="X58" s="1717"/>
      <c r="Y58" s="1717"/>
      <c r="Z58" s="1717"/>
      <c r="AA58" s="1717"/>
      <c r="AB58" s="1717"/>
      <c r="AC58" s="1717"/>
      <c r="AD58" s="1717"/>
    </row>
    <row r="59" spans="1:30" s="3235" customFormat="1" ht="15" hidden="1">
      <c r="A59" s="3236" t="s">
        <v>902</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hidden="1">
      <c r="A60" s="3241" t="s">
        <v>930</v>
      </c>
      <c r="B60" s="3242"/>
      <c r="C60" s="3243" t="s">
        <v>932</v>
      </c>
      <c r="D60" s="3244" t="s">
        <v>933</v>
      </c>
      <c r="E60" s="3245" t="s">
        <v>935</v>
      </c>
      <c r="F60" s="3894"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hidden="1">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hidden="1">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hidden="1">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hidden="1">
      <c r="A64" s="3241" t="s">
        <v>945</v>
      </c>
      <c r="B64" s="3257" t="s">
        <v>2108</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hidden="1">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hidden="1">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hidden="1">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hidden="1">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hidden="1"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hidden="1">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hidden="1">
      <c r="A71" s="3241" t="s">
        <v>930</v>
      </c>
      <c r="B71" s="3242"/>
      <c r="C71" s="3243" t="s">
        <v>932</v>
      </c>
      <c r="D71" s="3244" t="s">
        <v>933</v>
      </c>
      <c r="E71" s="3245" t="s">
        <v>935</v>
      </c>
      <c r="F71" s="3894"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hidden="1">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hidden="1">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hidden="1">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hidden="1">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hidden="1">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hidden="1">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hidden="1">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hidden="1">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hidden="1"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hidden="1">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hidden="1">
      <c r="A82" s="3241" t="s">
        <v>930</v>
      </c>
      <c r="B82" s="3242"/>
      <c r="C82" s="3243" t="s">
        <v>932</v>
      </c>
      <c r="D82" s="3244" t="s">
        <v>933</v>
      </c>
      <c r="E82" s="3245" t="s">
        <v>935</v>
      </c>
      <c r="F82" s="3894"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hidden="1">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hidden="1">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hidden="1">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hidden="1">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hidden="1">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hidden="1">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hidden="1">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hidden="1"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1.0504</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t="s">
        <v>3180</v>
      </c>
      <c r="D93" s="3250">
        <f>SUMIF($J$92:$N$92,C93,J93:N93)</f>
        <v>0</v>
      </c>
      <c r="E93" s="3283">
        <f>ROUND(SUM(D93:D101),4)</f>
        <v>5.04E-2</v>
      </c>
      <c r="F93" s="3252">
        <f>IF(E2="公共服务",SUMIF(L1:L12,G2,N1:N12),"——")</f>
        <v>0.13</v>
      </c>
      <c r="G93" s="3267">
        <f>H93</f>
        <v>1.6199999999999999E-2</v>
      </c>
      <c r="H93" s="3254">
        <f>IFERROR(ROUNDDOWN($F$93*I93/2,4),"——")</f>
        <v>1.6199999999999999E-2</v>
      </c>
      <c r="I93" s="3228">
        <v>0.25</v>
      </c>
      <c r="J93" s="3279">
        <f>K93+$G93</f>
        <v>3.2399999999999998E-2</v>
      </c>
      <c r="K93" s="3279">
        <f t="shared" ref="K93:K101" si="28">$L93+$G93</f>
        <v>1.6199999999999999E-2</v>
      </c>
      <c r="L93" s="3279">
        <v>0</v>
      </c>
      <c r="M93" s="3279">
        <f t="shared" ref="M93:N101" si="29">L93-$G93</f>
        <v>-1.6199999999999999E-2</v>
      </c>
      <c r="N93" s="3279">
        <f t="shared" si="29"/>
        <v>-3.2399999999999998E-2</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944" t="s">
        <v>3179</v>
      </c>
      <c r="D94" s="3250">
        <f t="shared" ref="D94:D101" si="30">SUMIF($J$92:$N$92,C94,J94:N94)</f>
        <v>1.6899999999999998E-2</v>
      </c>
      <c r="E94" s="3274"/>
      <c r="F94" s="3252"/>
      <c r="G94" s="3267">
        <f t="shared" ref="G94:G101" si="31">H94</f>
        <v>1.6899999999999998E-2</v>
      </c>
      <c r="H94" s="3254">
        <f t="shared" ref="H94:H101" si="32">IFERROR(ROUNDDOWN($F$93*I94/2,4),"——")</f>
        <v>1.6899999999999998E-2</v>
      </c>
      <c r="I94" s="3228">
        <v>0.26</v>
      </c>
      <c r="J94" s="3279">
        <f>K94+$G94</f>
        <v>3.3799999999999997E-2</v>
      </c>
      <c r="K94" s="3279">
        <f t="shared" si="28"/>
        <v>1.6899999999999998E-2</v>
      </c>
      <c r="L94" s="3279">
        <v>0</v>
      </c>
      <c r="M94" s="3279">
        <f t="shared" si="29"/>
        <v>-1.6899999999999998E-2</v>
      </c>
      <c r="N94" s="3279">
        <f t="shared" si="29"/>
        <v>-3.3799999999999997E-2</v>
      </c>
      <c r="AE94" s="3235"/>
      <c r="AF94" s="3235"/>
      <c r="AG94" s="3235"/>
      <c r="AH94" s="3235"/>
      <c r="AI94" s="3235"/>
      <c r="AJ94" s="3235"/>
    </row>
    <row r="95" spans="1:36" s="1196" customFormat="1" ht="36">
      <c r="A95" s="3280" t="s">
        <v>3124</v>
      </c>
      <c r="B95" s="3242">
        <f>估价对象房地状况!G17</f>
        <v>0</v>
      </c>
      <c r="C95" s="3249" t="s">
        <v>3179</v>
      </c>
      <c r="D95" s="3250">
        <f t="shared" si="30"/>
        <v>7.1000000000000004E-3</v>
      </c>
      <c r="E95" s="3274"/>
      <c r="F95" s="3252"/>
      <c r="G95" s="3267">
        <f t="shared" si="31"/>
        <v>7.1000000000000004E-3</v>
      </c>
      <c r="H95" s="3254">
        <f t="shared" si="32"/>
        <v>7.1000000000000004E-3</v>
      </c>
      <c r="I95" s="3228">
        <v>0.11</v>
      </c>
      <c r="J95" s="3279">
        <f t="shared" ref="J95:J101" si="33">K95+$G95</f>
        <v>1.4200000000000001E-2</v>
      </c>
      <c r="K95" s="3279">
        <f t="shared" si="28"/>
        <v>7.1000000000000004E-3</v>
      </c>
      <c r="L95" s="3279">
        <v>0</v>
      </c>
      <c r="M95" s="3279">
        <f t="shared" si="29"/>
        <v>-7.1000000000000004E-3</v>
      </c>
      <c r="N95" s="3279">
        <f t="shared" si="29"/>
        <v>-1.4200000000000001E-2</v>
      </c>
      <c r="AE95" s="3235"/>
      <c r="AF95" s="3235"/>
      <c r="AG95" s="3235"/>
      <c r="AH95" s="3235"/>
      <c r="AI95" s="3235"/>
      <c r="AJ95" s="3235"/>
    </row>
    <row r="96" spans="1:36" s="1196" customFormat="1" ht="36.75">
      <c r="A96" s="3225" t="s">
        <v>3128</v>
      </c>
      <c r="B96" s="3229" t="s">
        <v>3129</v>
      </c>
      <c r="C96" s="3249" t="s">
        <v>3179</v>
      </c>
      <c r="D96" s="3250">
        <f t="shared" si="30"/>
        <v>3.2000000000000002E-3</v>
      </c>
      <c r="E96" s="3274"/>
      <c r="F96" s="3252"/>
      <c r="G96" s="3267">
        <f t="shared" si="31"/>
        <v>3.2000000000000002E-3</v>
      </c>
      <c r="H96" s="3254">
        <f t="shared" si="32"/>
        <v>3.2000000000000002E-3</v>
      </c>
      <c r="I96" s="3228">
        <v>0.05</v>
      </c>
      <c r="J96" s="3279">
        <f t="shared" si="33"/>
        <v>6.4000000000000003E-3</v>
      </c>
      <c r="K96" s="3279">
        <f t="shared" si="28"/>
        <v>3.2000000000000002E-3</v>
      </c>
      <c r="L96" s="3279">
        <v>0</v>
      </c>
      <c r="M96" s="3279">
        <f>L96-$G96</f>
        <v>-3.2000000000000002E-3</v>
      </c>
      <c r="N96" s="3279">
        <f t="shared" si="29"/>
        <v>-6.4000000000000003E-3</v>
      </c>
      <c r="AE96" s="3235"/>
      <c r="AF96" s="3235"/>
      <c r="AG96" s="3235"/>
      <c r="AH96" s="3235"/>
      <c r="AI96" s="3235"/>
      <c r="AJ96" s="3235"/>
    </row>
    <row r="97" spans="1:36" s="1196" customFormat="1" ht="24">
      <c r="A97" s="3225" t="s">
        <v>3130</v>
      </c>
      <c r="B97" s="3242">
        <f>估价对象房地状况!G22</f>
        <v>0</v>
      </c>
      <c r="C97" s="3249" t="s">
        <v>3179</v>
      </c>
      <c r="D97" s="3250">
        <f t="shared" si="30"/>
        <v>3.2000000000000002E-3</v>
      </c>
      <c r="E97" s="3274"/>
      <c r="F97" s="3252"/>
      <c r="G97" s="3267">
        <f t="shared" si="31"/>
        <v>3.2000000000000002E-3</v>
      </c>
      <c r="H97" s="3254">
        <f t="shared" si="32"/>
        <v>3.2000000000000002E-3</v>
      </c>
      <c r="I97" s="3228">
        <v>0.05</v>
      </c>
      <c r="J97" s="3279">
        <f t="shared" si="33"/>
        <v>6.4000000000000003E-3</v>
      </c>
      <c r="K97" s="3279">
        <f t="shared" si="28"/>
        <v>3.2000000000000002E-3</v>
      </c>
      <c r="L97" s="3279">
        <v>0</v>
      </c>
      <c r="M97" s="3279">
        <f t="shared" si="29"/>
        <v>-3.2000000000000002E-3</v>
      </c>
      <c r="N97" s="3279">
        <f t="shared" si="29"/>
        <v>-6.4000000000000003E-3</v>
      </c>
      <c r="AE97" s="3235"/>
      <c r="AF97" s="3235"/>
      <c r="AG97" s="3235"/>
      <c r="AH97" s="3235"/>
      <c r="AI97" s="3235"/>
      <c r="AJ97" s="3235"/>
    </row>
    <row r="98" spans="1:36" s="1196" customFormat="1" ht="24">
      <c r="A98" s="3225" t="s">
        <v>3137</v>
      </c>
      <c r="B98" s="3257" t="s">
        <v>2107</v>
      </c>
      <c r="C98" s="3249" t="s">
        <v>3179</v>
      </c>
      <c r="D98" s="3250">
        <f t="shared" si="30"/>
        <v>3.8999999999999998E-3</v>
      </c>
      <c r="E98" s="3274"/>
      <c r="F98" s="3252"/>
      <c r="G98" s="3267">
        <f t="shared" si="31"/>
        <v>3.8999999999999998E-3</v>
      </c>
      <c r="H98" s="3254">
        <f t="shared" si="32"/>
        <v>3.8999999999999998E-3</v>
      </c>
      <c r="I98" s="3228">
        <v>0.06</v>
      </c>
      <c r="J98" s="3279">
        <f t="shared" si="33"/>
        <v>7.7999999999999996E-3</v>
      </c>
      <c r="K98" s="3279">
        <f t="shared" si="28"/>
        <v>3.8999999999999998E-3</v>
      </c>
      <c r="L98" s="3279">
        <v>0</v>
      </c>
      <c r="M98" s="3279">
        <f t="shared" si="29"/>
        <v>-3.8999999999999998E-3</v>
      </c>
      <c r="N98" s="3279">
        <f t="shared" si="29"/>
        <v>-7.7999999999999996E-3</v>
      </c>
      <c r="AE98" s="3235"/>
      <c r="AF98" s="3235"/>
      <c r="AG98" s="3235"/>
      <c r="AH98" s="3235"/>
      <c r="AI98" s="3235"/>
      <c r="AJ98" s="3235"/>
    </row>
    <row r="99" spans="1:36" s="1196" customFormat="1" ht="24">
      <c r="A99" s="3225" t="s">
        <v>3138</v>
      </c>
      <c r="B99" s="3242" t="str">
        <f>估价对象房地状况!C21</f>
        <v>估价对象所在区域公共配套设施齐备情况</v>
      </c>
      <c r="C99" s="3249" t="s">
        <v>3180</v>
      </c>
      <c r="D99" s="3250">
        <f t="shared" si="30"/>
        <v>0</v>
      </c>
      <c r="E99" s="3274"/>
      <c r="F99" s="3252"/>
      <c r="G99" s="3267">
        <f t="shared" si="31"/>
        <v>3.8999999999999998E-3</v>
      </c>
      <c r="H99" s="3254">
        <f t="shared" si="32"/>
        <v>3.8999999999999998E-3</v>
      </c>
      <c r="I99" s="3228">
        <v>0.06</v>
      </c>
      <c r="J99" s="3279">
        <f t="shared" si="33"/>
        <v>7.7999999999999996E-3</v>
      </c>
      <c r="K99" s="3279">
        <f t="shared" si="28"/>
        <v>3.8999999999999998E-3</v>
      </c>
      <c r="L99" s="3279">
        <v>0</v>
      </c>
      <c r="M99" s="3279">
        <f t="shared" si="29"/>
        <v>-3.8999999999999998E-3</v>
      </c>
      <c r="N99" s="3279">
        <f t="shared" si="29"/>
        <v>-7.7999999999999996E-3</v>
      </c>
      <c r="AE99" s="3235"/>
      <c r="AF99" s="3235"/>
      <c r="AG99" s="3235"/>
      <c r="AH99" s="3235"/>
      <c r="AI99" s="3235"/>
      <c r="AJ99" s="3235"/>
    </row>
    <row r="100" spans="1:36" s="1196" customFormat="1" ht="24">
      <c r="A100" s="3225" t="s">
        <v>3131</v>
      </c>
      <c r="B100" s="3242" t="str">
        <f>估价对象房地状况!C22</f>
        <v>估价对象所在区域基础设施水平</v>
      </c>
      <c r="C100" s="3944" t="s">
        <v>3346</v>
      </c>
      <c r="D100" s="3250">
        <f t="shared" si="30"/>
        <v>1.1599999999999999E-2</v>
      </c>
      <c r="E100" s="3274"/>
      <c r="F100" s="3252"/>
      <c r="G100" s="3267">
        <f t="shared" si="31"/>
        <v>5.7999999999999996E-3</v>
      </c>
      <c r="H100" s="3254">
        <f t="shared" si="32"/>
        <v>5.7999999999999996E-3</v>
      </c>
      <c r="I100" s="3228">
        <v>0.09</v>
      </c>
      <c r="J100" s="3279">
        <f t="shared" si="33"/>
        <v>1.1599999999999999E-2</v>
      </c>
      <c r="K100" s="3279">
        <f t="shared" si="28"/>
        <v>5.7999999999999996E-3</v>
      </c>
      <c r="L100" s="3279">
        <v>0</v>
      </c>
      <c r="M100" s="3279">
        <f t="shared" si="29"/>
        <v>-5.7999999999999996E-3</v>
      </c>
      <c r="N100" s="3279">
        <f t="shared" si="29"/>
        <v>-1.1599999999999999E-2</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t="s">
        <v>3179</v>
      </c>
      <c r="D101" s="3250">
        <f t="shared" si="30"/>
        <v>4.4999999999999997E-3</v>
      </c>
      <c r="E101" s="3274"/>
      <c r="F101" s="3252"/>
      <c r="G101" s="3267">
        <f t="shared" si="31"/>
        <v>4.4999999999999997E-3</v>
      </c>
      <c r="H101" s="3254">
        <f t="shared" si="32"/>
        <v>4.4999999999999997E-3</v>
      </c>
      <c r="I101" s="3230">
        <v>7.0000000000000007E-2</v>
      </c>
      <c r="J101" s="3279">
        <f t="shared" si="33"/>
        <v>8.9999999999999993E-3</v>
      </c>
      <c r="K101" s="3279">
        <f t="shared" si="28"/>
        <v>4.4999999999999997E-3</v>
      </c>
      <c r="L101" s="3279">
        <v>0</v>
      </c>
      <c r="M101" s="3279">
        <f t="shared" si="29"/>
        <v>-4.4999999999999997E-3</v>
      </c>
      <c r="N101" s="3279">
        <f t="shared" si="29"/>
        <v>-8.9999999999999993E-3</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3896"/>
      <c r="L104" s="3896"/>
      <c r="M104" s="3896"/>
      <c r="N104" s="3896"/>
    </row>
    <row r="105" spans="1:36">
      <c r="A105" s="4144" t="s">
        <v>833</v>
      </c>
      <c r="B105" s="4144" t="s">
        <v>1173</v>
      </c>
      <c r="C105" s="920" t="s">
        <v>1174</v>
      </c>
      <c r="D105" s="921"/>
      <c r="E105" s="921"/>
      <c r="F105" s="921"/>
      <c r="G105" s="921"/>
      <c r="H105" s="921"/>
      <c r="I105" s="921"/>
      <c r="J105" s="922"/>
      <c r="K105" s="914"/>
      <c r="L105" s="914"/>
      <c r="M105" s="914"/>
      <c r="N105" s="914"/>
    </row>
    <row r="106" spans="1:36">
      <c r="A106" s="4144"/>
      <c r="B106" s="4144"/>
      <c r="C106" s="3897" t="s">
        <v>819</v>
      </c>
      <c r="D106" s="3897" t="s">
        <v>820</v>
      </c>
      <c r="E106" s="3897" t="s">
        <v>821</v>
      </c>
      <c r="F106" s="3897" t="s">
        <v>822</v>
      </c>
      <c r="G106" s="3897" t="s">
        <v>823</v>
      </c>
      <c r="H106" s="3897" t="s">
        <v>824</v>
      </c>
      <c r="I106" s="3897" t="s">
        <v>825</v>
      </c>
      <c r="J106" s="3897" t="s">
        <v>826</v>
      </c>
      <c r="K106" s="3897" t="s">
        <v>827</v>
      </c>
      <c r="L106" s="3897" t="s">
        <v>828</v>
      </c>
      <c r="M106" s="3897" t="s">
        <v>829</v>
      </c>
      <c r="N106" s="3897" t="s">
        <v>830</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4">$I$3</f>
        <v>0</v>
      </c>
      <c r="E112" s="925">
        <f t="shared" si="34"/>
        <v>0</v>
      </c>
      <c r="F112" s="925">
        <f t="shared" si="34"/>
        <v>0</v>
      </c>
      <c r="G112" s="925">
        <f t="shared" si="34"/>
        <v>0</v>
      </c>
      <c r="H112" s="925">
        <f t="shared" si="34"/>
        <v>0</v>
      </c>
      <c r="I112" s="925">
        <f t="shared" si="34"/>
        <v>0</v>
      </c>
      <c r="J112" s="925">
        <f t="shared" si="34"/>
        <v>0</v>
      </c>
      <c r="K112" s="925">
        <f t="shared" si="34"/>
        <v>0</v>
      </c>
      <c r="L112" s="925">
        <f t="shared" si="34"/>
        <v>0</v>
      </c>
      <c r="M112" s="925">
        <f t="shared" si="34"/>
        <v>0</v>
      </c>
      <c r="N112" s="925">
        <f t="shared" si="34"/>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3895"/>
      <c r="L114" s="3895"/>
      <c r="M114" s="3895"/>
      <c r="N114" s="3895"/>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公共服务</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5">I119</f>
        <v>0.8054</v>
      </c>
      <c r="K119" s="3226">
        <f t="shared" si="35"/>
        <v>0.8054</v>
      </c>
      <c r="L119" s="3226">
        <f t="shared" si="35"/>
        <v>0.8054</v>
      </c>
      <c r="M119" s="3287">
        <f t="shared" si="35"/>
        <v>0.8054</v>
      </c>
    </row>
    <row r="120" spans="1:14" ht="12.75">
      <c r="A120" s="3284" t="s">
        <v>3142</v>
      </c>
      <c r="B120" s="3226">
        <f>ROUND(0.993-0.0112*B117,4)</f>
        <v>0.96609999999999996</v>
      </c>
      <c r="C120" s="3226">
        <f>B120</f>
        <v>0.96609999999999996</v>
      </c>
      <c r="D120" s="3226">
        <f>ROUND(0.9415-0.0142*B117,4)</f>
        <v>0.90739999999999998</v>
      </c>
      <c r="E120" s="3226">
        <f t="shared" ref="E120:H121" si="36">D120</f>
        <v>0.90739999999999998</v>
      </c>
      <c r="F120" s="3226">
        <f t="shared" si="36"/>
        <v>0.90739999999999998</v>
      </c>
      <c r="G120" s="3226">
        <f t="shared" si="36"/>
        <v>0.90739999999999998</v>
      </c>
      <c r="H120" s="3226">
        <f t="shared" si="36"/>
        <v>0.90739999999999998</v>
      </c>
      <c r="I120" s="3226">
        <f>ROUND(0.838-0.0182*B117,4)</f>
        <v>0.7944</v>
      </c>
      <c r="J120" s="3226">
        <f t="shared" si="35"/>
        <v>0.7944</v>
      </c>
      <c r="K120" s="3226">
        <f t="shared" si="35"/>
        <v>0.7944</v>
      </c>
      <c r="L120" s="3226">
        <f t="shared" si="35"/>
        <v>0.7944</v>
      </c>
      <c r="M120" s="3287">
        <f t="shared" si="35"/>
        <v>0.7944</v>
      </c>
    </row>
    <row r="121" spans="1:14" ht="12.75">
      <c r="A121" s="3284" t="s">
        <v>3143</v>
      </c>
      <c r="B121" s="3226">
        <f>ROUND(0.9448-0.0115*B117,4)</f>
        <v>0.91720000000000002</v>
      </c>
      <c r="C121" s="3226">
        <f>B121</f>
        <v>0.91720000000000002</v>
      </c>
      <c r="D121" s="3226">
        <f>ROUND(0.937-0.0145*B117,4)</f>
        <v>0.9022</v>
      </c>
      <c r="E121" s="3226">
        <f t="shared" si="36"/>
        <v>0.9022</v>
      </c>
      <c r="F121" s="3226">
        <f t="shared" si="36"/>
        <v>0.9022</v>
      </c>
      <c r="G121" s="3226">
        <f t="shared" si="36"/>
        <v>0.9022</v>
      </c>
      <c r="H121" s="3226">
        <f t="shared" si="36"/>
        <v>0.9022</v>
      </c>
      <c r="I121" s="3226">
        <f>ROUND(0.7965-0.0185*B117,4)</f>
        <v>0.75209999999999999</v>
      </c>
      <c r="J121" s="3226">
        <f t="shared" si="35"/>
        <v>0.75209999999999999</v>
      </c>
      <c r="K121" s="3226">
        <f t="shared" si="35"/>
        <v>0.75209999999999999</v>
      </c>
      <c r="L121" s="3226">
        <f t="shared" si="35"/>
        <v>0.75209999999999999</v>
      </c>
      <c r="M121" s="3287">
        <f t="shared" si="35"/>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5"/>
        <v>0.54490000000000005</v>
      </c>
      <c r="K122" s="3288">
        <f t="shared" si="35"/>
        <v>0.54490000000000005</v>
      </c>
      <c r="L122" s="3288">
        <f t="shared" si="35"/>
        <v>0.54490000000000005</v>
      </c>
      <c r="M122" s="3289">
        <f t="shared" si="35"/>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7">D123</f>
        <v>0.86309999999999998</v>
      </c>
      <c r="F123" s="3226">
        <f t="shared" si="37"/>
        <v>0.86309999999999998</v>
      </c>
      <c r="G123" s="3226">
        <f t="shared" si="37"/>
        <v>0.86309999999999998</v>
      </c>
      <c r="H123" s="3226">
        <f t="shared" si="37"/>
        <v>0.86309999999999998</v>
      </c>
      <c r="I123" s="3226">
        <f>ROUND(0.7632-0.0166*B117,4)</f>
        <v>0.72340000000000004</v>
      </c>
      <c r="J123" s="3226">
        <f t="shared" si="35"/>
        <v>0.72340000000000004</v>
      </c>
      <c r="K123" s="3226">
        <f t="shared" si="35"/>
        <v>0.72340000000000004</v>
      </c>
      <c r="L123" s="3226">
        <f t="shared" si="35"/>
        <v>0.72340000000000004</v>
      </c>
      <c r="M123" s="3287">
        <f t="shared" si="35"/>
        <v>0.72340000000000004</v>
      </c>
    </row>
  </sheetData>
  <sheetProtection algorithmName="SHA-512" hashValue="A7OcvqNd+jOjN1zMbOzgVQU4I85veB/3IhGU+w2J0PYfPL+pU9OuL7bwuLhw1A2fsy+YGclK5QERSXukAkZzdA==" saltValue="Nwew718WPTWAkHC2GJMt4g==" spinCount="100000" sheet="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xr:uid="{00000000-0002-0000-1500-000000000000}">
      <formula1>"不用分区数据,中心城区,中心城区以外"</formula1>
    </dataValidation>
    <dataValidation type="list" allowBlank="1" showInputMessage="1" showErrorMessage="1" sqref="H20:O20" xr:uid="{00000000-0002-0000-1500-000001000000}">
      <formula1>七通一平</formula1>
    </dataValidation>
    <dataValidation type="list" allowBlank="1" showInputMessage="1" showErrorMessage="1" sqref="C50:C58 C61:C69 C93:C102 C72:C80 C83:C90" xr:uid="{00000000-0002-0000-1500-000002000000}">
      <formula1>五等判定</formula1>
    </dataValidation>
    <dataValidation type="list" allowBlank="1" showInputMessage="1" showErrorMessage="1" sqref="E3" xr:uid="{00000000-0002-0000-1500-000003000000}">
      <formula1>二级分类</formula1>
    </dataValidation>
    <dataValidation type="list" allowBlank="1" showInputMessage="1" showErrorMessage="1" sqref="C8" xr:uid="{00000000-0002-0000-1500-000004000000}">
      <formula1>商业街名称</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H23" xr:uid="{00000000-0002-0000-1500-000006000000}">
      <formula1>"地价指数,季度增幅（自定义）,按公示增长率计算"</formula1>
    </dataValidation>
    <dataValidation type="list" allowBlank="1" showInputMessage="1" showErrorMessage="1" sqref="E15" xr:uid="{00000000-0002-0000-1500-000007000000}">
      <formula1>"500米范围内,500-1000米,1000米以外"</formula1>
    </dataValidation>
    <dataValidation type="list" allowBlank="1" showInputMessage="1" showErrorMessage="1" sqref="C15:D15" xr:uid="{00000000-0002-0000-1500-000008000000}">
      <formula1>"有,无"</formula1>
    </dataValidation>
    <dataValidation type="list" allowBlank="1" showInputMessage="1" showErrorMessage="1" sqref="B25" xr:uid="{00000000-0002-0000-1500-000009000000}">
      <formula1>"容积率修正,楼层修正"</formula1>
    </dataValidation>
    <dataValidation type="list" allowBlank="1" showInputMessage="1" showErrorMessage="1" sqref="F21" xr:uid="{00000000-0002-0000-1500-00000A000000}">
      <formula1>"与级别开发程度一致,与级别开发程度不一致"</formula1>
    </dataValidation>
    <dataValidation type="list" allowBlank="1" showInputMessage="1" showErrorMessage="1" sqref="E2" xr:uid="{00000000-0002-0000-15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E490"/>
  <sheetViews>
    <sheetView view="pageBreakPreview" topLeftCell="A7" zoomScale="80" zoomScaleNormal="80" zoomScaleSheetLayoutView="80" workbookViewId="0">
      <selection activeCell="M5" sqref="M5"/>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t="e">
        <f>MATCH(B1,'数据-取费表'!A6:A16,0)+5</f>
        <v>#N/A</v>
      </c>
      <c r="L1" s="3342"/>
      <c r="M1" s="3342"/>
      <c r="N1" s="3342"/>
      <c r="O1" s="3342"/>
      <c r="P1" s="3342"/>
      <c r="Q1" s="3342"/>
      <c r="R1" s="3342"/>
      <c r="S1" s="3342"/>
      <c r="T1" s="3342"/>
      <c r="U1" s="3342"/>
      <c r="V1" s="3342"/>
      <c r="W1" s="3342"/>
      <c r="X1" s="3342"/>
      <c r="Y1" s="3342"/>
      <c r="Z1" s="3342"/>
    </row>
    <row r="2" spans="1:31" s="3343" customFormat="1" ht="18" customHeight="1">
      <c r="A2" s="3344" t="s">
        <v>427</v>
      </c>
      <c r="B2" s="3345" t="e">
        <f ca="1">C36</f>
        <v>#N/A</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t="e">
        <f ca="1">ROUND(B2*10000/IF(B1="",'数据-汇总表'!E3,INDIRECT("'数据-取费表'!K"&amp;$K$1)),0)</f>
        <v>#N/A</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t="e">
        <f ca="1">ROUND(B2*10000/IF(B1="",'数据-汇总表'!D3,INDIRECT("'数据-取费表'!R"&amp;$K$1)),0)</f>
        <v>#N/A</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t="e">
        <f ca="1">ROUND(B2/(IF(B1="",'数据-汇总表'!D3,INDIRECT("'数据-取费表'!R"&amp;$K$1))/666.67),0)</f>
        <v>#N/A</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34409.928899999999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0</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26">
        <f ca="1">'不动产收益法-商业'!C40</f>
        <v>34409.928899999999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t="e">
        <f ca="1">IF(B1="",'数据-取费表'!P16,INDIRECT("'数据-取费表'!p"&amp;$K$1)+INDIRECT("'数据-取费表'!t"&amp;$K$1))</f>
        <v>#N/A</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t="e">
        <f ca="1">ROUND(C13*F14,4)</f>
        <v>#N/A</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t="e">
        <f ca="1">ROUND(IF(B1="",SUMIF('数据-取费表'!C:C,"住宅",'数据-取费表'!P:P)*F15,IF(INDIRECT("'数据-取费表'!c"&amp;$K$1)="住宅",INDIRECT("'数据-取费表'!P"&amp;$K$1)*F15,0)),4)</f>
        <v>#N/A</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t="e">
        <f ca="1">ROUND(D16*E16/10000,4)</f>
        <v>#N/A</v>
      </c>
      <c r="D16" s="3378" t="e">
        <f ca="1">IF(B1="",'数据-汇总表'!E3,INDIRECT("'数据-取费表'!K"&amp;$K$1)+INDIRECT("'数据-取费表'!S"&amp;$K$1))</f>
        <v>#N/A</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t="e">
        <f ca="1">ROUND(C13*F17,4)</f>
        <v>#N/A</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t="e">
        <f ca="1">SUM(C13:C17)</f>
        <v>#N/A</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t="e">
        <f ca="1">ROUND(D19*E19/10000,4)</f>
        <v>#N/A</v>
      </c>
      <c r="D19" s="3389" t="e">
        <f ca="1">D16</f>
        <v>#N/A</v>
      </c>
      <c r="E19" s="3318">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t="e">
        <f ca="1">C21+C22-IF(B1="",'数据-取费表'!B29,IF(G20="已全部缴纳",C21+C22,H20))</f>
        <v>#N/A</v>
      </c>
      <c r="D20" s="3389"/>
      <c r="E20" s="3318"/>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t="e">
        <f ca="1">ROUND(D21*E21/10000,4)</f>
        <v>#N/A</v>
      </c>
      <c r="D21" s="3378" t="e">
        <f ca="1">IF(B1="",'数据-汇总表'!E5,IF(INDIRECT("'数据-取费表'!c"&amp;$K$1)="住宅",INDIRECT("'数据-取费表'!k"&amp;$K$1),0))</f>
        <v>#N/A</v>
      </c>
      <c r="E21" s="636">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t="e">
        <f ca="1">ROUND(D22*E22/10000,4)</f>
        <v>#N/A</v>
      </c>
      <c r="D22" s="3378" t="e">
        <f ca="1">IF(B1="",'数据-汇总表'!E6,IF(INDIRECT("'数据-取费表'!c"&amp;$K$1)="住宅",INDIRECT("'数据-取费表'!s"&amp;$K$1),INDIRECT("'数据-取费表'!k"&amp;$K$1)+INDIRECT("'数据-取费表'!s"&amp;$K$1)))</f>
        <v>#N/A</v>
      </c>
      <c r="E22" s="636">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t="e">
        <f ca="1">ROUND((C18+C19+C20)*F23,4)</f>
        <v>#N/A</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688.19860000000006</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t="e">
        <f ca="1">C28</f>
        <v>#N/A</v>
      </c>
      <c r="D26" s="3318">
        <f ca="1">C27</f>
        <v>7.2099999999999997E-2</v>
      </c>
      <c r="E26" s="3400" t="s">
        <v>455</v>
      </c>
      <c r="F26" s="3405">
        <f ca="1">'数据-取费表'!B40</f>
        <v>4.7500000000000001E-2</v>
      </c>
      <c r="G26" s="3321"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1"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t="e">
        <f ca="1">ROUND(IF('数据-取费表'!B22&lt;=1,(C18+C19+C20+C23+C24)*F26*'数据-取费表'!B24/2,(C18+C19+C20+C23+C24)*(POWER((1+F26),'数据-取费表'!B24/2)-1)),4)</f>
        <v>#N/A</v>
      </c>
      <c r="D28" s="3407"/>
      <c r="E28" s="3397"/>
      <c r="F28" s="3408"/>
      <c r="G28" s="3321"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t="e">
        <f ca="1">C31</f>
        <v>#N/A</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t="e">
        <f ca="1">C18+C19+C20+C23+C24+C26+C29</f>
        <v>#N/A</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t="e">
        <f ca="1">C35</f>
        <v>#N/A</v>
      </c>
      <c r="D33" s="3318" t="e">
        <f ca="1">C34</f>
        <v>#N/A</v>
      </c>
      <c r="E33" s="3400" t="s">
        <v>455</v>
      </c>
      <c r="F33" s="3416" t="e">
        <f ca="1">IF(B1="",'数据-取费表'!Q16,INDIRECT("'数据-取费表'!q"&amp;$K$1))</f>
        <v>#N/A</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t="e">
        <f ca="1">ROUND((1+C25)*F33,4)</f>
        <v>#N/A</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t="e">
        <f ca="1">ROUND((C18+C19+C20+C23+C24)*F33,4)</f>
        <v>#N/A</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t="e">
        <f ca="1">ROUND((C6-C30-C33)/(1+D30+D33),4)</f>
        <v>#N/A</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xr:uid="{00000000-0002-0000-1600-000000000000}">
      <formula1>项目类型</formula1>
    </dataValidation>
    <dataValidation type="list" allowBlank="1" showInputMessage="1" showErrorMessage="1" sqref="G20" xr:uid="{00000000-0002-0000-1600-000001000000}">
      <formula1>"已全部缴纳,已部分缴纳"</formula1>
    </dataValidation>
    <dataValidation type="list" allowBlank="1" showInputMessage="1" showErrorMessage="1" sqref="D6" xr:uid="{00000000-0002-0000-1600-000002000000}">
      <formula1>"比较法,收益法"</formula1>
    </dataValidation>
  </dataValidations>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A1:AD258"/>
  <sheetViews>
    <sheetView view="pageBreakPreview" zoomScale="80" zoomScaleNormal="95" zoomScaleSheetLayoutView="80" workbookViewId="0">
      <selection activeCell="I17" sqref="I17"/>
    </sheetView>
  </sheetViews>
  <sheetFormatPr defaultColWidth="9" defaultRowHeight="14.25"/>
  <cols>
    <col min="1" max="1" width="15.625" style="1061" customWidth="1"/>
    <col min="2" max="2" width="15.75" style="1061" customWidth="1"/>
    <col min="3" max="3" width="15.25" style="1061" customWidth="1"/>
    <col min="4" max="4" width="12.25" style="1061" customWidth="1"/>
    <col min="5" max="5" width="16.125" style="1061" customWidth="1"/>
    <col min="6" max="6" width="12.25" style="1061" customWidth="1"/>
    <col min="7" max="7" width="15.625" style="1061" customWidth="1"/>
    <col min="8" max="8" width="12.25" style="1061" customWidth="1"/>
    <col min="9" max="9" width="15.62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30" s="1060"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9"/>
    </row>
    <row r="2" spans="1:30" s="1060"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9"/>
    </row>
    <row r="3" spans="1:30" s="1060" customFormat="1" ht="28.5" customHeight="1">
      <c r="A3" s="1086"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60"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201" t="s">
        <v>471</v>
      </c>
      <c r="D6" s="4202"/>
      <c r="E6" s="4201" t="s">
        <v>472</v>
      </c>
      <c r="F6" s="4202"/>
      <c r="G6" s="4201" t="s">
        <v>473</v>
      </c>
      <c r="H6" s="4202"/>
      <c r="I6" s="4201" t="s">
        <v>474</v>
      </c>
      <c r="J6" s="4202"/>
      <c r="K6" s="372" t="s">
        <v>475</v>
      </c>
      <c r="L6" s="1653"/>
      <c r="M6" s="1652"/>
      <c r="N6" s="1652"/>
      <c r="O6" s="1654"/>
      <c r="P6" s="4203" t="s">
        <v>476</v>
      </c>
      <c r="Q6" s="4204"/>
      <c r="R6" s="4209" t="s">
        <v>472</v>
      </c>
      <c r="S6" s="4210"/>
      <c r="T6" s="4209" t="s">
        <v>473</v>
      </c>
      <c r="U6" s="4210"/>
      <c r="V6" s="4196" t="s">
        <v>474</v>
      </c>
      <c r="W6" s="4196"/>
      <c r="X6" s="1228"/>
      <c r="Y6" s="4209" t="s">
        <v>476</v>
      </c>
      <c r="Z6" s="4210"/>
      <c r="AA6" s="4198" t="s">
        <v>472</v>
      </c>
      <c r="AB6" s="4199" t="s">
        <v>473</v>
      </c>
      <c r="AC6" s="4198" t="s">
        <v>474</v>
      </c>
    </row>
    <row r="7" spans="1:30" ht="20.25">
      <c r="A7" s="373"/>
      <c r="B7" s="374"/>
      <c r="C7" s="4217" t="s">
        <v>2100</v>
      </c>
      <c r="D7" s="4218"/>
      <c r="E7" s="4217" t="s">
        <v>2101</v>
      </c>
      <c r="F7" s="4218"/>
      <c r="G7" s="4217" t="s">
        <v>2102</v>
      </c>
      <c r="H7" s="4218"/>
      <c r="I7" s="4217" t="s">
        <v>2103</v>
      </c>
      <c r="J7" s="4218"/>
      <c r="K7" s="372"/>
      <c r="L7" s="1653"/>
      <c r="M7" s="1652"/>
      <c r="N7" s="1652"/>
      <c r="O7" s="1654"/>
      <c r="P7" s="4205"/>
      <c r="Q7" s="4206"/>
      <c r="R7" s="4211"/>
      <c r="S7" s="4212"/>
      <c r="T7" s="4211"/>
      <c r="U7" s="4212"/>
      <c r="V7" s="4196"/>
      <c r="W7" s="4196"/>
      <c r="X7" s="1228"/>
      <c r="Y7" s="4211"/>
      <c r="Z7" s="4212"/>
      <c r="AA7" s="4199"/>
      <c r="AB7" s="4199"/>
      <c r="AC7" s="4199"/>
    </row>
    <row r="8" spans="1:30" ht="21" thickBot="1">
      <c r="A8" s="373"/>
      <c r="B8" s="374"/>
      <c r="C8" s="4219" t="s">
        <v>2104</v>
      </c>
      <c r="D8" s="4220"/>
      <c r="E8" s="4219" t="s">
        <v>2104</v>
      </c>
      <c r="F8" s="4220"/>
      <c r="G8" s="4215" t="s">
        <v>2104</v>
      </c>
      <c r="H8" s="4216"/>
      <c r="I8" s="4215" t="s">
        <v>2104</v>
      </c>
      <c r="J8" s="4216"/>
      <c r="K8" s="372" t="s">
        <v>477</v>
      </c>
      <c r="L8" s="1653"/>
      <c r="M8" s="1652"/>
      <c r="N8" s="1652"/>
      <c r="O8" s="1654"/>
      <c r="P8" s="4207"/>
      <c r="Q8" s="4208"/>
      <c r="R8" s="4211"/>
      <c r="S8" s="4212"/>
      <c r="T8" s="4213"/>
      <c r="U8" s="4214"/>
      <c r="V8" s="4196"/>
      <c r="W8" s="4196"/>
      <c r="X8" s="1228"/>
      <c r="Y8" s="4213"/>
      <c r="Z8" s="4214"/>
      <c r="AA8" s="4200"/>
      <c r="AB8" s="4200"/>
      <c r="AC8" s="4200"/>
    </row>
    <row r="9" spans="1:30" s="981" customFormat="1" ht="21" thickBot="1">
      <c r="A9" s="2103"/>
      <c r="B9" s="2110" t="s">
        <v>478</v>
      </c>
      <c r="C9" s="2102">
        <f>'数据-取费表'!B2</f>
        <v>45076</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225" t="s">
        <v>479</v>
      </c>
      <c r="Q9" s="4227"/>
      <c r="R9" s="1229" t="s">
        <v>5</v>
      </c>
      <c r="S9" s="1230">
        <f t="shared" ref="S9:S17" si="0">F9</f>
        <v>0</v>
      </c>
      <c r="T9" s="1229" t="s">
        <v>5</v>
      </c>
      <c r="U9" s="1230">
        <f t="shared" ref="U9:U17" si="1">H9</f>
        <v>0</v>
      </c>
      <c r="V9" s="1229" t="s">
        <v>5</v>
      </c>
      <c r="W9" s="1230">
        <f t="shared" ref="W9:W17" si="2">J9</f>
        <v>0</v>
      </c>
      <c r="X9" s="1231"/>
      <c r="Y9" s="4225" t="s">
        <v>479</v>
      </c>
      <c r="Z9" s="4226"/>
      <c r="AA9" s="1232" t="e">
        <f>D9/F9</f>
        <v>#DIV/0!</v>
      </c>
      <c r="AB9" s="1232" t="e">
        <f>D9/H9</f>
        <v>#DIV/0!</v>
      </c>
      <c r="AC9" s="1232" t="e">
        <f>D9/J9</f>
        <v>#DIV/0!</v>
      </c>
    </row>
    <row r="10" spans="1:30" s="981" customFormat="1" ht="21" thickBot="1">
      <c r="A10" s="2104"/>
      <c r="B10" s="2111" t="s">
        <v>480</v>
      </c>
      <c r="C10" s="702"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225" t="s">
        <v>482</v>
      </c>
      <c r="Q10" s="4226"/>
      <c r="R10" s="1229" t="s">
        <v>5</v>
      </c>
      <c r="S10" s="1230">
        <f t="shared" si="0"/>
        <v>0</v>
      </c>
      <c r="T10" s="1229" t="s">
        <v>5</v>
      </c>
      <c r="U10" s="1230">
        <f t="shared" si="1"/>
        <v>0</v>
      </c>
      <c r="V10" s="1229" t="s">
        <v>5</v>
      </c>
      <c r="W10" s="1230">
        <f t="shared" si="2"/>
        <v>0</v>
      </c>
      <c r="X10" s="1231"/>
      <c r="Y10" s="4225" t="s">
        <v>482</v>
      </c>
      <c r="Z10" s="4226"/>
      <c r="AA10" s="1232" t="e">
        <f t="shared" ref="AA10:AA47" si="3">D10/F10</f>
        <v>#DIV/0!</v>
      </c>
      <c r="AB10" s="1232" t="e">
        <f t="shared" ref="AB10:AB47" si="4">D10/H10</f>
        <v>#DIV/0!</v>
      </c>
      <c r="AC10" s="1232" t="e">
        <f t="shared" ref="AC10:AC47" si="5">D10/J10</f>
        <v>#DIV/0!</v>
      </c>
    </row>
    <row r="11" spans="1:30" s="981"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195" t="s">
        <v>484</v>
      </c>
      <c r="Q11" s="929" t="str">
        <f t="shared" ref="Q11:Q17" si="6">B11</f>
        <v>用途</v>
      </c>
      <c r="R11" s="1229" t="s">
        <v>5</v>
      </c>
      <c r="S11" s="1230">
        <f t="shared" si="0"/>
        <v>100</v>
      </c>
      <c r="T11" s="1229" t="s">
        <v>5</v>
      </c>
      <c r="U11" s="1230">
        <f t="shared" si="1"/>
        <v>100</v>
      </c>
      <c r="V11" s="1229" t="s">
        <v>5</v>
      </c>
      <c r="W11" s="1230">
        <f t="shared" si="2"/>
        <v>100</v>
      </c>
      <c r="X11" s="1231"/>
      <c r="Y11" s="4076" t="s">
        <v>485</v>
      </c>
      <c r="Z11" s="928" t="str">
        <f t="shared" ref="Z11:Z17" si="7">Q11</f>
        <v>用途</v>
      </c>
      <c r="AA11" s="1232">
        <f t="shared" si="3"/>
        <v>1</v>
      </c>
      <c r="AB11" s="1232">
        <f t="shared" si="4"/>
        <v>1</v>
      </c>
      <c r="AC11" s="1232">
        <f t="shared" si="5"/>
        <v>1</v>
      </c>
    </row>
    <row r="12" spans="1:30" s="1062" customFormat="1" ht="27">
      <c r="A12" s="2106"/>
      <c r="B12" s="2111" t="s">
        <v>1948</v>
      </c>
      <c r="C12" s="754"/>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195"/>
      <c r="Q12" s="929" t="str">
        <f t="shared" si="6"/>
        <v>土地使用年限（年）</v>
      </c>
      <c r="R12" s="1229" t="s">
        <v>5</v>
      </c>
      <c r="S12" s="1230" t="e">
        <f t="shared" si="0"/>
        <v>#DIV/0!</v>
      </c>
      <c r="T12" s="1229" t="s">
        <v>5</v>
      </c>
      <c r="U12" s="1230" t="e">
        <f t="shared" si="1"/>
        <v>#DIV/0!</v>
      </c>
      <c r="V12" s="1229" t="s">
        <v>5</v>
      </c>
      <c r="W12" s="1230" t="e">
        <f t="shared" si="2"/>
        <v>#DIV/0!</v>
      </c>
      <c r="X12" s="1231"/>
      <c r="Y12" s="4076"/>
      <c r="Z12" s="928" t="str">
        <f t="shared" si="7"/>
        <v>土地使用年限（年）</v>
      </c>
      <c r="AA12" s="1232" t="e">
        <f t="shared" si="3"/>
        <v>#DIV/0!</v>
      </c>
      <c r="AB12" s="1232" t="e">
        <f t="shared" si="4"/>
        <v>#DIV/0!</v>
      </c>
      <c r="AC12" s="1232"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195"/>
      <c r="Q13" s="929" t="str">
        <f t="shared" si="6"/>
        <v>容积率</v>
      </c>
      <c r="R13" s="1229" t="s">
        <v>5</v>
      </c>
      <c r="S13" s="1230" t="e">
        <f t="shared" si="0"/>
        <v>#N/A</v>
      </c>
      <c r="T13" s="1229" t="s">
        <v>5</v>
      </c>
      <c r="U13" s="1230" t="e">
        <f t="shared" si="1"/>
        <v>#N/A</v>
      </c>
      <c r="V13" s="1229" t="s">
        <v>5</v>
      </c>
      <c r="W13" s="1230" t="e">
        <f t="shared" si="2"/>
        <v>#N/A</v>
      </c>
      <c r="X13" s="1231"/>
      <c r="Y13" s="4076"/>
      <c r="Z13" s="928" t="str">
        <f t="shared" si="7"/>
        <v>容积率</v>
      </c>
      <c r="AA13" s="1232" t="e">
        <f t="shared" si="3"/>
        <v>#N/A</v>
      </c>
      <c r="AB13" s="1232" t="e">
        <f t="shared" si="4"/>
        <v>#N/A</v>
      </c>
      <c r="AC13" s="1232" t="e">
        <f t="shared" si="5"/>
        <v>#N/A</v>
      </c>
    </row>
    <row r="14" spans="1:30" s="981" customFormat="1" ht="20.25">
      <c r="A14" s="2104"/>
      <c r="B14" s="2113" t="s">
        <v>1950</v>
      </c>
      <c r="C14" s="2100"/>
      <c r="D14" s="396">
        <v>100</v>
      </c>
      <c r="E14" s="1083"/>
      <c r="F14" s="145">
        <f>SUMIF(83:83,E14,84:84)-SUMIF(83:83,C14,84:84)+100</f>
        <v>100</v>
      </c>
      <c r="G14" s="388"/>
      <c r="H14" s="145">
        <f>SUMIF(83:83,G14,84:84)-SUMIF(83:83,C14,84:84)+100</f>
        <v>100</v>
      </c>
      <c r="I14" s="387"/>
      <c r="J14" s="145">
        <f>SUMIF(83:83,I14,84:84)-SUMIF(83:83,C14,84:84)+100</f>
        <v>100</v>
      </c>
      <c r="K14" s="389"/>
      <c r="L14" s="1655"/>
      <c r="M14" s="1652"/>
      <c r="N14" s="1652"/>
      <c r="O14" s="1657"/>
      <c r="P14" s="4195"/>
      <c r="Q14" s="929" t="str">
        <f t="shared" si="6"/>
        <v>配建</v>
      </c>
      <c r="R14" s="1229" t="s">
        <v>5</v>
      </c>
      <c r="S14" s="1230">
        <f t="shared" si="0"/>
        <v>100</v>
      </c>
      <c r="T14" s="1229" t="s">
        <v>5</v>
      </c>
      <c r="U14" s="1230">
        <f t="shared" si="1"/>
        <v>100</v>
      </c>
      <c r="V14" s="1229" t="s">
        <v>5</v>
      </c>
      <c r="W14" s="1230">
        <f t="shared" si="2"/>
        <v>100</v>
      </c>
      <c r="X14" s="1231"/>
      <c r="Y14" s="4076"/>
      <c r="Z14" s="928" t="str">
        <f t="shared" si="7"/>
        <v>配建</v>
      </c>
      <c r="AA14" s="1232">
        <f>D14/F14</f>
        <v>1</v>
      </c>
      <c r="AB14" s="1232">
        <f>D14/H14</f>
        <v>1</v>
      </c>
      <c r="AC14" s="1232">
        <f>D14/J14</f>
        <v>1</v>
      </c>
    </row>
    <row r="15" spans="1:30" ht="20.25">
      <c r="A15" s="2108"/>
      <c r="B15" s="2114">
        <v>111</v>
      </c>
      <c r="C15" s="756"/>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195"/>
      <c r="Q15" s="929">
        <f t="shared" si="6"/>
        <v>111</v>
      </c>
      <c r="R15" s="1229" t="s">
        <v>5</v>
      </c>
      <c r="S15" s="1230">
        <f t="shared" si="0"/>
        <v>100</v>
      </c>
      <c r="T15" s="1229" t="s">
        <v>5</v>
      </c>
      <c r="U15" s="1230">
        <f t="shared" si="1"/>
        <v>100</v>
      </c>
      <c r="V15" s="1229" t="s">
        <v>5</v>
      </c>
      <c r="W15" s="1230">
        <f t="shared" si="2"/>
        <v>100</v>
      </c>
      <c r="X15" s="1231"/>
      <c r="Y15" s="4076"/>
      <c r="Z15" s="928">
        <f t="shared" si="7"/>
        <v>111</v>
      </c>
      <c r="AA15" s="1232">
        <f>D15/F15</f>
        <v>1</v>
      </c>
      <c r="AB15" s="1232">
        <f>D15/H15</f>
        <v>1</v>
      </c>
      <c r="AC15" s="1232">
        <f>D15/J15</f>
        <v>1</v>
      </c>
    </row>
    <row r="16" spans="1:30" ht="21" thickBot="1">
      <c r="A16" s="2109"/>
      <c r="B16" s="2115">
        <v>111</v>
      </c>
      <c r="C16" s="759"/>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195"/>
      <c r="Q16" s="929">
        <f t="shared" si="6"/>
        <v>111</v>
      </c>
      <c r="R16" s="1229" t="s">
        <v>5</v>
      </c>
      <c r="S16" s="1230">
        <f t="shared" si="0"/>
        <v>100</v>
      </c>
      <c r="T16" s="1229" t="s">
        <v>5</v>
      </c>
      <c r="U16" s="1230">
        <f t="shared" si="1"/>
        <v>100</v>
      </c>
      <c r="V16" s="1229" t="s">
        <v>5</v>
      </c>
      <c r="W16" s="1230">
        <f t="shared" si="2"/>
        <v>100</v>
      </c>
      <c r="X16" s="1231"/>
      <c r="Y16" s="4076"/>
      <c r="Z16" s="928">
        <f t="shared" si="7"/>
        <v>111</v>
      </c>
      <c r="AA16" s="1232">
        <f>D16/F16</f>
        <v>1</v>
      </c>
      <c r="AB16" s="1232">
        <f>D16/H16</f>
        <v>1</v>
      </c>
      <c r="AC16" s="1232">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228" t="s">
        <v>489</v>
      </c>
      <c r="Q17" s="1233" t="str">
        <f t="shared" si="6"/>
        <v>居住社区成熟度</v>
      </c>
      <c r="R17" s="1234" t="s">
        <v>5</v>
      </c>
      <c r="S17" s="1235">
        <f t="shared" si="0"/>
        <v>100</v>
      </c>
      <c r="T17" s="1234" t="s">
        <v>5</v>
      </c>
      <c r="U17" s="1235">
        <f t="shared" si="1"/>
        <v>100</v>
      </c>
      <c r="V17" s="1234" t="s">
        <v>5</v>
      </c>
      <c r="W17" s="1235">
        <f t="shared" si="2"/>
        <v>100</v>
      </c>
      <c r="X17" s="1228"/>
      <c r="Y17" s="4228" t="s">
        <v>489</v>
      </c>
      <c r="Z17" s="1236" t="str">
        <f t="shared" si="7"/>
        <v>居住社区成熟度</v>
      </c>
      <c r="AA17" s="1237">
        <f t="shared" si="3"/>
        <v>1</v>
      </c>
      <c r="AB17" s="1237">
        <f t="shared" si="4"/>
        <v>1</v>
      </c>
      <c r="AC17" s="1237">
        <f t="shared" si="5"/>
        <v>1</v>
      </c>
    </row>
    <row r="18" spans="1:29" ht="20.25">
      <c r="A18" s="390"/>
      <c r="B18" s="411"/>
      <c r="C18" s="412"/>
      <c r="D18" s="415"/>
      <c r="E18" s="416"/>
      <c r="F18" s="413"/>
      <c r="G18" s="414"/>
      <c r="H18" s="417"/>
      <c r="I18" s="416"/>
      <c r="J18" s="413"/>
      <c r="K18" s="389"/>
      <c r="L18" s="1662"/>
      <c r="M18" s="1652"/>
      <c r="N18" s="1652"/>
      <c r="O18" s="1661"/>
      <c r="P18" s="4229"/>
      <c r="Q18" s="1233"/>
      <c r="R18" s="1234"/>
      <c r="S18" s="1235"/>
      <c r="T18" s="1234"/>
      <c r="U18" s="1235"/>
      <c r="V18" s="1234"/>
      <c r="W18" s="1235"/>
      <c r="X18" s="1228"/>
      <c r="Y18" s="4229"/>
      <c r="Z18" s="1236"/>
      <c r="AA18" s="1237">
        <v>1</v>
      </c>
      <c r="AB18" s="1237">
        <v>1</v>
      </c>
      <c r="AC18" s="1237">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229"/>
      <c r="Q19" s="1233" t="str">
        <f>B19</f>
        <v>商业繁华度</v>
      </c>
      <c r="R19" s="1234" t="s">
        <v>5</v>
      </c>
      <c r="S19" s="1235">
        <f>F19</f>
        <v>100</v>
      </c>
      <c r="T19" s="1234" t="s">
        <v>5</v>
      </c>
      <c r="U19" s="1235">
        <f>H19</f>
        <v>100</v>
      </c>
      <c r="V19" s="1234" t="s">
        <v>5</v>
      </c>
      <c r="W19" s="1235">
        <f>J19</f>
        <v>100</v>
      </c>
      <c r="X19" s="1228"/>
      <c r="Y19" s="4229"/>
      <c r="Z19" s="1236" t="str">
        <f>Q19</f>
        <v>商业繁华度</v>
      </c>
      <c r="AA19" s="1237">
        <f t="shared" si="3"/>
        <v>1</v>
      </c>
      <c r="AB19" s="1237">
        <f t="shared" si="4"/>
        <v>1</v>
      </c>
      <c r="AC19" s="1237">
        <f t="shared" si="5"/>
        <v>1</v>
      </c>
    </row>
    <row r="20" spans="1:29" ht="20.25">
      <c r="A20" s="390"/>
      <c r="B20" s="424"/>
      <c r="C20" s="425"/>
      <c r="D20" s="421"/>
      <c r="E20" s="427"/>
      <c r="F20" s="417"/>
      <c r="G20" s="426"/>
      <c r="H20" s="413"/>
      <c r="I20" s="427"/>
      <c r="J20" s="413"/>
      <c r="K20" s="389"/>
      <c r="L20" s="1662"/>
      <c r="M20" s="1652"/>
      <c r="N20" s="1652"/>
      <c r="O20" s="1661"/>
      <c r="P20" s="4229"/>
      <c r="Q20" s="1233"/>
      <c r="R20" s="1234"/>
      <c r="S20" s="1235"/>
      <c r="T20" s="1234"/>
      <c r="U20" s="1235"/>
      <c r="V20" s="1234"/>
      <c r="W20" s="1235"/>
      <c r="X20" s="1228"/>
      <c r="Y20" s="4229"/>
      <c r="Z20" s="1236"/>
      <c r="AA20" s="1237">
        <v>1</v>
      </c>
      <c r="AB20" s="1237">
        <v>1</v>
      </c>
      <c r="AC20" s="1237">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229"/>
      <c r="Q21" s="1233" t="str">
        <f>B21</f>
        <v>办公集聚程度</v>
      </c>
      <c r="R21" s="1234" t="s">
        <v>5</v>
      </c>
      <c r="S21" s="1235">
        <f>F21</f>
        <v>100</v>
      </c>
      <c r="T21" s="1234" t="s">
        <v>5</v>
      </c>
      <c r="U21" s="1235">
        <f>H21</f>
        <v>100</v>
      </c>
      <c r="V21" s="1234" t="s">
        <v>5</v>
      </c>
      <c r="W21" s="1235">
        <f>J21</f>
        <v>100</v>
      </c>
      <c r="X21" s="1228"/>
      <c r="Y21" s="4229"/>
      <c r="Z21" s="1236" t="str">
        <f>Q21</f>
        <v>办公集聚程度</v>
      </c>
      <c r="AA21" s="1237">
        <f t="shared" si="3"/>
        <v>1</v>
      </c>
      <c r="AB21" s="1237">
        <f t="shared" si="4"/>
        <v>1</v>
      </c>
      <c r="AC21" s="1237">
        <f t="shared" si="5"/>
        <v>1</v>
      </c>
    </row>
    <row r="22" spans="1:29" ht="20.25">
      <c r="A22" s="390"/>
      <c r="B22" s="424"/>
      <c r="C22" s="412"/>
      <c r="D22" s="415"/>
      <c r="E22" s="416"/>
      <c r="F22" s="413"/>
      <c r="G22" s="414"/>
      <c r="H22" s="413"/>
      <c r="I22" s="416"/>
      <c r="J22" s="413"/>
      <c r="K22" s="389"/>
      <c r="L22" s="1662"/>
      <c r="M22" s="1652"/>
      <c r="N22" s="1652"/>
      <c r="O22" s="1661"/>
      <c r="P22" s="4229"/>
      <c r="Q22" s="1233"/>
      <c r="R22" s="1234"/>
      <c r="S22" s="1235"/>
      <c r="T22" s="1234"/>
      <c r="U22" s="1235"/>
      <c r="V22" s="1234"/>
      <c r="W22" s="1235"/>
      <c r="X22" s="1228"/>
      <c r="Y22" s="4229"/>
      <c r="Z22" s="1236"/>
      <c r="AA22" s="1237">
        <v>1</v>
      </c>
      <c r="AB22" s="1237">
        <v>1</v>
      </c>
      <c r="AC22" s="1237">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229"/>
      <c r="Q23" s="1233" t="str">
        <f>B23</f>
        <v>交通便捷度</v>
      </c>
      <c r="R23" s="1234" t="s">
        <v>5</v>
      </c>
      <c r="S23" s="1235">
        <f>F23</f>
        <v>100</v>
      </c>
      <c r="T23" s="1234" t="s">
        <v>5</v>
      </c>
      <c r="U23" s="1235">
        <f>H23</f>
        <v>100</v>
      </c>
      <c r="V23" s="1234" t="s">
        <v>5</v>
      </c>
      <c r="W23" s="1235">
        <f>J23</f>
        <v>100</v>
      </c>
      <c r="X23" s="1228"/>
      <c r="Y23" s="4229"/>
      <c r="Z23" s="1236" t="str">
        <f>Q23</f>
        <v>交通便捷度</v>
      </c>
      <c r="AA23" s="1237">
        <f t="shared" si="3"/>
        <v>1</v>
      </c>
      <c r="AB23" s="1237">
        <f t="shared" si="4"/>
        <v>1</v>
      </c>
      <c r="AC23" s="1237">
        <f t="shared" si="5"/>
        <v>1</v>
      </c>
    </row>
    <row r="24" spans="1:29" ht="20.25">
      <c r="A24" s="390"/>
      <c r="B24" s="436"/>
      <c r="C24" s="412"/>
      <c r="D24" s="415"/>
      <c r="E24" s="416"/>
      <c r="F24" s="413"/>
      <c r="G24" s="414"/>
      <c r="H24" s="413"/>
      <c r="I24" s="416"/>
      <c r="J24" s="413"/>
      <c r="K24" s="389"/>
      <c r="L24" s="1662"/>
      <c r="M24" s="1652"/>
      <c r="N24" s="1652"/>
      <c r="O24" s="1661"/>
      <c r="P24" s="4229"/>
      <c r="Q24" s="1233"/>
      <c r="R24" s="1234"/>
      <c r="S24" s="1235"/>
      <c r="T24" s="1234"/>
      <c r="U24" s="1235"/>
      <c r="V24" s="1234"/>
      <c r="W24" s="1235"/>
      <c r="X24" s="1228"/>
      <c r="Y24" s="4229"/>
      <c r="Z24" s="1236"/>
      <c r="AA24" s="1237">
        <v>1</v>
      </c>
      <c r="AB24" s="1237">
        <v>1</v>
      </c>
      <c r="AC24" s="1237">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229"/>
      <c r="Q25" s="1233" t="str">
        <f t="shared" ref="Q25:Q39" si="8">B25</f>
        <v>区域土地利用方向</v>
      </c>
      <c r="R25" s="1234" t="s">
        <v>5</v>
      </c>
      <c r="S25" s="1235">
        <f>F25</f>
        <v>100</v>
      </c>
      <c r="T25" s="1234" t="s">
        <v>5</v>
      </c>
      <c r="U25" s="1235">
        <f>H25</f>
        <v>100</v>
      </c>
      <c r="V25" s="1234" t="s">
        <v>5</v>
      </c>
      <c r="W25" s="1235">
        <f>J25</f>
        <v>100</v>
      </c>
      <c r="X25" s="1228"/>
      <c r="Y25" s="4229"/>
      <c r="Z25" s="1236" t="str">
        <f>Q25</f>
        <v>区域土地利用方向</v>
      </c>
      <c r="AA25" s="1237">
        <f t="shared" si="3"/>
        <v>1</v>
      </c>
      <c r="AB25" s="1237">
        <f t="shared" si="4"/>
        <v>1</v>
      </c>
      <c r="AC25" s="1237">
        <f t="shared" si="5"/>
        <v>1</v>
      </c>
    </row>
    <row r="26" spans="1:29" ht="20.25">
      <c r="A26" s="373"/>
      <c r="B26" s="847"/>
      <c r="C26" s="412"/>
      <c r="D26" s="415"/>
      <c r="E26" s="416"/>
      <c r="F26" s="413"/>
      <c r="G26" s="414"/>
      <c r="H26" s="413"/>
      <c r="I26" s="416"/>
      <c r="J26" s="413"/>
      <c r="K26" s="389"/>
      <c r="L26" s="1662"/>
      <c r="M26" s="1652"/>
      <c r="N26" s="1652"/>
      <c r="O26" s="1661"/>
      <c r="P26" s="4229"/>
      <c r="Q26" s="1233"/>
      <c r="R26" s="1234"/>
      <c r="S26" s="1235"/>
      <c r="T26" s="1234"/>
      <c r="U26" s="1235"/>
      <c r="V26" s="1234"/>
      <c r="W26" s="1235"/>
      <c r="X26" s="1228"/>
      <c r="Y26" s="4229"/>
      <c r="Z26" s="1236"/>
      <c r="AA26" s="1237"/>
      <c r="AB26" s="1237"/>
      <c r="AC26" s="1237"/>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229"/>
      <c r="Q27" s="1233" t="str">
        <f t="shared" si="8"/>
        <v>自然及人文环境状况</v>
      </c>
      <c r="R27" s="1234" t="s">
        <v>5</v>
      </c>
      <c r="S27" s="1235">
        <f>F27</f>
        <v>100</v>
      </c>
      <c r="T27" s="1234" t="s">
        <v>5</v>
      </c>
      <c r="U27" s="1235">
        <f>H27</f>
        <v>100</v>
      </c>
      <c r="V27" s="1234" t="s">
        <v>5</v>
      </c>
      <c r="W27" s="1235">
        <f>J27</f>
        <v>100</v>
      </c>
      <c r="X27" s="1228"/>
      <c r="Y27" s="4229"/>
      <c r="Z27" s="1236" t="str">
        <f>Q27</f>
        <v>自然及人文环境状况</v>
      </c>
      <c r="AA27" s="1237">
        <f t="shared" si="3"/>
        <v>1</v>
      </c>
      <c r="AB27" s="1237">
        <f t="shared" si="4"/>
        <v>1</v>
      </c>
      <c r="AC27" s="1237">
        <f t="shared" si="5"/>
        <v>1</v>
      </c>
    </row>
    <row r="28" spans="1:29" ht="20.25">
      <c r="A28" s="373"/>
      <c r="B28" s="424"/>
      <c r="C28" s="412"/>
      <c r="D28" s="415"/>
      <c r="E28" s="434"/>
      <c r="F28" s="413"/>
      <c r="G28" s="412"/>
      <c r="H28" s="413"/>
      <c r="I28" s="434"/>
      <c r="J28" s="413"/>
      <c r="K28" s="389"/>
      <c r="L28" s="1662"/>
      <c r="M28" s="1652"/>
      <c r="N28" s="1652"/>
      <c r="O28" s="1661"/>
      <c r="P28" s="4229"/>
      <c r="Q28" s="1233"/>
      <c r="R28" s="1234"/>
      <c r="S28" s="1235"/>
      <c r="T28" s="1234"/>
      <c r="U28" s="1235"/>
      <c r="V28" s="1234"/>
      <c r="W28" s="1235"/>
      <c r="X28" s="1228"/>
      <c r="Y28" s="4229"/>
      <c r="Z28" s="1236"/>
      <c r="AA28" s="1237">
        <v>1</v>
      </c>
      <c r="AB28" s="1237">
        <v>1</v>
      </c>
      <c r="AC28" s="1237">
        <v>1</v>
      </c>
    </row>
    <row r="29" spans="1:29" s="981"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229"/>
      <c r="Q29" s="929" t="str">
        <f t="shared" si="8"/>
        <v>公共配套设施</v>
      </c>
      <c r="R29" s="1229" t="s">
        <v>5</v>
      </c>
      <c r="S29" s="1230">
        <f>F29</f>
        <v>100</v>
      </c>
      <c r="T29" s="1229" t="s">
        <v>5</v>
      </c>
      <c r="U29" s="1230">
        <f>H29</f>
        <v>100</v>
      </c>
      <c r="V29" s="1229" t="s">
        <v>5</v>
      </c>
      <c r="W29" s="1230">
        <f>J29</f>
        <v>100</v>
      </c>
      <c r="X29" s="1231"/>
      <c r="Y29" s="4229"/>
      <c r="Z29" s="928" t="str">
        <f>Q29</f>
        <v>公共配套设施</v>
      </c>
      <c r="AA29" s="1237">
        <f>D29/F29</f>
        <v>1</v>
      </c>
      <c r="AB29" s="1237">
        <f>D29/H29</f>
        <v>1</v>
      </c>
      <c r="AC29" s="1237">
        <f>D29/J29</f>
        <v>1</v>
      </c>
    </row>
    <row r="30" spans="1:29" s="981" customFormat="1" ht="20.25">
      <c r="A30" s="435"/>
      <c r="B30" s="424"/>
      <c r="C30" s="437"/>
      <c r="D30" s="415"/>
      <c r="E30" s="434"/>
      <c r="F30" s="413"/>
      <c r="G30" s="412"/>
      <c r="H30" s="413"/>
      <c r="I30" s="434"/>
      <c r="J30" s="413"/>
      <c r="K30" s="389"/>
      <c r="L30" s="1655"/>
      <c r="M30" s="1652"/>
      <c r="N30" s="1652"/>
      <c r="O30" s="1657"/>
      <c r="P30" s="4229"/>
      <c r="Q30" s="929"/>
      <c r="R30" s="1229"/>
      <c r="S30" s="1230"/>
      <c r="T30" s="1229"/>
      <c r="U30" s="1230"/>
      <c r="V30" s="1229"/>
      <c r="W30" s="1230"/>
      <c r="X30" s="1231"/>
      <c r="Y30" s="4229"/>
      <c r="Z30" s="928"/>
      <c r="AA30" s="1237">
        <v>1</v>
      </c>
      <c r="AB30" s="1237">
        <v>1</v>
      </c>
      <c r="AC30" s="1237">
        <v>1</v>
      </c>
    </row>
    <row r="31" spans="1:29" s="981"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229"/>
      <c r="Q31" s="1957" t="str">
        <f>B31</f>
        <v>基础设施水平</v>
      </c>
      <c r="R31" s="1229" t="s">
        <v>5</v>
      </c>
      <c r="S31" s="1230">
        <f>F31</f>
        <v>100</v>
      </c>
      <c r="T31" s="1229" t="s">
        <v>5</v>
      </c>
      <c r="U31" s="1230">
        <f>H31</f>
        <v>100</v>
      </c>
      <c r="V31" s="1229" t="s">
        <v>5</v>
      </c>
      <c r="W31" s="1230">
        <f>J31</f>
        <v>100</v>
      </c>
      <c r="X31" s="1231"/>
      <c r="Y31" s="4229"/>
      <c r="Z31" s="1956" t="str">
        <f>Q31</f>
        <v>基础设施水平</v>
      </c>
      <c r="AA31" s="1237">
        <f>D31/F31</f>
        <v>1</v>
      </c>
      <c r="AB31" s="1237">
        <f>D31/H31</f>
        <v>1</v>
      </c>
      <c r="AC31" s="1237">
        <f>D31/J31</f>
        <v>1</v>
      </c>
    </row>
    <row r="32" spans="1:29" s="981" customFormat="1" ht="20.25">
      <c r="A32" s="435"/>
      <c r="B32" s="424"/>
      <c r="C32" s="437"/>
      <c r="D32" s="415"/>
      <c r="E32" s="1965"/>
      <c r="F32" s="413"/>
      <c r="G32" s="437"/>
      <c r="H32" s="413"/>
      <c r="I32" s="437"/>
      <c r="J32" s="413"/>
      <c r="K32" s="389"/>
      <c r="L32" s="1655"/>
      <c r="M32" s="1652"/>
      <c r="N32" s="1652"/>
      <c r="O32" s="1657"/>
      <c r="P32" s="4229"/>
      <c r="Q32" s="1957"/>
      <c r="R32" s="1229"/>
      <c r="S32" s="1230"/>
      <c r="T32" s="1229"/>
      <c r="U32" s="1230"/>
      <c r="V32" s="1229"/>
      <c r="W32" s="1230"/>
      <c r="X32" s="1231"/>
      <c r="Y32" s="4229"/>
      <c r="Z32" s="1956"/>
      <c r="AA32" s="1237">
        <v>1</v>
      </c>
      <c r="AB32" s="1237">
        <v>1</v>
      </c>
      <c r="AC32" s="1237">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229"/>
      <c r="Q33" s="1233" t="str">
        <f t="shared" si="8"/>
        <v>临街状况</v>
      </c>
      <c r="R33" s="1234" t="s">
        <v>5</v>
      </c>
      <c r="S33" s="1235">
        <f t="shared" ref="S33:S47" si="9">F33</f>
        <v>100</v>
      </c>
      <c r="T33" s="1234" t="s">
        <v>5</v>
      </c>
      <c r="U33" s="1235">
        <f t="shared" ref="U33:U47" si="10">H33</f>
        <v>100</v>
      </c>
      <c r="V33" s="1234" t="s">
        <v>5</v>
      </c>
      <c r="W33" s="1235">
        <f t="shared" ref="W33:W47" si="11">J33</f>
        <v>100</v>
      </c>
      <c r="X33" s="1228"/>
      <c r="Y33" s="4229"/>
      <c r="Z33" s="1236" t="str">
        <f t="shared" ref="Z33:Z47" si="12">Q33</f>
        <v>临街状况</v>
      </c>
      <c r="AA33" s="1237">
        <f t="shared" si="3"/>
        <v>1</v>
      </c>
      <c r="AB33" s="1237">
        <f t="shared" si="4"/>
        <v>1</v>
      </c>
      <c r="AC33" s="1237">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229"/>
      <c r="Q34" s="1233" t="str">
        <f t="shared" si="8"/>
        <v>毗邻道路的类型与等级</v>
      </c>
      <c r="R34" s="1234" t="s">
        <v>5</v>
      </c>
      <c r="S34" s="1235">
        <f t="shared" si="9"/>
        <v>100</v>
      </c>
      <c r="T34" s="1234" t="s">
        <v>5</v>
      </c>
      <c r="U34" s="1235">
        <f t="shared" si="10"/>
        <v>100</v>
      </c>
      <c r="V34" s="1234" t="s">
        <v>5</v>
      </c>
      <c r="W34" s="1235">
        <f t="shared" si="11"/>
        <v>100</v>
      </c>
      <c r="X34" s="1228"/>
      <c r="Y34" s="4229"/>
      <c r="Z34" s="1236" t="str">
        <f t="shared" si="12"/>
        <v>毗邻道路的类型与等级</v>
      </c>
      <c r="AA34" s="1237">
        <f t="shared" si="3"/>
        <v>1</v>
      </c>
      <c r="AB34" s="1237">
        <f t="shared" si="4"/>
        <v>1</v>
      </c>
      <c r="AC34" s="1237">
        <f t="shared" si="5"/>
        <v>1</v>
      </c>
    </row>
    <row r="35" spans="1:29" ht="20.25">
      <c r="A35" s="390"/>
      <c r="B35" s="424"/>
      <c r="C35" s="412"/>
      <c r="D35" s="415"/>
      <c r="E35" s="434"/>
      <c r="F35" s="413"/>
      <c r="G35" s="412"/>
      <c r="H35" s="413"/>
      <c r="I35" s="434"/>
      <c r="J35" s="413"/>
      <c r="K35" s="439"/>
      <c r="L35" s="1662"/>
      <c r="M35" s="1652"/>
      <c r="N35" s="1652"/>
      <c r="O35" s="1661"/>
      <c r="P35" s="4229"/>
      <c r="Q35" s="1233"/>
      <c r="R35" s="1234"/>
      <c r="S35" s="1235"/>
      <c r="T35" s="1234"/>
      <c r="U35" s="1235"/>
      <c r="V35" s="1234"/>
      <c r="W35" s="1235"/>
      <c r="X35" s="1228"/>
      <c r="Y35" s="4229"/>
      <c r="Z35" s="1236"/>
      <c r="AA35" s="1237">
        <v>1</v>
      </c>
      <c r="AB35" s="1237">
        <v>1</v>
      </c>
      <c r="AC35" s="1237">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229"/>
      <c r="Q36" s="1233" t="str">
        <f t="shared" si="8"/>
        <v>土地级别</v>
      </c>
      <c r="R36" s="1234" t="s">
        <v>5</v>
      </c>
      <c r="S36" s="1235">
        <f t="shared" si="9"/>
        <v>100</v>
      </c>
      <c r="T36" s="1234" t="s">
        <v>5</v>
      </c>
      <c r="U36" s="1235">
        <f t="shared" si="10"/>
        <v>100</v>
      </c>
      <c r="V36" s="1234" t="s">
        <v>5</v>
      </c>
      <c r="W36" s="1235">
        <f t="shared" si="11"/>
        <v>100</v>
      </c>
      <c r="X36" s="1228"/>
      <c r="Y36" s="4229"/>
      <c r="Z36" s="1236" t="str">
        <f t="shared" si="12"/>
        <v>土地级别</v>
      </c>
      <c r="AA36" s="1237">
        <f t="shared" si="3"/>
        <v>1</v>
      </c>
      <c r="AB36" s="1237">
        <f t="shared" si="4"/>
        <v>1</v>
      </c>
      <c r="AC36" s="1237">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229"/>
      <c r="Q37" s="1233">
        <f t="shared" si="8"/>
        <v>111</v>
      </c>
      <c r="R37" s="1234" t="s">
        <v>5</v>
      </c>
      <c r="S37" s="1235">
        <f t="shared" si="9"/>
        <v>100</v>
      </c>
      <c r="T37" s="1234" t="s">
        <v>5</v>
      </c>
      <c r="U37" s="1235">
        <f t="shared" si="10"/>
        <v>100</v>
      </c>
      <c r="V37" s="1234" t="s">
        <v>5</v>
      </c>
      <c r="W37" s="1235">
        <f t="shared" si="11"/>
        <v>100</v>
      </c>
      <c r="X37" s="1228"/>
      <c r="Y37" s="4229"/>
      <c r="Z37" s="1236">
        <f t="shared" si="12"/>
        <v>111</v>
      </c>
      <c r="AA37" s="1237">
        <f t="shared" si="3"/>
        <v>1</v>
      </c>
      <c r="AB37" s="1237">
        <f t="shared" si="4"/>
        <v>1</v>
      </c>
      <c r="AC37" s="1237">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230" t="s">
        <v>499</v>
      </c>
      <c r="Q38" s="1233">
        <f t="shared" si="8"/>
        <v>111</v>
      </c>
      <c r="R38" s="1234" t="s">
        <v>5</v>
      </c>
      <c r="S38" s="1235">
        <f t="shared" si="9"/>
        <v>100</v>
      </c>
      <c r="T38" s="1234" t="s">
        <v>5</v>
      </c>
      <c r="U38" s="1235">
        <f t="shared" si="10"/>
        <v>100</v>
      </c>
      <c r="V38" s="1234" t="s">
        <v>5</v>
      </c>
      <c r="W38" s="1235">
        <f t="shared" si="11"/>
        <v>100</v>
      </c>
      <c r="X38" s="1228"/>
      <c r="Y38" s="4231" t="s">
        <v>499</v>
      </c>
      <c r="Z38" s="1236">
        <f t="shared" si="12"/>
        <v>111</v>
      </c>
      <c r="AA38" s="1237">
        <f t="shared" si="3"/>
        <v>1</v>
      </c>
      <c r="AB38" s="1237">
        <f t="shared" si="4"/>
        <v>1</v>
      </c>
      <c r="AC38" s="1237">
        <f t="shared" si="5"/>
        <v>1</v>
      </c>
    </row>
    <row r="39" spans="1:29" s="1063"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231"/>
      <c r="Q39" s="1233">
        <f t="shared" si="8"/>
        <v>111</v>
      </c>
      <c r="R39" s="1238" t="s">
        <v>5</v>
      </c>
      <c r="S39" s="1239">
        <f t="shared" si="9"/>
        <v>100</v>
      </c>
      <c r="T39" s="1238" t="s">
        <v>5</v>
      </c>
      <c r="U39" s="1239">
        <f t="shared" si="10"/>
        <v>100</v>
      </c>
      <c r="V39" s="1238" t="s">
        <v>5</v>
      </c>
      <c r="W39" s="1239">
        <f t="shared" si="11"/>
        <v>100</v>
      </c>
      <c r="X39" s="1240"/>
      <c r="Y39" s="4231"/>
      <c r="Z39" s="1241">
        <f t="shared" si="12"/>
        <v>111</v>
      </c>
      <c r="AA39" s="1237">
        <f t="shared" si="3"/>
        <v>1</v>
      </c>
      <c r="AB39" s="1237">
        <f t="shared" si="4"/>
        <v>1</v>
      </c>
      <c r="AC39" s="1237">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231"/>
      <c r="Q40" s="1233" t="str">
        <f>B40</f>
        <v>宗地面积</v>
      </c>
      <c r="R40" s="1234" t="s">
        <v>5</v>
      </c>
      <c r="S40" s="1235" t="e">
        <f t="shared" si="9"/>
        <v>#N/A</v>
      </c>
      <c r="T40" s="1234" t="s">
        <v>5</v>
      </c>
      <c r="U40" s="1235" t="e">
        <f t="shared" si="10"/>
        <v>#N/A</v>
      </c>
      <c r="V40" s="1234" t="s">
        <v>5</v>
      </c>
      <c r="W40" s="1235" t="e">
        <f t="shared" si="11"/>
        <v>#N/A</v>
      </c>
      <c r="X40" s="1228"/>
      <c r="Y40" s="4231"/>
      <c r="Z40" s="1236" t="str">
        <f t="shared" si="12"/>
        <v>宗地面积</v>
      </c>
      <c r="AA40" s="1237" t="e">
        <f t="shared" si="3"/>
        <v>#N/A</v>
      </c>
      <c r="AB40" s="1237" t="e">
        <f t="shared" si="4"/>
        <v>#N/A</v>
      </c>
      <c r="AC40" s="1237"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231"/>
      <c r="Q41" s="1233" t="str">
        <f t="shared" ref="Q41:Q47" si="13">B41</f>
        <v>宗地形状</v>
      </c>
      <c r="R41" s="1234" t="s">
        <v>5</v>
      </c>
      <c r="S41" s="1235">
        <f t="shared" si="9"/>
        <v>100</v>
      </c>
      <c r="T41" s="1234" t="s">
        <v>5</v>
      </c>
      <c r="U41" s="1235">
        <f t="shared" si="10"/>
        <v>100</v>
      </c>
      <c r="V41" s="1234" t="s">
        <v>5</v>
      </c>
      <c r="W41" s="1235">
        <f t="shared" si="11"/>
        <v>100</v>
      </c>
      <c r="X41" s="1228"/>
      <c r="Y41" s="4231"/>
      <c r="Z41" s="1236" t="str">
        <f t="shared" si="12"/>
        <v>宗地形状</v>
      </c>
      <c r="AA41" s="1237">
        <f t="shared" si="3"/>
        <v>1</v>
      </c>
      <c r="AB41" s="1237">
        <f t="shared" si="4"/>
        <v>1</v>
      </c>
      <c r="AC41" s="1237">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231"/>
      <c r="Q42" s="1233" t="str">
        <f t="shared" si="13"/>
        <v>临街宽度及深度</v>
      </c>
      <c r="R42" s="1234" t="s">
        <v>5</v>
      </c>
      <c r="S42" s="1235">
        <f t="shared" si="9"/>
        <v>100</v>
      </c>
      <c r="T42" s="1234" t="s">
        <v>5</v>
      </c>
      <c r="U42" s="1235">
        <f t="shared" si="10"/>
        <v>100</v>
      </c>
      <c r="V42" s="1234" t="s">
        <v>5</v>
      </c>
      <c r="W42" s="1235">
        <f t="shared" si="11"/>
        <v>100</v>
      </c>
      <c r="X42" s="1228"/>
      <c r="Y42" s="4231"/>
      <c r="Z42" s="1236" t="str">
        <f t="shared" si="12"/>
        <v>临街宽度及深度</v>
      </c>
      <c r="AA42" s="1237">
        <f t="shared" si="3"/>
        <v>1</v>
      </c>
      <c r="AB42" s="1237">
        <f t="shared" si="4"/>
        <v>1</v>
      </c>
      <c r="AC42" s="1237">
        <f t="shared" si="5"/>
        <v>1</v>
      </c>
    </row>
    <row r="43" spans="1:29" s="981"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231"/>
      <c r="Q43" s="1233" t="str">
        <f t="shared" si="13"/>
        <v>宗地开发程度</v>
      </c>
      <c r="R43" s="1229" t="s">
        <v>5</v>
      </c>
      <c r="S43" s="1230">
        <f t="shared" si="9"/>
        <v>100</v>
      </c>
      <c r="T43" s="1229" t="s">
        <v>5</v>
      </c>
      <c r="U43" s="1230">
        <f t="shared" si="10"/>
        <v>100</v>
      </c>
      <c r="V43" s="1229" t="s">
        <v>5</v>
      </c>
      <c r="W43" s="1230">
        <f t="shared" si="11"/>
        <v>100</v>
      </c>
      <c r="X43" s="1231"/>
      <c r="Y43" s="4231"/>
      <c r="Z43" s="928" t="str">
        <f t="shared" si="12"/>
        <v>宗地开发程度</v>
      </c>
      <c r="AA43" s="1232">
        <f t="shared" si="3"/>
        <v>1</v>
      </c>
      <c r="AB43" s="1232">
        <f t="shared" si="4"/>
        <v>1</v>
      </c>
      <c r="AC43" s="1232">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231" t="s">
        <v>499</v>
      </c>
      <c r="Q44" s="1233" t="str">
        <f t="shared" si="13"/>
        <v>工程地质条件</v>
      </c>
      <c r="R44" s="1234" t="s">
        <v>5</v>
      </c>
      <c r="S44" s="1235">
        <f t="shared" si="9"/>
        <v>100</v>
      </c>
      <c r="T44" s="1234" t="s">
        <v>5</v>
      </c>
      <c r="U44" s="1235">
        <f t="shared" si="10"/>
        <v>100</v>
      </c>
      <c r="V44" s="1234" t="s">
        <v>5</v>
      </c>
      <c r="W44" s="1235">
        <f t="shared" si="11"/>
        <v>100</v>
      </c>
      <c r="X44" s="1228"/>
      <c r="Y44" s="4231" t="s">
        <v>499</v>
      </c>
      <c r="Z44" s="1236" t="str">
        <f t="shared" si="12"/>
        <v>工程地质条件</v>
      </c>
      <c r="AA44" s="1237">
        <f t="shared" si="3"/>
        <v>1</v>
      </c>
      <c r="AB44" s="1237">
        <f t="shared" si="4"/>
        <v>1</v>
      </c>
      <c r="AC44" s="1237">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231"/>
      <c r="Q45" s="1233">
        <f t="shared" si="13"/>
        <v>111</v>
      </c>
      <c r="R45" s="1234" t="s">
        <v>5</v>
      </c>
      <c r="S45" s="1235">
        <f t="shared" si="9"/>
        <v>100</v>
      </c>
      <c r="T45" s="1234" t="s">
        <v>5</v>
      </c>
      <c r="U45" s="1235">
        <f t="shared" si="10"/>
        <v>100</v>
      </c>
      <c r="V45" s="1234" t="s">
        <v>5</v>
      </c>
      <c r="W45" s="1235">
        <f t="shared" si="11"/>
        <v>100</v>
      </c>
      <c r="X45" s="1228"/>
      <c r="Y45" s="4231"/>
      <c r="Z45" s="1236">
        <f t="shared" si="12"/>
        <v>111</v>
      </c>
      <c r="AA45" s="1237">
        <f t="shared" si="3"/>
        <v>1</v>
      </c>
      <c r="AB45" s="1237">
        <f t="shared" si="4"/>
        <v>1</v>
      </c>
      <c r="AC45" s="1237">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231"/>
      <c r="Q46" s="1233">
        <f t="shared" si="13"/>
        <v>111</v>
      </c>
      <c r="R46" s="1234" t="s">
        <v>5</v>
      </c>
      <c r="S46" s="1235">
        <f t="shared" si="9"/>
        <v>100</v>
      </c>
      <c r="T46" s="1234" t="s">
        <v>5</v>
      </c>
      <c r="U46" s="1235">
        <f t="shared" si="10"/>
        <v>100</v>
      </c>
      <c r="V46" s="1234" t="s">
        <v>5</v>
      </c>
      <c r="W46" s="1235">
        <f t="shared" si="11"/>
        <v>100</v>
      </c>
      <c r="X46" s="1228"/>
      <c r="Y46" s="4231"/>
      <c r="Z46" s="1236">
        <f t="shared" si="12"/>
        <v>111</v>
      </c>
      <c r="AA46" s="1237">
        <f t="shared" si="3"/>
        <v>1</v>
      </c>
      <c r="AB46" s="1237">
        <f t="shared" si="4"/>
        <v>1</v>
      </c>
      <c r="AC46" s="1237">
        <f t="shared" si="5"/>
        <v>1</v>
      </c>
    </row>
    <row r="47" spans="1:29" s="1063"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231"/>
      <c r="Q47" s="1233">
        <f t="shared" si="13"/>
        <v>111</v>
      </c>
      <c r="R47" s="1238" t="s">
        <v>5</v>
      </c>
      <c r="S47" s="1239">
        <f t="shared" si="9"/>
        <v>100</v>
      </c>
      <c r="T47" s="1238" t="s">
        <v>5</v>
      </c>
      <c r="U47" s="1239">
        <f t="shared" si="10"/>
        <v>100</v>
      </c>
      <c r="V47" s="1238" t="s">
        <v>5</v>
      </c>
      <c r="W47" s="1239">
        <f t="shared" si="11"/>
        <v>100</v>
      </c>
      <c r="X47" s="1240"/>
      <c r="Y47" s="4231"/>
      <c r="Z47" s="1241">
        <f t="shared" si="12"/>
        <v>111</v>
      </c>
      <c r="AA47" s="1237">
        <f t="shared" si="3"/>
        <v>1</v>
      </c>
      <c r="AB47" s="1237">
        <f t="shared" si="4"/>
        <v>1</v>
      </c>
      <c r="AC47" s="1237">
        <f t="shared" si="5"/>
        <v>1</v>
      </c>
    </row>
    <row r="48" spans="1:29" ht="20.25">
      <c r="A48" s="465" t="s">
        <v>505</v>
      </c>
      <c r="B48" s="466" t="s">
        <v>2105</v>
      </c>
      <c r="C48" s="467" t="s">
        <v>0</v>
      </c>
      <c r="D48" s="468"/>
      <c r="E48" s="469"/>
      <c r="F48" s="470"/>
      <c r="G48" s="471"/>
      <c r="H48" s="472"/>
      <c r="I48" s="469"/>
      <c r="J48" s="472"/>
      <c r="K48" s="1064"/>
      <c r="L48" s="1664"/>
      <c r="M48" s="1652"/>
      <c r="N48" s="1652"/>
      <c r="O48" s="1665"/>
      <c r="P48" s="4195" t="str">
        <f>A48</f>
        <v>成交单价</v>
      </c>
      <c r="Q48" s="4195"/>
      <c r="R48" s="4196">
        <f>E48</f>
        <v>0</v>
      </c>
      <c r="S48" s="4196"/>
      <c r="T48" s="4196">
        <f>G48</f>
        <v>0</v>
      </c>
      <c r="U48" s="4196"/>
      <c r="V48" s="4196">
        <f>I48</f>
        <v>0</v>
      </c>
      <c r="W48" s="4196"/>
      <c r="X48" s="1223"/>
      <c r="Y48" s="1242"/>
      <c r="Z48" s="1223"/>
      <c r="AA48" s="1223"/>
      <c r="AB48" s="1223"/>
      <c r="AC48" s="1223"/>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195" t="str">
        <f>A49</f>
        <v>比较价格（元/平方米）</v>
      </c>
      <c r="Q49" s="4195"/>
      <c r="R49" s="4197" t="e">
        <f>ROUND(PRODUCT(R48,AA9:AA47),0)</f>
        <v>#DIV/0!</v>
      </c>
      <c r="S49" s="4197"/>
      <c r="T49" s="4197" t="e">
        <f>ROUND(PRODUCT(T48,AB9:AB47),0)</f>
        <v>#DIV/0!</v>
      </c>
      <c r="U49" s="4197"/>
      <c r="V49" s="4197" t="e">
        <f>ROUND(PRODUCT(V48,AC9:AC47),0)</f>
        <v>#DIV/0!</v>
      </c>
      <c r="W49" s="4197"/>
      <c r="X49" s="1223"/>
      <c r="Y49" s="1223"/>
      <c r="Z49" s="1223"/>
      <c r="AA49" s="1223"/>
      <c r="AB49" s="1223"/>
      <c r="AC49" s="1223"/>
    </row>
    <row r="50" spans="1:29" ht="21" thickBot="1">
      <c r="A50" s="477" t="s">
        <v>2106</v>
      </c>
      <c r="B50" s="478"/>
      <c r="C50" s="479" t="e">
        <f>R50</f>
        <v>#DIV/0!</v>
      </c>
      <c r="D50" s="479"/>
      <c r="E50" s="479"/>
      <c r="F50" s="479"/>
      <c r="G50" s="479"/>
      <c r="H50" s="479"/>
      <c r="I50" s="479"/>
      <c r="J50" s="479"/>
      <c r="K50" s="1065"/>
      <c r="L50" s="1664"/>
      <c r="M50" s="1652"/>
      <c r="N50" s="1652"/>
      <c r="O50" s="1665"/>
      <c r="P50" s="4232" t="str">
        <f>A50</f>
        <v>估价对象XX用房的比较价格（楼面单价，元/平方米）</v>
      </c>
      <c r="Q50" s="4233"/>
      <c r="R50" s="4194" t="e">
        <f>ROUND(IF(D49="简单平均",AVERAGE(R49:W49),R49*F49+T49*H49+V49*J49),0)</f>
        <v>#DIV/0!</v>
      </c>
      <c r="S50" s="4194"/>
      <c r="T50" s="4194"/>
      <c r="U50" s="4194"/>
      <c r="V50" s="4194"/>
      <c r="W50" s="4194"/>
      <c r="X50" s="1223"/>
      <c r="Y50" s="1223"/>
      <c r="Z50" s="1223"/>
      <c r="AA50" s="1223"/>
      <c r="AB50" s="1223"/>
      <c r="AC50" s="1223"/>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8"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4" t="s">
        <v>1253</v>
      </c>
      <c r="D57" s="1743" t="s">
        <v>1568</v>
      </c>
      <c r="E57" s="487" t="s">
        <v>511</v>
      </c>
      <c r="F57" s="488" t="s">
        <v>512</v>
      </c>
      <c r="G57" s="4221" t="s">
        <v>1558</v>
      </c>
      <c r="H57" s="4222"/>
      <c r="I57" s="1220" t="s">
        <v>1251</v>
      </c>
      <c r="J57" s="1220">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9" customFormat="1" ht="12.75">
      <c r="A58" s="489" t="s">
        <v>513</v>
      </c>
      <c r="B58" s="490" t="e">
        <f>C50</f>
        <v>#DIV/0!</v>
      </c>
      <c r="C58" s="491">
        <v>1</v>
      </c>
      <c r="D58" s="1744">
        <v>1</v>
      </c>
      <c r="E58" s="491">
        <f>'数据-汇总表'!E8+'数据-汇总表'!E9</f>
        <v>29082.55</v>
      </c>
      <c r="F58" s="492" t="e">
        <f t="shared" ref="F58:F66" si="14">ROUND(B58*E58/10000,0)</f>
        <v>#DIV/0!</v>
      </c>
      <c r="G58" s="4223"/>
      <c r="H58" s="4224"/>
      <c r="I58" s="1221">
        <v>1</v>
      </c>
      <c r="J58" s="1221">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514</v>
      </c>
      <c r="B59" s="494" t="e">
        <f>ROUND($C$50*C59*D59,0)</f>
        <v>#DIV/0!</v>
      </c>
      <c r="C59" s="264">
        <f t="shared" ref="C59:C66" si="15">IF($C$57="北京市系数",I59,J59)</f>
        <v>0</v>
      </c>
      <c r="D59" s="1745">
        <v>0.25</v>
      </c>
      <c r="E59" s="495">
        <v>0</v>
      </c>
      <c r="F59" s="492" t="e">
        <f t="shared" si="14"/>
        <v>#DIV/0!</v>
      </c>
      <c r="G59" s="2928" t="s">
        <v>1559</v>
      </c>
      <c r="H59" s="1532">
        <f>项目基本情况!B43</f>
        <v>0</v>
      </c>
      <c r="I59" s="1221">
        <f>SUMIF(修正!$A$57:$A$68,H59,修正!B57:B68)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515</v>
      </c>
      <c r="B60" s="494" t="e">
        <f t="shared" ref="B60:B66" si="16">ROUND($C$50*C60*D60,0)</f>
        <v>#DIV/0!</v>
      </c>
      <c r="C60" s="264">
        <f t="shared" si="15"/>
        <v>0</v>
      </c>
      <c r="D60" s="1745">
        <v>0.25</v>
      </c>
      <c r="E60" s="495">
        <v>0</v>
      </c>
      <c r="F60" s="492" t="e">
        <f t="shared" si="14"/>
        <v>#DIV/0!</v>
      </c>
      <c r="G60" s="2929"/>
      <c r="H60" s="1532">
        <f>项目基本情况!B43</f>
        <v>0</v>
      </c>
      <c r="I60" s="1221">
        <f>SUMIF(修正!$A$57:$A$68,H60,修正!C57:C68)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2.75">
      <c r="A61" s="493" t="s">
        <v>516</v>
      </c>
      <c r="B61" s="494" t="e">
        <f t="shared" si="16"/>
        <v>#DIV/0!</v>
      </c>
      <c r="C61" s="264">
        <f t="shared" si="15"/>
        <v>0</v>
      </c>
      <c r="D61" s="1745">
        <v>0.25</v>
      </c>
      <c r="E61" s="495">
        <v>0</v>
      </c>
      <c r="F61" s="492" t="e">
        <f t="shared" si="14"/>
        <v>#DIV/0!</v>
      </c>
      <c r="G61" s="2929"/>
      <c r="H61" s="1532">
        <f>项目基本情况!B43</f>
        <v>0</v>
      </c>
      <c r="I61" s="1221">
        <f>SUMIF(修正!$A$57:$A$68,H61,修正!D57:D68)</f>
        <v>0</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2.75">
      <c r="A62" s="1826" t="s">
        <v>1602</v>
      </c>
      <c r="B62" s="494" t="e">
        <f t="shared" si="16"/>
        <v>#DIV/0!</v>
      </c>
      <c r="C62" s="264">
        <f t="shared" si="15"/>
        <v>0.25</v>
      </c>
      <c r="D62" s="1745">
        <v>0.25</v>
      </c>
      <c r="E62" s="497">
        <f>'数据-汇总表'!E11</f>
        <v>0</v>
      </c>
      <c r="F62" s="492" t="e">
        <f t="shared" si="14"/>
        <v>#DIV/0!</v>
      </c>
      <c r="G62" s="1529" t="s">
        <v>1560</v>
      </c>
      <c r="H62" s="1532" t="str">
        <f>项目基本情况!C43</f>
        <v>七级</v>
      </c>
      <c r="I62" s="1221">
        <f>SUMIF(修正!$A$57:$A$68,H62,修正!E57:E68)</f>
        <v>0.25</v>
      </c>
      <c r="J62" s="1222"/>
      <c r="K62" s="2631"/>
      <c r="L62" s="1674"/>
      <c r="M62" s="1674"/>
      <c r="N62" s="1674"/>
      <c r="O62" s="1674"/>
      <c r="P62" s="1674"/>
      <c r="Q62" s="1674"/>
      <c r="R62" s="1674"/>
      <c r="S62" s="1674"/>
      <c r="T62" s="1674"/>
      <c r="U62" s="1674"/>
      <c r="V62" s="1674"/>
      <c r="W62" s="1674"/>
      <c r="X62" s="1674"/>
      <c r="Y62" s="1674"/>
      <c r="Z62" s="1674"/>
      <c r="AA62" s="1674"/>
      <c r="AB62" s="1674"/>
      <c r="AC62" s="1674"/>
    </row>
    <row r="63" spans="1:29" s="1069" customFormat="1" ht="12.75">
      <c r="A63" s="493" t="s">
        <v>517</v>
      </c>
      <c r="B63" s="494" t="e">
        <f t="shared" si="16"/>
        <v>#DIV/0!</v>
      </c>
      <c r="C63" s="264">
        <f t="shared" si="15"/>
        <v>0.25</v>
      </c>
      <c r="D63" s="1745">
        <v>0.25</v>
      </c>
      <c r="E63" s="497">
        <f>'数据-汇总表'!E12</f>
        <v>0</v>
      </c>
      <c r="F63" s="492" t="e">
        <f t="shared" si="14"/>
        <v>#DIV/0!</v>
      </c>
      <c r="G63" s="1530" t="s">
        <v>1212</v>
      </c>
      <c r="H63" s="1528" t="str">
        <f>IF(G63="商业",项目基本情况!B43,IF(G63="办公",项目基本情况!C43,IF(G63="住宅",项目基本情况!D43,项目基本情况!E43)))</f>
        <v>七级</v>
      </c>
      <c r="I63" s="1221">
        <f>SUMIF(修正!$A$57:$A$68,H63,修正!F57:F68)</f>
        <v>0.25</v>
      </c>
      <c r="J63" s="1222"/>
      <c r="K63" s="2631"/>
      <c r="L63" s="1674"/>
      <c r="M63" s="1674"/>
      <c r="N63" s="1674"/>
      <c r="O63" s="1674"/>
      <c r="P63" s="1674"/>
      <c r="Q63" s="1674"/>
      <c r="R63" s="1674"/>
      <c r="S63" s="1674"/>
      <c r="T63" s="1674"/>
      <c r="U63" s="1674"/>
      <c r="V63" s="1674"/>
      <c r="W63" s="1674"/>
      <c r="X63" s="1674"/>
      <c r="Y63" s="1674"/>
      <c r="Z63" s="1674"/>
      <c r="AA63" s="1674"/>
      <c r="AB63" s="1674"/>
      <c r="AC63" s="1674"/>
    </row>
    <row r="64" spans="1:29" s="1069"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1">
        <f>SUMIF(修正!$A$57:$A$68,H64,修正!G57:G68)</f>
        <v>0</v>
      </c>
      <c r="J64" s="1222"/>
      <c r="K64" s="2631"/>
      <c r="L64" s="1674"/>
      <c r="M64" s="1674"/>
      <c r="N64" s="1674"/>
      <c r="O64" s="1674"/>
      <c r="P64" s="1674"/>
      <c r="Q64" s="1674"/>
      <c r="R64" s="1674"/>
      <c r="S64" s="1674"/>
      <c r="T64" s="1674"/>
      <c r="U64" s="1674"/>
      <c r="V64" s="1674"/>
      <c r="W64" s="1674"/>
      <c r="X64" s="1674"/>
      <c r="Y64" s="1674"/>
      <c r="Z64" s="1674"/>
      <c r="AA64" s="1674"/>
      <c r="AB64" s="1674"/>
      <c r="AC64" s="1674"/>
    </row>
    <row r="65" spans="1:29" s="1069" customFormat="1" ht="12.75">
      <c r="A65" s="493" t="s">
        <v>519</v>
      </c>
      <c r="B65" s="494" t="e">
        <f t="shared" si="16"/>
        <v>#DIV/0!</v>
      </c>
      <c r="C65" s="264">
        <f t="shared" si="15"/>
        <v>0</v>
      </c>
      <c r="D65" s="1745">
        <v>0.25</v>
      </c>
      <c r="E65" s="497">
        <f>'数据-汇总表'!E14</f>
        <v>0</v>
      </c>
      <c r="F65" s="492" t="e">
        <f t="shared" si="14"/>
        <v>#DIV/0!</v>
      </c>
      <c r="G65" s="1529" t="s">
        <v>1559</v>
      </c>
      <c r="H65" s="1532">
        <f>项目基本情况!B43</f>
        <v>0</v>
      </c>
      <c r="I65" s="1221">
        <f>SUMIF(修正!$A$57:$A$68,H65,修正!G57:G68)</f>
        <v>0</v>
      </c>
      <c r="J65" s="1222"/>
      <c r="K65" s="2631"/>
      <c r="L65" s="1674"/>
      <c r="M65" s="1674"/>
      <c r="N65" s="1674"/>
      <c r="O65" s="1674"/>
      <c r="P65" s="1674"/>
      <c r="Q65" s="1674"/>
      <c r="R65" s="1674"/>
      <c r="S65" s="1674"/>
      <c r="T65" s="1674"/>
      <c r="U65" s="1674"/>
      <c r="V65" s="1674"/>
      <c r="W65" s="1674"/>
      <c r="X65" s="1674"/>
      <c r="Y65" s="1674"/>
      <c r="Z65" s="1674"/>
      <c r="AA65" s="1674"/>
      <c r="AB65" s="1674"/>
      <c r="AC65" s="1674"/>
    </row>
    <row r="66" spans="1:29" s="1069" customFormat="1" ht="13.5" thickBot="1">
      <c r="A66" s="493" t="s">
        <v>520</v>
      </c>
      <c r="B66" s="494" t="e">
        <f t="shared" si="16"/>
        <v>#DIV/0!</v>
      </c>
      <c r="C66" s="264">
        <f t="shared" si="15"/>
        <v>0.15</v>
      </c>
      <c r="D66" s="1745">
        <v>0.25</v>
      </c>
      <c r="E66" s="497">
        <f>'数据-汇总表'!E15</f>
        <v>0</v>
      </c>
      <c r="F66" s="492" t="e">
        <f t="shared" si="14"/>
        <v>#DIV/0!</v>
      </c>
      <c r="G66" s="1531" t="s">
        <v>1560</v>
      </c>
      <c r="H66" s="1533" t="str">
        <f>项目基本情况!C43</f>
        <v>七级</v>
      </c>
      <c r="I66" s="1221">
        <f>SUMIF(修正!$A$57:$A$68,H66,修正!G57:G68)</f>
        <v>0.15</v>
      </c>
      <c r="J66" s="1222"/>
      <c r="K66" s="2631"/>
      <c r="L66" s="1674"/>
      <c r="M66" s="1674"/>
      <c r="N66" s="1674"/>
      <c r="O66" s="1674"/>
      <c r="P66" s="1674"/>
      <c r="Q66" s="1674"/>
      <c r="R66" s="1674"/>
      <c r="S66" s="1674"/>
      <c r="T66" s="1674"/>
      <c r="U66" s="1674"/>
      <c r="V66" s="1674"/>
      <c r="W66" s="1674"/>
      <c r="X66" s="1674"/>
      <c r="Y66" s="1674"/>
      <c r="Z66" s="1674"/>
      <c r="AA66" s="1674"/>
      <c r="AB66" s="1674"/>
      <c r="AC66" s="1674"/>
    </row>
    <row r="67" spans="1:29" s="1069" customFormat="1" ht="13.5" thickBot="1">
      <c r="A67" s="498" t="s">
        <v>521</v>
      </c>
      <c r="B67" s="499" t="s">
        <v>11</v>
      </c>
      <c r="C67" s="499" t="s">
        <v>12</v>
      </c>
      <c r="D67" s="499" t="s">
        <v>1569</v>
      </c>
      <c r="E67" s="499">
        <f>IF(B48="楼面地价",SUM(E58:E66),'数据-汇总表'!D3)</f>
        <v>12128</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5" t="s">
        <v>522</v>
      </c>
      <c r="B70" s="1223"/>
      <c r="C70" s="1244"/>
      <c r="D70" s="1244"/>
      <c r="E70" s="1244"/>
      <c r="F70" s="1246"/>
      <c r="G70" s="1246"/>
      <c r="H70" s="1244"/>
      <c r="I70" s="1244"/>
      <c r="J70" s="1244"/>
      <c r="K70" s="1247"/>
      <c r="L70" s="1243"/>
      <c r="M70" s="1244"/>
      <c r="N70" s="1244"/>
      <c r="O70" s="1676"/>
      <c r="P70" s="1676"/>
      <c r="Q70" s="1677"/>
      <c r="R70" s="1665"/>
      <c r="S70" s="1665"/>
      <c r="T70" s="1665"/>
      <c r="U70" s="1665"/>
      <c r="V70" s="1665"/>
      <c r="W70" s="1665"/>
      <c r="X70" s="1665"/>
      <c r="Y70" s="1665"/>
      <c r="Z70" s="1665"/>
      <c r="AA70" s="1665"/>
      <c r="AB70" s="1665"/>
      <c r="AC70" s="1665"/>
    </row>
    <row r="71" spans="1:29" s="1070"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1" customFormat="1" ht="27" customHeight="1">
      <c r="A72" s="2046" t="s">
        <v>1838</v>
      </c>
      <c r="B72" s="354" t="str">
        <f>"北京市平均增长率"&amp;TEXT(SUMIF('基准地价-商业'!N25:N29,A72,'基准地价-商业'!P25:P29),"0.00%")</f>
        <v>北京市平均增长率0.00%</v>
      </c>
      <c r="C72" s="738">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1"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1"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1"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3" customFormat="1" ht="15.75" thickTop="1">
      <c r="A83" s="543"/>
      <c r="B83" s="529" t="str">
        <f>B14</f>
        <v>配建</v>
      </c>
      <c r="C83" s="544"/>
      <c r="D83" s="1084"/>
      <c r="E83" s="1085"/>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3"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3"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3"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3"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3"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1"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1"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1"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1"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3"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3"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3"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3"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3"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3" customFormat="1" ht="15" thickTop="1">
      <c r="A124" s="584"/>
      <c r="B124" s="1480" t="s">
        <v>1693</v>
      </c>
      <c r="C124" s="1084"/>
      <c r="D124" s="1084"/>
      <c r="E124" s="1084"/>
      <c r="F124" s="1084"/>
      <c r="G124" s="1084"/>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3"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3"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3"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8"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8"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8"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8"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8"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8"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8"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8"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8"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8"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8"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8"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8"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8"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8"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8"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8"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8"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8"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8"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8"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8"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8"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8"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8"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8"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8"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8"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8"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8"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8"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8"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8"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8"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8"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8"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8"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8"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8"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8"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8"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8"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8"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8"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8"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8"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8"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8"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8"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8"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8"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8"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8"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8"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8"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8"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8"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8"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8"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8"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8"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8"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8"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8"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8"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8"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8"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8"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8"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8"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8"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8"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8"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8"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8"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8"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8"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8"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8"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8"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8"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8"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8"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8"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8"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8"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8"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8"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8"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8"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8"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8"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8"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8"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8"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8"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8"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8"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8"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8"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8"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8"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8"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8"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8"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8"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8"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8"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8"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8"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8"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8"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8"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8"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8"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8"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8"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8"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8"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8"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8"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8" customFormat="1">
      <c r="K255" s="1249"/>
      <c r="L255" s="1250"/>
    </row>
    <row r="256" spans="1:29" s="1248" customFormat="1">
      <c r="K256" s="1249"/>
      <c r="L256" s="1250"/>
    </row>
    <row r="257" spans="11:12" s="1248" customFormat="1">
      <c r="K257" s="1249"/>
      <c r="L257" s="1250"/>
    </row>
    <row r="258" spans="11:12" s="1248" customFormat="1">
      <c r="K258" s="1249"/>
      <c r="L258" s="125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xr:uid="{00000000-0002-0000-1700-000000000000}">
      <formula1>住宅朝向</formula1>
    </dataValidation>
    <dataValidation type="list" allowBlank="1" showInputMessage="1" showErrorMessage="1" sqref="E30 C30 I30 G30" xr:uid="{00000000-0002-0000-1700-000001000000}">
      <formula1>公共配套设施</formula1>
    </dataValidation>
    <dataValidation type="list" allowBlank="1" showInputMessage="1" showErrorMessage="1" sqref="E24 C24 G24 I24" xr:uid="{00000000-0002-0000-1700-000002000000}">
      <formula1>交通便捷度</formula1>
    </dataValidation>
    <dataValidation type="list" allowBlank="1" showInputMessage="1" showErrorMessage="1" sqref="E18 G18 I18 C18" xr:uid="{00000000-0002-0000-1700-000003000000}">
      <formula1>居住社区成熟度</formula1>
    </dataValidation>
    <dataValidation type="list" allowBlank="1" showInputMessage="1" showErrorMessage="1" sqref="C28 E28 G28 I28" xr:uid="{00000000-0002-0000-1700-000004000000}">
      <formula1>环境</formula1>
    </dataValidation>
    <dataValidation type="list" allowBlank="1" showInputMessage="1" showErrorMessage="1" sqref="B48" xr:uid="{00000000-0002-0000-1700-000005000000}">
      <formula1>单价内涵</formula1>
    </dataValidation>
    <dataValidation type="list" allowBlank="1" showInputMessage="1" showErrorMessage="1" sqref="C10 E10 G10 I10" xr:uid="{00000000-0002-0000-1700-000006000000}">
      <formula1>套综交易情况</formula1>
    </dataValidation>
    <dataValidation type="list" allowBlank="1" showInputMessage="1" showErrorMessage="1" sqref="C11 E11 G11 I11" xr:uid="{00000000-0002-0000-1700-000007000000}">
      <formula1>套综用途</formula1>
    </dataValidation>
    <dataValidation type="list" allowBlank="1" showInputMessage="1" showErrorMessage="1" sqref="E20 C20 G20 I20" xr:uid="{00000000-0002-0000-1700-000008000000}">
      <formula1>商业繁华度</formula1>
    </dataValidation>
    <dataValidation type="list" allowBlank="1" showInputMessage="1" showErrorMessage="1" sqref="E22 C22 G22 I22" xr:uid="{00000000-0002-0000-1700-000009000000}">
      <formula1>办公集聚程度</formula1>
    </dataValidation>
    <dataValidation type="list" allowBlank="1" showInputMessage="1" showErrorMessage="1" sqref="C35 E35 G35 I35" xr:uid="{00000000-0002-0000-1700-00000A000000}">
      <formula1>套综道路等级</formula1>
    </dataValidation>
    <dataValidation type="list" allowBlank="1" showInputMessage="1" showErrorMessage="1" sqref="C36 E36 G36 I36" xr:uid="{00000000-0002-0000-1700-00000B000000}">
      <formula1>套综土地级别</formula1>
    </dataValidation>
    <dataValidation type="list" allowBlank="1" showInputMessage="1" showErrorMessage="1" sqref="C41 E41 G41 I41" xr:uid="{00000000-0002-0000-1700-00000C000000}">
      <formula1>套综宗地形状</formula1>
    </dataValidation>
    <dataValidation type="list" allowBlank="1" showInputMessage="1" showErrorMessage="1" sqref="C42 E42 G42 I42" xr:uid="{00000000-0002-0000-1700-00000D000000}">
      <formula1>套综临街宽度及深度</formula1>
    </dataValidation>
    <dataValidation type="list" allowBlank="1" showInputMessage="1" showErrorMessage="1" sqref="C43 E43 G43 I43" xr:uid="{00000000-0002-0000-1700-00000E000000}">
      <formula1>套综宗地内开发程度</formula1>
    </dataValidation>
    <dataValidation type="list" allowBlank="1" showInputMessage="1" showErrorMessage="1" sqref="C44 E44 G44 I44" xr:uid="{00000000-0002-0000-1700-00000F000000}">
      <formula1>套综工程地质条件</formula1>
    </dataValidation>
    <dataValidation type="list" allowBlank="1" showInputMessage="1" showErrorMessage="1" sqref="C33 E33 G33 I33" xr:uid="{00000000-0002-0000-1700-000010000000}">
      <formula1>临街状况</formula1>
    </dataValidation>
    <dataValidation type="list" allowBlank="1" showInputMessage="1" showErrorMessage="1" sqref="E26 G26 I26 C26" xr:uid="{00000000-0002-0000-1700-000011000000}">
      <formula1>区域土地利用方向</formula1>
    </dataValidation>
    <dataValidation type="list" allowBlank="1" showInputMessage="1" showErrorMessage="1" sqref="C57" xr:uid="{00000000-0002-0000-1700-000012000000}">
      <formula1>"北京市系数,其他省市系数"</formula1>
    </dataValidation>
    <dataValidation type="list" allowBlank="1" showInputMessage="1" showErrorMessage="1" sqref="G64" xr:uid="{00000000-0002-0000-1700-000013000000}">
      <formula1>"住宅,工业"</formula1>
    </dataValidation>
    <dataValidation type="list" allowBlank="1" showInputMessage="1" showErrorMessage="1" sqref="G63" xr:uid="{00000000-0002-0000-1700-000014000000}">
      <formula1>"商业,办公,住宅,工业"</formula1>
    </dataValidation>
    <dataValidation type="list" allowBlank="1" showInputMessage="1" showErrorMessage="1" sqref="C32 E32 G32 I32" xr:uid="{00000000-0002-0000-1700-000015000000}">
      <formula1>基础设施水平</formula1>
    </dataValidation>
    <dataValidation type="list" allowBlank="1" showInputMessage="1" showErrorMessage="1" sqref="A72" xr:uid="{00000000-0002-0000-1700-000016000000}">
      <formula1>"综合,商业,办公,住宅"</formula1>
    </dataValidation>
    <dataValidation type="list" allowBlank="1" showInputMessage="1" showErrorMessage="1" sqref="D49" xr:uid="{00000000-0002-0000-1700-000017000000}">
      <formula1>"简单平均,加权平均"</formula1>
    </dataValidation>
    <dataValidation type="list" allowBlank="1" showInputMessage="1" showErrorMessage="1" sqref="D59:D66" xr:uid="{00000000-0002-0000-17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rgb="FF92D050"/>
    <pageSetUpPr fitToPage="1"/>
  </sheetPr>
  <dimension ref="A1:AO211"/>
  <sheetViews>
    <sheetView view="pageBreakPreview" zoomScale="90" zoomScaleNormal="80" zoomScaleSheetLayoutView="90" workbookViewId="0">
      <selection activeCell="C14" sqref="C14"/>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t="s">
        <v>2643</v>
      </c>
      <c r="C1" s="1630"/>
      <c r="D1" s="1630"/>
      <c r="E1" s="1630"/>
      <c r="F1" s="1630"/>
      <c r="G1" s="1630"/>
      <c r="H1" s="1630"/>
      <c r="I1" s="1630"/>
      <c r="J1" s="1630"/>
      <c r="K1" s="308">
        <f>MATCH(B1,'数据-取费表'!A6:A16,0)+5</f>
        <v>6</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6"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6">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t="s">
        <v>2643</v>
      </c>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1"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1" t="s">
        <v>1300</v>
      </c>
      <c r="B9" s="324" t="s">
        <v>433</v>
      </c>
      <c r="C9" s="327">
        <f>SUMIF('数据-汇总表'!$C19:$C33,'剩余法-现房'!C7,'数据-汇总表'!$E19:$E33)</f>
        <v>29082.55</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2" t="s">
        <v>1301</v>
      </c>
      <c r="B10" s="1277" t="s">
        <v>434</v>
      </c>
      <c r="C10" s="1278"/>
      <c r="D10" s="1278"/>
      <c r="E10" s="1278"/>
      <c r="F10" s="1279"/>
      <c r="G10" s="1279"/>
      <c r="H10" s="1279"/>
      <c r="I10" s="1279"/>
      <c r="J10" s="1279"/>
      <c r="K10" s="1280"/>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3" t="s">
        <v>1318</v>
      </c>
      <c r="B11" s="1274"/>
      <c r="C11" s="1274"/>
      <c r="D11" s="1274"/>
      <c r="E11" s="1274"/>
      <c r="F11" s="1274"/>
      <c r="G11" s="1274"/>
      <c r="H11" s="1274"/>
      <c r="I11" s="1274"/>
      <c r="J11" s="1274"/>
      <c r="K11" s="1275"/>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3" t="s">
        <v>1302</v>
      </c>
      <c r="B13" s="334" t="s">
        <v>439</v>
      </c>
      <c r="C13" s="335">
        <f ca="1">IF(B1="",'数据-取费表'!M16,INDIRECT("'数据-取费表'!M"&amp;$K$1)+INDIRECT("'数据-取费表'!t"&amp;$K$1))</f>
        <v>13087.147499999999</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3" t="s">
        <v>1303</v>
      </c>
      <c r="B14" s="334" t="s">
        <v>440</v>
      </c>
      <c r="C14" s="50">
        <f ca="1">ROUND(C13*F14,0)</f>
        <v>654</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3"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3" t="s">
        <v>1305</v>
      </c>
      <c r="B16" s="334" t="s">
        <v>444</v>
      </c>
      <c r="C16" s="50">
        <f ca="1">ROUND(D16*E16/10000,0)</f>
        <v>582</v>
      </c>
      <c r="D16" s="336">
        <f ca="1">IF(B1="",'数据-汇总表'!E3,INDIRECT("'数据-取费表'!K"&amp;$K$1)+INDIRECT("'数据-取费表'!S"&amp;$K$1))</f>
        <v>29082.55</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3" t="s">
        <v>1306</v>
      </c>
      <c r="B17" s="334" t="s">
        <v>445</v>
      </c>
      <c r="C17" s="339">
        <f ca="1">ROUND(C13*F17,0)</f>
        <v>196</v>
      </c>
      <c r="D17" s="340"/>
      <c r="E17" s="339"/>
      <c r="F17" s="341">
        <f>'数据-取费表'!B36</f>
        <v>1.4999999999999999E-2</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4" t="s">
        <v>1307</v>
      </c>
      <c r="B18" s="344" t="s">
        <v>447</v>
      </c>
      <c r="C18" s="345">
        <f ca="1">SUM(C13:C17)</f>
        <v>14519.147499999999</v>
      </c>
      <c r="D18" s="346"/>
      <c r="E18" s="347"/>
      <c r="F18" s="347"/>
      <c r="G18" s="1058"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4" t="s">
        <v>1308</v>
      </c>
      <c r="B19" s="344" t="s">
        <v>453</v>
      </c>
      <c r="C19" s="345">
        <f ca="1">ROUND(C18*F19,0)</f>
        <v>290</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4" t="s">
        <v>1309</v>
      </c>
      <c r="B20" s="346" t="s">
        <v>454</v>
      </c>
      <c r="C20" s="349">
        <f ca="1">ROUND(IF('数据-取费表'!B22&lt;=1,(C18+C19)*F20*'数据-取费表'!B20/2,(C18+C19)*(POWER((1+F20),'数据-取费表'!B20/2)-1)),0)</f>
        <v>525</v>
      </c>
      <c r="D20" s="347">
        <f ca="1">ROUND(((1+F20)^'数据-取费表'!B20)-1,4)</f>
        <v>7.2099999999999997E-2</v>
      </c>
      <c r="E20" s="347"/>
      <c r="F20" s="350">
        <f ca="1">'数据-取费表'!B40</f>
        <v>4.7500000000000001E-2</v>
      </c>
      <c r="G20" s="1058" t="str">
        <f>IF('数据-取费表'!B22&lt;=1,"单利计息。","复利计息。")&amp;"建造成本、管理费用产生的利息 / 地价及税费产生的利息。"</f>
        <v>复利计息。建造成本、管理费用产生的利息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4" t="s">
        <v>2203</v>
      </c>
      <c r="B21" s="2209" t="s">
        <v>2015</v>
      </c>
      <c r="C21" s="353">
        <f ca="1">ROUND((C18+C19)*F21,0)</f>
        <v>1481</v>
      </c>
      <c r="D21" s="2696"/>
      <c r="E21" s="347"/>
      <c r="F21" s="354">
        <f ca="1">IF(B1="",'数据-取费表'!Q16,INDIRECT("'数据-取费表'!q"&amp;$K$1))</f>
        <v>0.1</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4"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234" t="s">
        <v>1319</v>
      </c>
      <c r="B24" s="4235"/>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234" t="s">
        <v>2201</v>
      </c>
      <c r="B25" s="4235"/>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234" t="s">
        <v>2202</v>
      </c>
      <c r="B26" s="4235"/>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236" t="s">
        <v>2200</v>
      </c>
      <c r="B27" s="4237"/>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800-000000000000}">
      <formula1>项目类型</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c r="A3" s="1087"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60"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201" t="s">
        <v>471</v>
      </c>
      <c r="D6" s="4202"/>
      <c r="E6" s="4240" t="s">
        <v>472</v>
      </c>
      <c r="F6" s="4241"/>
      <c r="G6" s="4201" t="s">
        <v>473</v>
      </c>
      <c r="H6" s="4202"/>
      <c r="I6" s="4201" t="s">
        <v>474</v>
      </c>
      <c r="J6" s="4202"/>
      <c r="K6" s="372" t="s">
        <v>475</v>
      </c>
      <c r="L6" s="1653"/>
      <c r="M6" s="1654"/>
      <c r="N6" s="1654"/>
      <c r="O6" s="1654"/>
      <c r="P6" s="4203" t="s">
        <v>476</v>
      </c>
      <c r="Q6" s="4204"/>
      <c r="R6" s="4209" t="s">
        <v>472</v>
      </c>
      <c r="S6" s="4210"/>
      <c r="T6" s="4209" t="s">
        <v>473</v>
      </c>
      <c r="U6" s="4210"/>
      <c r="V6" s="4196" t="s">
        <v>474</v>
      </c>
      <c r="W6" s="4196"/>
      <c r="X6" s="1228"/>
      <c r="Y6" s="4209" t="s">
        <v>476</v>
      </c>
      <c r="Z6" s="4210"/>
      <c r="AA6" s="4198" t="s">
        <v>472</v>
      </c>
      <c r="AB6" s="4199" t="s">
        <v>473</v>
      </c>
      <c r="AC6" s="4198" t="s">
        <v>474</v>
      </c>
    </row>
    <row r="7" spans="1:29" ht="15">
      <c r="A7" s="373"/>
      <c r="B7" s="374"/>
      <c r="C7" s="4217" t="s">
        <v>2100</v>
      </c>
      <c r="D7" s="4218"/>
      <c r="E7" s="4242" t="s">
        <v>2101</v>
      </c>
      <c r="F7" s="4243"/>
      <c r="G7" s="4217" t="s">
        <v>2102</v>
      </c>
      <c r="H7" s="4218"/>
      <c r="I7" s="4217" t="s">
        <v>2103</v>
      </c>
      <c r="J7" s="4218"/>
      <c r="K7" s="372"/>
      <c r="L7" s="1653"/>
      <c r="M7" s="1654"/>
      <c r="N7" s="1654"/>
      <c r="O7" s="1654"/>
      <c r="P7" s="4205"/>
      <c r="Q7" s="4206"/>
      <c r="R7" s="4211"/>
      <c r="S7" s="4212"/>
      <c r="T7" s="4211"/>
      <c r="U7" s="4212"/>
      <c r="V7" s="4196"/>
      <c r="W7" s="4196"/>
      <c r="X7" s="1228"/>
      <c r="Y7" s="4211"/>
      <c r="Z7" s="4212"/>
      <c r="AA7" s="4199"/>
      <c r="AB7" s="4199"/>
      <c r="AC7" s="4199"/>
    </row>
    <row r="8" spans="1:29" ht="15.75" thickBot="1">
      <c r="A8" s="375"/>
      <c r="B8" s="376"/>
      <c r="C8" s="4215" t="s">
        <v>2104</v>
      </c>
      <c r="D8" s="4216"/>
      <c r="E8" s="4238" t="s">
        <v>2104</v>
      </c>
      <c r="F8" s="4239"/>
      <c r="G8" s="4215" t="s">
        <v>2104</v>
      </c>
      <c r="H8" s="4216"/>
      <c r="I8" s="4215" t="s">
        <v>2104</v>
      </c>
      <c r="J8" s="4216"/>
      <c r="K8" s="372" t="s">
        <v>477</v>
      </c>
      <c r="L8" s="1653"/>
      <c r="M8" s="1654"/>
      <c r="N8" s="1654"/>
      <c r="O8" s="1654"/>
      <c r="P8" s="4207"/>
      <c r="Q8" s="4208"/>
      <c r="R8" s="4211"/>
      <c r="S8" s="4212"/>
      <c r="T8" s="4213"/>
      <c r="U8" s="4214"/>
      <c r="V8" s="4196"/>
      <c r="W8" s="4196"/>
      <c r="X8" s="1228"/>
      <c r="Y8" s="4213"/>
      <c r="Z8" s="4214"/>
      <c r="AA8" s="4200"/>
      <c r="AB8" s="4200"/>
      <c r="AC8" s="4200"/>
    </row>
    <row r="9" spans="1:29" s="981" customFormat="1" ht="15.75" thickBot="1">
      <c r="A9" s="2103"/>
      <c r="B9" s="2110" t="s">
        <v>478</v>
      </c>
      <c r="C9" s="377">
        <f>'数据-取费表'!B2</f>
        <v>45076</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225" t="s">
        <v>479</v>
      </c>
      <c r="Q9" s="4227"/>
      <c r="R9" s="1229" t="s">
        <v>5</v>
      </c>
      <c r="S9" s="1230">
        <f t="shared" ref="S9:S17" si="0">F9</f>
        <v>0</v>
      </c>
      <c r="T9" s="1229" t="s">
        <v>5</v>
      </c>
      <c r="U9" s="1230">
        <f t="shared" ref="U9:U17" si="1">H9</f>
        <v>0</v>
      </c>
      <c r="V9" s="1229" t="s">
        <v>5</v>
      </c>
      <c r="W9" s="1230">
        <f t="shared" ref="W9:W17" si="2">J9</f>
        <v>0</v>
      </c>
      <c r="X9" s="1231"/>
      <c r="Y9" s="4225" t="s">
        <v>479</v>
      </c>
      <c r="Z9" s="4226"/>
      <c r="AA9" s="1232" t="e">
        <f>D9/F9</f>
        <v>#DIV/0!</v>
      </c>
      <c r="AB9" s="1232" t="e">
        <f>D9/H9</f>
        <v>#DIV/0!</v>
      </c>
      <c r="AC9" s="1232" t="e">
        <f>D9/J9</f>
        <v>#DIV/0!</v>
      </c>
    </row>
    <row r="10" spans="1:29" s="981"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225" t="s">
        <v>482</v>
      </c>
      <c r="Q10" s="4226"/>
      <c r="R10" s="1229" t="s">
        <v>5</v>
      </c>
      <c r="S10" s="1230">
        <f t="shared" si="0"/>
        <v>0</v>
      </c>
      <c r="T10" s="1229" t="s">
        <v>5</v>
      </c>
      <c r="U10" s="1230">
        <f t="shared" si="1"/>
        <v>0</v>
      </c>
      <c r="V10" s="1229" t="s">
        <v>5</v>
      </c>
      <c r="W10" s="1230">
        <f t="shared" si="2"/>
        <v>0</v>
      </c>
      <c r="X10" s="1231"/>
      <c r="Y10" s="4225" t="s">
        <v>482</v>
      </c>
      <c r="Z10" s="4226"/>
      <c r="AA10" s="1232" t="e">
        <f t="shared" ref="AA10:AA42" si="3">D10/F10</f>
        <v>#DIV/0!</v>
      </c>
      <c r="AB10" s="1232" t="e">
        <f t="shared" ref="AB10:AB42" si="4">D10/H10</f>
        <v>#DIV/0!</v>
      </c>
      <c r="AC10" s="1232" t="e">
        <f t="shared" ref="AC10:AC42" si="5">D10/J10</f>
        <v>#DIV/0!</v>
      </c>
    </row>
    <row r="11" spans="1:29" s="981"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195" t="s">
        <v>484</v>
      </c>
      <c r="Q11" s="929" t="str">
        <f t="shared" ref="Q11:Q17" si="6">B11</f>
        <v>用途</v>
      </c>
      <c r="R11" s="1229" t="s">
        <v>5</v>
      </c>
      <c r="S11" s="1230">
        <f t="shared" si="0"/>
        <v>100</v>
      </c>
      <c r="T11" s="1229" t="s">
        <v>5</v>
      </c>
      <c r="U11" s="1230">
        <f t="shared" si="1"/>
        <v>100</v>
      </c>
      <c r="V11" s="1229" t="s">
        <v>5</v>
      </c>
      <c r="W11" s="1230">
        <f t="shared" si="2"/>
        <v>100</v>
      </c>
      <c r="X11" s="1231"/>
      <c r="Y11" s="4076" t="s">
        <v>485</v>
      </c>
      <c r="Z11" s="928" t="str">
        <f t="shared" ref="Z11:Z17" si="7">Q11</f>
        <v>用途</v>
      </c>
      <c r="AA11" s="1232">
        <f t="shared" si="3"/>
        <v>1</v>
      </c>
      <c r="AB11" s="1232">
        <f t="shared" si="4"/>
        <v>1</v>
      </c>
      <c r="AC11" s="1232">
        <f t="shared" si="5"/>
        <v>1</v>
      </c>
    </row>
    <row r="12" spans="1:29" s="1062"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195"/>
      <c r="Q12" s="929" t="str">
        <f t="shared" si="6"/>
        <v>土地使用年限（年）</v>
      </c>
      <c r="R12" s="1229" t="s">
        <v>5</v>
      </c>
      <c r="S12" s="1230" t="e">
        <f t="shared" si="0"/>
        <v>#DIV/0!</v>
      </c>
      <c r="T12" s="1229" t="s">
        <v>5</v>
      </c>
      <c r="U12" s="1230" t="e">
        <f t="shared" si="1"/>
        <v>#DIV/0!</v>
      </c>
      <c r="V12" s="1229" t="s">
        <v>5</v>
      </c>
      <c r="W12" s="1230" t="e">
        <f t="shared" si="2"/>
        <v>#DIV/0!</v>
      </c>
      <c r="X12" s="1231"/>
      <c r="Y12" s="4076"/>
      <c r="Z12" s="928" t="str">
        <f t="shared" si="7"/>
        <v>土地使用年限（年）</v>
      </c>
      <c r="AA12" s="1232" t="e">
        <f t="shared" si="3"/>
        <v>#DIV/0!</v>
      </c>
      <c r="AB12" s="1232" t="e">
        <f t="shared" si="4"/>
        <v>#DIV/0!</v>
      </c>
      <c r="AC12" s="1232"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195"/>
      <c r="Q13" s="929" t="str">
        <f t="shared" si="6"/>
        <v>容积率</v>
      </c>
      <c r="R13" s="1229" t="s">
        <v>5</v>
      </c>
      <c r="S13" s="1230" t="e">
        <f t="shared" si="0"/>
        <v>#N/A</v>
      </c>
      <c r="T13" s="1229" t="s">
        <v>5</v>
      </c>
      <c r="U13" s="1230" t="e">
        <f t="shared" si="1"/>
        <v>#N/A</v>
      </c>
      <c r="V13" s="1229" t="s">
        <v>5</v>
      </c>
      <c r="W13" s="1230" t="e">
        <f t="shared" si="2"/>
        <v>#N/A</v>
      </c>
      <c r="X13" s="1231"/>
      <c r="Y13" s="4076"/>
      <c r="Z13" s="928" t="str">
        <f t="shared" si="7"/>
        <v>容积率</v>
      </c>
      <c r="AA13" s="1232" t="e">
        <f t="shared" si="3"/>
        <v>#N/A</v>
      </c>
      <c r="AB13" s="1232" t="e">
        <f t="shared" si="4"/>
        <v>#N/A</v>
      </c>
      <c r="AC13" s="1232" t="e">
        <f t="shared" si="5"/>
        <v>#N/A</v>
      </c>
    </row>
    <row r="14" spans="1:29" s="981"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D14/F14</f>
        <v>1</v>
      </c>
      <c r="AB14" s="1232">
        <f>D14/H14</f>
        <v>1</v>
      </c>
      <c r="AC14" s="1232">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195"/>
      <c r="Q15" s="929">
        <f t="shared" si="6"/>
        <v>111</v>
      </c>
      <c r="R15" s="1229" t="s">
        <v>5</v>
      </c>
      <c r="S15" s="1230">
        <f t="shared" si="0"/>
        <v>100</v>
      </c>
      <c r="T15" s="1229" t="s">
        <v>5</v>
      </c>
      <c r="U15" s="1230">
        <f t="shared" si="1"/>
        <v>100</v>
      </c>
      <c r="V15" s="1229" t="s">
        <v>5</v>
      </c>
      <c r="W15" s="1230">
        <f t="shared" si="2"/>
        <v>100</v>
      </c>
      <c r="X15" s="1231"/>
      <c r="Y15" s="4076"/>
      <c r="Z15" s="928">
        <f t="shared" si="7"/>
        <v>111</v>
      </c>
      <c r="AA15" s="1232">
        <f t="shared" si="3"/>
        <v>1</v>
      </c>
      <c r="AB15" s="1232">
        <f t="shared" si="4"/>
        <v>1</v>
      </c>
      <c r="AC15" s="1232">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195"/>
      <c r="Q16" s="929">
        <f t="shared" si="6"/>
        <v>111</v>
      </c>
      <c r="R16" s="1229" t="s">
        <v>5</v>
      </c>
      <c r="S16" s="1230">
        <f t="shared" si="0"/>
        <v>100</v>
      </c>
      <c r="T16" s="1229" t="s">
        <v>5</v>
      </c>
      <c r="U16" s="1230">
        <f t="shared" si="1"/>
        <v>100</v>
      </c>
      <c r="V16" s="1229" t="s">
        <v>5</v>
      </c>
      <c r="W16" s="1230">
        <f t="shared" si="2"/>
        <v>100</v>
      </c>
      <c r="X16" s="1231"/>
      <c r="Y16" s="4076"/>
      <c r="Z16" s="928">
        <f t="shared" si="7"/>
        <v>111</v>
      </c>
      <c r="AA16" s="1232">
        <f t="shared" si="3"/>
        <v>1</v>
      </c>
      <c r="AB16" s="1232">
        <f t="shared" si="4"/>
        <v>1</v>
      </c>
      <c r="AC16" s="1232">
        <f t="shared" si="5"/>
        <v>1</v>
      </c>
    </row>
    <row r="17" spans="1:29" ht="57">
      <c r="A17" s="2101" t="s">
        <v>1945</v>
      </c>
      <c r="B17" s="138" t="s">
        <v>546</v>
      </c>
      <c r="C17" s="765"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228" t="s">
        <v>489</v>
      </c>
      <c r="Q17" s="1233" t="str">
        <f t="shared" si="6"/>
        <v>产业集聚程度</v>
      </c>
      <c r="R17" s="1234" t="s">
        <v>5</v>
      </c>
      <c r="S17" s="1235">
        <f t="shared" si="0"/>
        <v>100</v>
      </c>
      <c r="T17" s="1234" t="s">
        <v>5</v>
      </c>
      <c r="U17" s="1235">
        <f t="shared" si="1"/>
        <v>100</v>
      </c>
      <c r="V17" s="1234" t="s">
        <v>5</v>
      </c>
      <c r="W17" s="1235">
        <f t="shared" si="2"/>
        <v>100</v>
      </c>
      <c r="X17" s="1228"/>
      <c r="Y17" s="4228" t="s">
        <v>489</v>
      </c>
      <c r="Z17" s="1236" t="str">
        <f t="shared" si="7"/>
        <v>产业集聚程度</v>
      </c>
      <c r="AA17" s="1237">
        <f t="shared" si="3"/>
        <v>1</v>
      </c>
      <c r="AB17" s="1237">
        <f t="shared" si="4"/>
        <v>1</v>
      </c>
      <c r="AC17" s="1237">
        <f t="shared" si="5"/>
        <v>1</v>
      </c>
    </row>
    <row r="18" spans="1:29" ht="15">
      <c r="A18" s="390"/>
      <c r="B18" s="713"/>
      <c r="C18" s="434"/>
      <c r="D18" s="413"/>
      <c r="E18" s="412"/>
      <c r="F18" s="413"/>
      <c r="G18" s="412"/>
      <c r="H18" s="417"/>
      <c r="I18" s="412"/>
      <c r="J18" s="413"/>
      <c r="K18" s="389"/>
      <c r="L18" s="1662"/>
      <c r="M18" s="1654"/>
      <c r="N18" s="1654"/>
      <c r="O18" s="1661"/>
      <c r="P18" s="4229"/>
      <c r="Q18" s="1233"/>
      <c r="R18" s="1234"/>
      <c r="S18" s="1235"/>
      <c r="T18" s="1234"/>
      <c r="U18" s="1235"/>
      <c r="V18" s="1234"/>
      <c r="W18" s="1235"/>
      <c r="X18" s="1228"/>
      <c r="Y18" s="4229"/>
      <c r="Z18" s="1236"/>
      <c r="AA18" s="1237">
        <v>1</v>
      </c>
      <c r="AB18" s="1237">
        <v>1</v>
      </c>
      <c r="AC18" s="1237">
        <v>1</v>
      </c>
    </row>
    <row r="19" spans="1:29" ht="85.5">
      <c r="A19" s="390"/>
      <c r="B19" s="715" t="s">
        <v>492</v>
      </c>
      <c r="C19" s="716"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229"/>
      <c r="Q19" s="1233" t="str">
        <f>B19</f>
        <v>交通便捷度</v>
      </c>
      <c r="R19" s="1234" t="s">
        <v>5</v>
      </c>
      <c r="S19" s="1235">
        <f>F19</f>
        <v>100</v>
      </c>
      <c r="T19" s="1234" t="s">
        <v>5</v>
      </c>
      <c r="U19" s="1235">
        <f>H19</f>
        <v>100</v>
      </c>
      <c r="V19" s="1234" t="s">
        <v>5</v>
      </c>
      <c r="W19" s="1235">
        <f>J19</f>
        <v>100</v>
      </c>
      <c r="X19" s="1228"/>
      <c r="Y19" s="4229"/>
      <c r="Z19" s="1236" t="str">
        <f>Q19</f>
        <v>交通便捷度</v>
      </c>
      <c r="AA19" s="1237">
        <f t="shared" si="3"/>
        <v>1</v>
      </c>
      <c r="AB19" s="1237">
        <f t="shared" si="4"/>
        <v>1</v>
      </c>
      <c r="AC19" s="1237">
        <f t="shared" si="5"/>
        <v>1</v>
      </c>
    </row>
    <row r="20" spans="1:29" ht="15">
      <c r="A20" s="390"/>
      <c r="B20" s="766"/>
      <c r="C20" s="434"/>
      <c r="D20" s="413"/>
      <c r="E20" s="414"/>
      <c r="F20" s="413"/>
      <c r="G20" s="414"/>
      <c r="H20" s="413"/>
      <c r="I20" s="416"/>
      <c r="J20" s="413"/>
      <c r="K20" s="389"/>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7">
      <c r="A21" s="373"/>
      <c r="B21" s="715" t="s">
        <v>493</v>
      </c>
      <c r="C21" s="716">
        <f>估价对象房地状况!G17</f>
        <v>0</v>
      </c>
      <c r="D21" s="417">
        <v>100</v>
      </c>
      <c r="E21" s="420"/>
      <c r="F21" s="421">
        <f>SUMIF(88:88,E22,89:89)-SUMIF(88:88,C22,89:89)+100</f>
        <v>100</v>
      </c>
      <c r="G21" s="422"/>
      <c r="H21" s="421">
        <f>SUMIF(88:88,G22,89:89)-SUMIF(88:88,C22,89:89)+100</f>
        <v>100</v>
      </c>
      <c r="I21" s="422"/>
      <c r="J21" s="421">
        <f>SUMIF(88:88,I22,89:89)-SUMIF(88:88,C22,89:89)+100</f>
        <v>100</v>
      </c>
      <c r="K21" s="848"/>
      <c r="L21" s="1662"/>
      <c r="M21" s="1654"/>
      <c r="N21" s="1654"/>
      <c r="O21" s="1661"/>
      <c r="P21" s="4229"/>
      <c r="Q21" s="1233" t="str">
        <f t="shared" ref="Q21:Q35" si="8">B21</f>
        <v>区域土地利用方向</v>
      </c>
      <c r="R21" s="1234" t="s">
        <v>5</v>
      </c>
      <c r="S21" s="1235">
        <f>F21</f>
        <v>100</v>
      </c>
      <c r="T21" s="1234" t="s">
        <v>5</v>
      </c>
      <c r="U21" s="1235">
        <f>H21</f>
        <v>100</v>
      </c>
      <c r="V21" s="1234" t="s">
        <v>5</v>
      </c>
      <c r="W21" s="1235">
        <f>J21</f>
        <v>100</v>
      </c>
      <c r="X21" s="1228"/>
      <c r="Y21" s="4229"/>
      <c r="Z21" s="1236" t="str">
        <f>Q21</f>
        <v>区域土地利用方向</v>
      </c>
      <c r="AA21" s="1237">
        <f t="shared" si="3"/>
        <v>1</v>
      </c>
      <c r="AB21" s="1237">
        <f t="shared" si="4"/>
        <v>1</v>
      </c>
      <c r="AC21" s="1237">
        <f t="shared" si="5"/>
        <v>1</v>
      </c>
    </row>
    <row r="22" spans="1:29" ht="15">
      <c r="A22" s="373"/>
      <c r="B22" s="453"/>
      <c r="C22" s="434"/>
      <c r="D22" s="413"/>
      <c r="E22" s="414"/>
      <c r="F22" s="415"/>
      <c r="G22" s="416"/>
      <c r="H22" s="415"/>
      <c r="I22" s="416"/>
      <c r="J22" s="415"/>
      <c r="K22" s="1071"/>
      <c r="L22" s="1662"/>
      <c r="M22" s="1654"/>
      <c r="N22" s="1654"/>
      <c r="O22" s="1661"/>
      <c r="P22" s="4229"/>
      <c r="Q22" s="1233"/>
      <c r="R22" s="1234"/>
      <c r="S22" s="1235"/>
      <c r="T22" s="1234"/>
      <c r="U22" s="1235"/>
      <c r="V22" s="1234"/>
      <c r="W22" s="1235"/>
      <c r="X22" s="1228"/>
      <c r="Y22" s="4229"/>
      <c r="Z22" s="1236"/>
      <c r="AA22" s="1237"/>
      <c r="AB22" s="1237"/>
      <c r="AC22" s="1237"/>
    </row>
    <row r="23" spans="1:29" ht="71.25">
      <c r="A23" s="373"/>
      <c r="B23" s="766" t="s">
        <v>547</v>
      </c>
      <c r="C23" s="716"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229"/>
      <c r="Q23" s="1233" t="str">
        <f t="shared" si="8"/>
        <v>环境状况</v>
      </c>
      <c r="R23" s="1234" t="s">
        <v>5</v>
      </c>
      <c r="S23" s="1235">
        <f>F23</f>
        <v>100</v>
      </c>
      <c r="T23" s="1234" t="s">
        <v>5</v>
      </c>
      <c r="U23" s="1235">
        <f>H23</f>
        <v>100</v>
      </c>
      <c r="V23" s="1234" t="s">
        <v>5</v>
      </c>
      <c r="W23" s="1235">
        <f>J23</f>
        <v>100</v>
      </c>
      <c r="X23" s="1228"/>
      <c r="Y23" s="4229"/>
      <c r="Z23" s="1236" t="str">
        <f>Q23</f>
        <v>环境状况</v>
      </c>
      <c r="AA23" s="1237">
        <f t="shared" si="3"/>
        <v>1</v>
      </c>
      <c r="AB23" s="1237">
        <f t="shared" si="4"/>
        <v>1</v>
      </c>
      <c r="AC23" s="1237">
        <f t="shared" si="5"/>
        <v>1</v>
      </c>
    </row>
    <row r="24" spans="1:29" ht="15">
      <c r="A24" s="373"/>
      <c r="B24" s="453"/>
      <c r="C24" s="434"/>
      <c r="D24" s="413"/>
      <c r="E24" s="412"/>
      <c r="F24" s="413"/>
      <c r="G24" s="412"/>
      <c r="H24" s="413"/>
      <c r="I24" s="434"/>
      <c r="J24" s="413"/>
      <c r="K24" s="389"/>
      <c r="L24" s="1662"/>
      <c r="M24" s="1654"/>
      <c r="N24" s="1654"/>
      <c r="O24" s="1661"/>
      <c r="P24" s="4229"/>
      <c r="Q24" s="1233"/>
      <c r="R24" s="1234"/>
      <c r="S24" s="1235"/>
      <c r="T24" s="1234"/>
      <c r="U24" s="1235"/>
      <c r="V24" s="1234"/>
      <c r="W24" s="1235"/>
      <c r="X24" s="1228"/>
      <c r="Y24" s="4229"/>
      <c r="Z24" s="1236"/>
      <c r="AA24" s="1237">
        <v>1</v>
      </c>
      <c r="AB24" s="1237">
        <v>1</v>
      </c>
      <c r="AC24" s="1237">
        <v>1</v>
      </c>
    </row>
    <row r="25" spans="1:29" s="981" customFormat="1" ht="42.75">
      <c r="A25" s="435"/>
      <c r="B25" s="1966" t="s">
        <v>1740</v>
      </c>
      <c r="C25" s="716"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229"/>
      <c r="Q25" s="929" t="str">
        <f t="shared" si="8"/>
        <v>公共配套设施</v>
      </c>
      <c r="R25" s="1229" t="s">
        <v>5</v>
      </c>
      <c r="S25" s="1230">
        <f>F25</f>
        <v>100</v>
      </c>
      <c r="T25" s="1229" t="s">
        <v>5</v>
      </c>
      <c r="U25" s="1230">
        <f>H25</f>
        <v>100</v>
      </c>
      <c r="V25" s="1229" t="s">
        <v>5</v>
      </c>
      <c r="W25" s="1230">
        <f>J25</f>
        <v>100</v>
      </c>
      <c r="X25" s="1231"/>
      <c r="Y25" s="4229"/>
      <c r="Z25" s="928" t="str">
        <f>Q25</f>
        <v>公共配套设施</v>
      </c>
      <c r="AA25" s="1237">
        <f>D25/F25</f>
        <v>1</v>
      </c>
      <c r="AB25" s="1237">
        <f>D25/H25</f>
        <v>1</v>
      </c>
      <c r="AC25" s="1237">
        <f>D25/J25</f>
        <v>1</v>
      </c>
    </row>
    <row r="26" spans="1:29" s="981" customFormat="1" ht="15">
      <c r="A26" s="435"/>
      <c r="B26" s="453"/>
      <c r="C26" s="1965"/>
      <c r="D26" s="413"/>
      <c r="E26" s="412"/>
      <c r="F26" s="413"/>
      <c r="G26" s="412"/>
      <c r="H26" s="413"/>
      <c r="I26" s="434"/>
      <c r="J26" s="413"/>
      <c r="K26" s="389"/>
      <c r="L26" s="1655"/>
      <c r="M26" s="1656"/>
      <c r="N26" s="1656"/>
      <c r="O26" s="1657"/>
      <c r="P26" s="4229"/>
      <c r="Q26" s="929"/>
      <c r="R26" s="1229"/>
      <c r="S26" s="1230"/>
      <c r="T26" s="1229"/>
      <c r="U26" s="1230"/>
      <c r="V26" s="1229"/>
      <c r="W26" s="1230"/>
      <c r="X26" s="1231"/>
      <c r="Y26" s="4229"/>
      <c r="Z26" s="928"/>
      <c r="AA26" s="1232">
        <v>1</v>
      </c>
      <c r="AB26" s="1232">
        <v>1</v>
      </c>
      <c r="AC26" s="1232">
        <v>1</v>
      </c>
    </row>
    <row r="27" spans="1:29" s="981" customFormat="1" ht="28.5">
      <c r="A27" s="435"/>
      <c r="B27" s="1966" t="s">
        <v>1741</v>
      </c>
      <c r="C27" s="716"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229"/>
      <c r="Q27" s="1957" t="str">
        <f>B27</f>
        <v>基础设施水平</v>
      </c>
      <c r="R27" s="1229" t="s">
        <v>5</v>
      </c>
      <c r="S27" s="1230">
        <f>F27</f>
        <v>100</v>
      </c>
      <c r="T27" s="1229" t="s">
        <v>5</v>
      </c>
      <c r="U27" s="1230">
        <f>H27</f>
        <v>100</v>
      </c>
      <c r="V27" s="1229" t="s">
        <v>5</v>
      </c>
      <c r="W27" s="1230">
        <f>J27</f>
        <v>100</v>
      </c>
      <c r="X27" s="1231"/>
      <c r="Y27" s="4229"/>
      <c r="Z27" s="1956" t="str">
        <f>Q27</f>
        <v>基础设施水平</v>
      </c>
      <c r="AA27" s="1237">
        <f>D27/F27</f>
        <v>1</v>
      </c>
      <c r="AB27" s="1237">
        <f>D27/H27</f>
        <v>1</v>
      </c>
      <c r="AC27" s="1237">
        <f>D27/J27</f>
        <v>1</v>
      </c>
    </row>
    <row r="28" spans="1:29" s="981" customFormat="1" ht="15">
      <c r="A28" s="435"/>
      <c r="B28" s="453"/>
      <c r="C28" s="1965"/>
      <c r="D28" s="413"/>
      <c r="E28" s="437"/>
      <c r="F28" s="413"/>
      <c r="G28" s="437"/>
      <c r="H28" s="413"/>
      <c r="I28" s="437"/>
      <c r="J28" s="413"/>
      <c r="K28" s="389"/>
      <c r="L28" s="1655"/>
      <c r="M28" s="1656"/>
      <c r="N28" s="1656"/>
      <c r="O28" s="1657"/>
      <c r="P28" s="4229"/>
      <c r="Q28" s="1957"/>
      <c r="R28" s="1229"/>
      <c r="S28" s="1230"/>
      <c r="T28" s="1229"/>
      <c r="U28" s="1230"/>
      <c r="V28" s="1229"/>
      <c r="W28" s="1230"/>
      <c r="X28" s="1231"/>
      <c r="Y28" s="4229"/>
      <c r="Z28" s="1956"/>
      <c r="AA28" s="1232">
        <v>1</v>
      </c>
      <c r="AB28" s="1232">
        <v>1</v>
      </c>
      <c r="AC28" s="1232">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229"/>
      <c r="Q29" s="1233" t="str">
        <f t="shared" si="8"/>
        <v>临街状况</v>
      </c>
      <c r="R29" s="1234" t="s">
        <v>5</v>
      </c>
      <c r="S29" s="1235">
        <f t="shared" ref="S29:S42" si="9">F29</f>
        <v>100</v>
      </c>
      <c r="T29" s="1234" t="s">
        <v>5</v>
      </c>
      <c r="U29" s="1235">
        <f t="shared" ref="U29:U42" si="10">H29</f>
        <v>100</v>
      </c>
      <c r="V29" s="1234" t="s">
        <v>5</v>
      </c>
      <c r="W29" s="1235">
        <f t="shared" ref="W29:W42" si="11">J29</f>
        <v>100</v>
      </c>
      <c r="X29" s="1228"/>
      <c r="Y29" s="4229"/>
      <c r="Z29" s="1236" t="str">
        <f t="shared" ref="Z29:Z42" si="12">Q29</f>
        <v>临街状况</v>
      </c>
      <c r="AA29" s="1237">
        <f t="shared" si="3"/>
        <v>1</v>
      </c>
      <c r="AB29" s="1237">
        <f t="shared" si="4"/>
        <v>1</v>
      </c>
      <c r="AC29" s="1237">
        <f t="shared" si="5"/>
        <v>1</v>
      </c>
    </row>
    <row r="30" spans="1:29" ht="27">
      <c r="A30" s="390"/>
      <c r="B30" s="766"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229"/>
      <c r="Q30" s="1233" t="str">
        <f t="shared" si="8"/>
        <v>毗邻道路的类型与等级</v>
      </c>
      <c r="R30" s="1234" t="s">
        <v>5</v>
      </c>
      <c r="S30" s="1235">
        <f t="shared" si="9"/>
        <v>100</v>
      </c>
      <c r="T30" s="1234" t="s">
        <v>5</v>
      </c>
      <c r="U30" s="1235">
        <f t="shared" si="10"/>
        <v>100</v>
      </c>
      <c r="V30" s="1234" t="s">
        <v>5</v>
      </c>
      <c r="W30" s="1235">
        <f t="shared" si="11"/>
        <v>100</v>
      </c>
      <c r="X30" s="1228"/>
      <c r="Y30" s="4229"/>
      <c r="Z30" s="1236" t="str">
        <f t="shared" si="12"/>
        <v>毗邻道路的类型与等级</v>
      </c>
      <c r="AA30" s="1237">
        <f t="shared" si="3"/>
        <v>1</v>
      </c>
      <c r="AB30" s="1237">
        <f t="shared" si="4"/>
        <v>1</v>
      </c>
      <c r="AC30" s="1237">
        <f t="shared" si="5"/>
        <v>1</v>
      </c>
    </row>
    <row r="31" spans="1:29" ht="15">
      <c r="A31" s="390"/>
      <c r="B31" s="453"/>
      <c r="C31" s="434"/>
      <c r="D31" s="413"/>
      <c r="E31" s="434"/>
      <c r="F31" s="413"/>
      <c r="G31" s="434"/>
      <c r="H31" s="413"/>
      <c r="I31" s="434"/>
      <c r="J31" s="413"/>
      <c r="K31" s="439"/>
      <c r="L31" s="1662"/>
      <c r="M31" s="1654"/>
      <c r="N31" s="1654"/>
      <c r="O31" s="1661"/>
      <c r="P31" s="4229"/>
      <c r="Q31" s="1233"/>
      <c r="R31" s="1234"/>
      <c r="S31" s="1235"/>
      <c r="T31" s="1234"/>
      <c r="U31" s="1235"/>
      <c r="V31" s="1234"/>
      <c r="W31" s="1235"/>
      <c r="X31" s="1228"/>
      <c r="Y31" s="4229"/>
      <c r="Z31" s="1236"/>
      <c r="AA31" s="1237">
        <v>1</v>
      </c>
      <c r="AB31" s="1237">
        <v>1</v>
      </c>
      <c r="AC31" s="1237">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229"/>
      <c r="Q32" s="1233" t="str">
        <f t="shared" si="8"/>
        <v>土地级别</v>
      </c>
      <c r="R32" s="1234" t="s">
        <v>5</v>
      </c>
      <c r="S32" s="1235">
        <f t="shared" si="9"/>
        <v>100</v>
      </c>
      <c r="T32" s="1234" t="s">
        <v>5</v>
      </c>
      <c r="U32" s="1235">
        <f t="shared" si="10"/>
        <v>100</v>
      </c>
      <c r="V32" s="1234" t="s">
        <v>5</v>
      </c>
      <c r="W32" s="1235">
        <f t="shared" si="11"/>
        <v>100</v>
      </c>
      <c r="X32" s="1228"/>
      <c r="Y32" s="4229"/>
      <c r="Z32" s="1236" t="str">
        <f t="shared" si="12"/>
        <v>土地级别</v>
      </c>
      <c r="AA32" s="1237">
        <f t="shared" si="3"/>
        <v>1</v>
      </c>
      <c r="AB32" s="1237">
        <f t="shared" si="4"/>
        <v>1</v>
      </c>
      <c r="AC32" s="1237">
        <f t="shared" si="5"/>
        <v>1</v>
      </c>
    </row>
    <row r="33" spans="1:29" ht="15">
      <c r="A33" s="373"/>
      <c r="B33" s="721">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229"/>
      <c r="Q33" s="1233">
        <f t="shared" si="8"/>
        <v>111</v>
      </c>
      <c r="R33" s="1234" t="s">
        <v>5</v>
      </c>
      <c r="S33" s="1235">
        <f t="shared" si="9"/>
        <v>100</v>
      </c>
      <c r="T33" s="1234" t="s">
        <v>5</v>
      </c>
      <c r="U33" s="1235">
        <f t="shared" si="10"/>
        <v>100</v>
      </c>
      <c r="V33" s="1234" t="s">
        <v>5</v>
      </c>
      <c r="W33" s="1235">
        <f t="shared" si="11"/>
        <v>100</v>
      </c>
      <c r="X33" s="1228"/>
      <c r="Y33" s="4229"/>
      <c r="Z33" s="1236">
        <f t="shared" si="12"/>
        <v>111</v>
      </c>
      <c r="AA33" s="1237">
        <f t="shared" si="3"/>
        <v>1</v>
      </c>
      <c r="AB33" s="1237">
        <f t="shared" si="4"/>
        <v>1</v>
      </c>
      <c r="AC33" s="1237">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230" t="s">
        <v>499</v>
      </c>
      <c r="Q34" s="1233">
        <f t="shared" si="8"/>
        <v>111</v>
      </c>
      <c r="R34" s="1234" t="s">
        <v>5</v>
      </c>
      <c r="S34" s="1235">
        <f t="shared" si="9"/>
        <v>100</v>
      </c>
      <c r="T34" s="1234" t="s">
        <v>5</v>
      </c>
      <c r="U34" s="1235">
        <f t="shared" si="10"/>
        <v>100</v>
      </c>
      <c r="V34" s="1234" t="s">
        <v>5</v>
      </c>
      <c r="W34" s="1235">
        <f t="shared" si="11"/>
        <v>100</v>
      </c>
      <c r="X34" s="1228"/>
      <c r="Y34" s="4231" t="s">
        <v>499</v>
      </c>
      <c r="Z34" s="1236">
        <f t="shared" si="12"/>
        <v>111</v>
      </c>
      <c r="AA34" s="1237">
        <f t="shared" si="3"/>
        <v>1</v>
      </c>
      <c r="AB34" s="1237">
        <f t="shared" si="4"/>
        <v>1</v>
      </c>
      <c r="AC34" s="1237">
        <f t="shared" si="5"/>
        <v>1</v>
      </c>
    </row>
    <row r="35" spans="1:29" s="1063"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231"/>
      <c r="Q35" s="1233">
        <f t="shared" si="8"/>
        <v>111</v>
      </c>
      <c r="R35" s="1238" t="s">
        <v>5</v>
      </c>
      <c r="S35" s="1239">
        <f t="shared" si="9"/>
        <v>100</v>
      </c>
      <c r="T35" s="1238" t="s">
        <v>5</v>
      </c>
      <c r="U35" s="1239">
        <f t="shared" si="10"/>
        <v>100</v>
      </c>
      <c r="V35" s="1238" t="s">
        <v>5</v>
      </c>
      <c r="W35" s="1239">
        <f t="shared" si="11"/>
        <v>100</v>
      </c>
      <c r="X35" s="1240"/>
      <c r="Y35" s="4231"/>
      <c r="Z35" s="1241">
        <f t="shared" si="12"/>
        <v>111</v>
      </c>
      <c r="AA35" s="1237">
        <f t="shared" si="3"/>
        <v>1</v>
      </c>
      <c r="AB35" s="1237">
        <f t="shared" si="4"/>
        <v>1</v>
      </c>
      <c r="AC35" s="1237">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231"/>
      <c r="Q36" s="1233" t="str">
        <f>B36</f>
        <v>宗地面积</v>
      </c>
      <c r="R36" s="1234" t="s">
        <v>5</v>
      </c>
      <c r="S36" s="1235" t="e">
        <f t="shared" si="9"/>
        <v>#N/A</v>
      </c>
      <c r="T36" s="1234" t="s">
        <v>5</v>
      </c>
      <c r="U36" s="1235" t="e">
        <f t="shared" si="10"/>
        <v>#N/A</v>
      </c>
      <c r="V36" s="1234" t="s">
        <v>5</v>
      </c>
      <c r="W36" s="1235" t="e">
        <f t="shared" si="11"/>
        <v>#N/A</v>
      </c>
      <c r="X36" s="1228"/>
      <c r="Y36" s="4231"/>
      <c r="Z36" s="1236" t="str">
        <f t="shared" si="12"/>
        <v>宗地面积</v>
      </c>
      <c r="AA36" s="1237" t="e">
        <f t="shared" si="3"/>
        <v>#N/A</v>
      </c>
      <c r="AB36" s="1237" t="e">
        <f t="shared" si="4"/>
        <v>#N/A</v>
      </c>
      <c r="AC36" s="1237"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231"/>
      <c r="Q37" s="1233" t="str">
        <f t="shared" ref="Q37:Q42" si="13">B37</f>
        <v>宗地形状</v>
      </c>
      <c r="R37" s="1234" t="s">
        <v>5</v>
      </c>
      <c r="S37" s="1235">
        <f t="shared" si="9"/>
        <v>100</v>
      </c>
      <c r="T37" s="1234" t="s">
        <v>5</v>
      </c>
      <c r="U37" s="1235">
        <f t="shared" si="10"/>
        <v>100</v>
      </c>
      <c r="V37" s="1234" t="s">
        <v>5</v>
      </c>
      <c r="W37" s="1235">
        <f t="shared" si="11"/>
        <v>100</v>
      </c>
      <c r="X37" s="1228"/>
      <c r="Y37" s="4231"/>
      <c r="Z37" s="1236" t="str">
        <f t="shared" si="12"/>
        <v>宗地形状</v>
      </c>
      <c r="AA37" s="1237">
        <f t="shared" si="3"/>
        <v>1</v>
      </c>
      <c r="AB37" s="1237">
        <f t="shared" si="4"/>
        <v>1</v>
      </c>
      <c r="AC37" s="1237">
        <f t="shared" si="5"/>
        <v>1</v>
      </c>
    </row>
    <row r="38" spans="1:29" s="981"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231"/>
      <c r="Q38" s="1233" t="str">
        <f t="shared" si="13"/>
        <v>宗地开发程度</v>
      </c>
      <c r="R38" s="1229" t="s">
        <v>5</v>
      </c>
      <c r="S38" s="1230">
        <f t="shared" si="9"/>
        <v>100</v>
      </c>
      <c r="T38" s="1229" t="s">
        <v>5</v>
      </c>
      <c r="U38" s="1230">
        <f t="shared" si="10"/>
        <v>100</v>
      </c>
      <c r="V38" s="1229" t="s">
        <v>5</v>
      </c>
      <c r="W38" s="1230">
        <f t="shared" si="11"/>
        <v>100</v>
      </c>
      <c r="X38" s="1231"/>
      <c r="Y38" s="4231"/>
      <c r="Z38" s="928" t="str">
        <f t="shared" si="12"/>
        <v>宗地开发程度</v>
      </c>
      <c r="AA38" s="1232">
        <f t="shared" si="3"/>
        <v>1</v>
      </c>
      <c r="AB38" s="1232">
        <f t="shared" si="4"/>
        <v>1</v>
      </c>
      <c r="AC38" s="1232">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231" t="s">
        <v>549</v>
      </c>
      <c r="Q39" s="1233" t="str">
        <f t="shared" si="13"/>
        <v>工程地质条件</v>
      </c>
      <c r="R39" s="1234" t="s">
        <v>5</v>
      </c>
      <c r="S39" s="1235">
        <f t="shared" si="9"/>
        <v>100</v>
      </c>
      <c r="T39" s="1234" t="s">
        <v>5</v>
      </c>
      <c r="U39" s="1235">
        <f t="shared" si="10"/>
        <v>100</v>
      </c>
      <c r="V39" s="1234" t="s">
        <v>5</v>
      </c>
      <c r="W39" s="1235">
        <f t="shared" si="11"/>
        <v>100</v>
      </c>
      <c r="X39" s="1228"/>
      <c r="Y39" s="4231" t="s">
        <v>549</v>
      </c>
      <c r="Z39" s="1236" t="str">
        <f t="shared" si="12"/>
        <v>工程地质条件</v>
      </c>
      <c r="AA39" s="1237">
        <f t="shared" si="3"/>
        <v>1</v>
      </c>
      <c r="AB39" s="1237">
        <f t="shared" si="4"/>
        <v>1</v>
      </c>
      <c r="AC39" s="1237">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231"/>
      <c r="Q40" s="1233">
        <f t="shared" si="13"/>
        <v>111</v>
      </c>
      <c r="R40" s="1234" t="s">
        <v>5</v>
      </c>
      <c r="S40" s="1235">
        <f t="shared" si="9"/>
        <v>100</v>
      </c>
      <c r="T40" s="1234" t="s">
        <v>5</v>
      </c>
      <c r="U40" s="1235">
        <f t="shared" si="10"/>
        <v>100</v>
      </c>
      <c r="V40" s="1234" t="s">
        <v>5</v>
      </c>
      <c r="W40" s="1235">
        <f t="shared" si="11"/>
        <v>100</v>
      </c>
      <c r="X40" s="1228"/>
      <c r="Y40" s="4231"/>
      <c r="Z40" s="1236">
        <f t="shared" si="12"/>
        <v>111</v>
      </c>
      <c r="AA40" s="1237">
        <f t="shared" si="3"/>
        <v>1</v>
      </c>
      <c r="AB40" s="1237">
        <f t="shared" si="4"/>
        <v>1</v>
      </c>
      <c r="AC40" s="1237">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231"/>
      <c r="Q41" s="1233">
        <f t="shared" si="13"/>
        <v>111</v>
      </c>
      <c r="R41" s="1234" t="s">
        <v>5</v>
      </c>
      <c r="S41" s="1235">
        <f t="shared" si="9"/>
        <v>100</v>
      </c>
      <c r="T41" s="1234" t="s">
        <v>5</v>
      </c>
      <c r="U41" s="1235">
        <f t="shared" si="10"/>
        <v>100</v>
      </c>
      <c r="V41" s="1234" t="s">
        <v>5</v>
      </c>
      <c r="W41" s="1235">
        <f t="shared" si="11"/>
        <v>100</v>
      </c>
      <c r="X41" s="1228"/>
      <c r="Y41" s="4231"/>
      <c r="Z41" s="1236">
        <f t="shared" si="12"/>
        <v>111</v>
      </c>
      <c r="AA41" s="1237">
        <f t="shared" si="3"/>
        <v>1</v>
      </c>
      <c r="AB41" s="1237">
        <f t="shared" si="4"/>
        <v>1</v>
      </c>
      <c r="AC41" s="1237">
        <f t="shared" si="5"/>
        <v>1</v>
      </c>
    </row>
    <row r="42" spans="1:29" s="1063"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231"/>
      <c r="Q42" s="1233">
        <f t="shared" si="13"/>
        <v>111</v>
      </c>
      <c r="R42" s="1238" t="s">
        <v>5</v>
      </c>
      <c r="S42" s="1239">
        <f t="shared" si="9"/>
        <v>100</v>
      </c>
      <c r="T42" s="1238" t="s">
        <v>5</v>
      </c>
      <c r="U42" s="1239">
        <f t="shared" si="10"/>
        <v>100</v>
      </c>
      <c r="V42" s="1238" t="s">
        <v>5</v>
      </c>
      <c r="W42" s="1239">
        <f t="shared" si="11"/>
        <v>100</v>
      </c>
      <c r="X42" s="1240"/>
      <c r="Y42" s="4231"/>
      <c r="Z42" s="1241">
        <f t="shared" si="12"/>
        <v>111</v>
      </c>
      <c r="AA42" s="1237">
        <f t="shared" si="3"/>
        <v>1</v>
      </c>
      <c r="AB42" s="1237">
        <f t="shared" si="4"/>
        <v>1</v>
      </c>
      <c r="AC42" s="1237">
        <f t="shared" si="5"/>
        <v>1</v>
      </c>
    </row>
    <row r="43" spans="1:29" ht="15">
      <c r="A43" s="465" t="s">
        <v>505</v>
      </c>
      <c r="B43" s="466" t="s">
        <v>2105</v>
      </c>
      <c r="C43" s="467" t="s">
        <v>0</v>
      </c>
      <c r="D43" s="468"/>
      <c r="E43" s="469"/>
      <c r="F43" s="470"/>
      <c r="G43" s="471"/>
      <c r="H43" s="472"/>
      <c r="I43" s="469"/>
      <c r="J43" s="472"/>
      <c r="K43" s="1064"/>
      <c r="L43" s="1664"/>
      <c r="M43" s="1654"/>
      <c r="N43" s="1654"/>
      <c r="O43" s="1665"/>
      <c r="P43" s="4195" t="str">
        <f>A43</f>
        <v>成交单价</v>
      </c>
      <c r="Q43" s="4195"/>
      <c r="R43" s="4196">
        <f>E43</f>
        <v>0</v>
      </c>
      <c r="S43" s="4196"/>
      <c r="T43" s="4196">
        <f>G43</f>
        <v>0</v>
      </c>
      <c r="U43" s="4196"/>
      <c r="V43" s="4196">
        <f>I43</f>
        <v>0</v>
      </c>
      <c r="W43" s="4196"/>
      <c r="X43" s="1223"/>
      <c r="Y43" s="1242"/>
      <c r="Z43" s="1223"/>
      <c r="AA43" s="1223"/>
      <c r="AB43" s="1223"/>
      <c r="AC43" s="1223"/>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195" t="str">
        <f>A44</f>
        <v>比较价格（元/平方米）</v>
      </c>
      <c r="Q44" s="4195"/>
      <c r="R44" s="4197" t="e">
        <f>ROUND(PRODUCT(R43,AA9:AA42),0)</f>
        <v>#DIV/0!</v>
      </c>
      <c r="S44" s="4197"/>
      <c r="T44" s="4197" t="e">
        <f>ROUND(PRODUCT(T43,AB9:AB42),0)</f>
        <v>#DIV/0!</v>
      </c>
      <c r="U44" s="4197"/>
      <c r="V44" s="4197" t="e">
        <f>ROUND(PRODUCT(V43,AC9:AC42),0)</f>
        <v>#DIV/0!</v>
      </c>
      <c r="W44" s="4197"/>
      <c r="X44" s="1223"/>
      <c r="Y44" s="1223"/>
      <c r="Z44" s="1223"/>
      <c r="AA44" s="1223"/>
      <c r="AB44" s="1223"/>
      <c r="AC44" s="1223"/>
    </row>
    <row r="45" spans="1:29" ht="15.75" thickBot="1">
      <c r="A45" s="477" t="s">
        <v>2106</v>
      </c>
      <c r="B45" s="478"/>
      <c r="C45" s="479" t="e">
        <f>R45</f>
        <v>#DIV/0!</v>
      </c>
      <c r="D45" s="479"/>
      <c r="E45" s="479"/>
      <c r="F45" s="479"/>
      <c r="G45" s="479"/>
      <c r="H45" s="479"/>
      <c r="I45" s="479"/>
      <c r="J45" s="479"/>
      <c r="K45" s="1065"/>
      <c r="L45" s="1664"/>
      <c r="M45" s="1654"/>
      <c r="N45" s="1654"/>
      <c r="O45" s="1665"/>
      <c r="P45" s="4232" t="str">
        <f>A45</f>
        <v>估价对象XX用房的比较价格（楼面单价，元/平方米）</v>
      </c>
      <c r="Q45" s="4233"/>
      <c r="R45" s="4248" t="e">
        <f>ROUND(IF(D44="简单平均",AVERAGE(R44:W44),R44*F44+T44*H44+V44*J44),0)</f>
        <v>#DIV/0!</v>
      </c>
      <c r="S45" s="4248"/>
      <c r="T45" s="4248"/>
      <c r="U45" s="4248"/>
      <c r="V45" s="4248"/>
      <c r="W45" s="4248"/>
      <c r="X45" s="1223"/>
      <c r="Y45" s="1223"/>
      <c r="Z45" s="1223"/>
      <c r="AA45" s="1223"/>
      <c r="AB45" s="1223"/>
      <c r="AC45" s="1223"/>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8"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8"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4" t="s">
        <v>1253</v>
      </c>
      <c r="D52" s="1743" t="s">
        <v>1568</v>
      </c>
      <c r="E52" s="487" t="s">
        <v>511</v>
      </c>
      <c r="F52" s="1535" t="s">
        <v>512</v>
      </c>
      <c r="G52" s="4244" t="s">
        <v>1561</v>
      </c>
      <c r="H52" s="4245"/>
      <c r="I52" s="1536" t="s">
        <v>1384</v>
      </c>
      <c r="J52" s="1220">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9" customFormat="1" ht="12.75">
      <c r="A53" s="489" t="s">
        <v>513</v>
      </c>
      <c r="B53" s="490" t="e">
        <f>C45</f>
        <v>#DIV/0!</v>
      </c>
      <c r="C53" s="491">
        <v>1</v>
      </c>
      <c r="D53" s="1744">
        <v>1</v>
      </c>
      <c r="E53" s="491">
        <f>'数据-汇总表'!E8+'数据-汇总表'!E9</f>
        <v>29082.55</v>
      </c>
      <c r="F53" s="1534" t="e">
        <f t="shared" ref="F53:F61" si="14">ROUND(B53*E53/10000,0)</f>
        <v>#DIV/0!</v>
      </c>
      <c r="G53" s="4246"/>
      <c r="H53" s="4247"/>
      <c r="I53" s="1537">
        <v>1</v>
      </c>
      <c r="J53" s="1221">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9" customFormat="1" ht="12.75">
      <c r="A54" s="493" t="s">
        <v>514</v>
      </c>
      <c r="B54" s="494" t="e">
        <f>ROUND($C$45*C54*D54,0)</f>
        <v>#DIV/0!</v>
      </c>
      <c r="C54" s="264">
        <f t="shared" ref="C54:C61" si="15">IF($C$52="北京市系数",I54,J54)</f>
        <v>0</v>
      </c>
      <c r="D54" s="1745">
        <v>0.25</v>
      </c>
      <c r="E54" s="495"/>
      <c r="F54" s="1534" t="e">
        <f t="shared" si="14"/>
        <v>#DIV/0!</v>
      </c>
      <c r="G54" s="2930" t="s">
        <v>1562</v>
      </c>
      <c r="H54" s="1538">
        <f>项目基本情况!B43</f>
        <v>0</v>
      </c>
      <c r="I54" s="1537">
        <f>SUMIF(修正!$A$57:$A$68,H54,修正!B57:B68)</f>
        <v>0</v>
      </c>
      <c r="J54" s="1222"/>
      <c r="K54" s="2631"/>
      <c r="L54" s="1674"/>
      <c r="M54" s="1674"/>
      <c r="N54" s="1674"/>
      <c r="O54" s="1674"/>
      <c r="P54" s="1674"/>
      <c r="Q54" s="1674"/>
      <c r="R54" s="1674"/>
      <c r="S54" s="1674"/>
      <c r="T54" s="1674"/>
      <c r="U54" s="1674"/>
      <c r="V54" s="1674"/>
      <c r="W54" s="1674"/>
      <c r="X54" s="1674"/>
      <c r="Y54" s="1674"/>
      <c r="Z54" s="1674"/>
      <c r="AA54" s="1674"/>
      <c r="AB54" s="1674"/>
      <c r="AC54" s="1674"/>
    </row>
    <row r="55" spans="1:29" s="1069" customFormat="1" ht="12.75">
      <c r="A55" s="493" t="s">
        <v>515</v>
      </c>
      <c r="B55" s="494" t="e">
        <f t="shared" ref="B55:B61" si="16">ROUND($C$45*C55*D55,0)</f>
        <v>#DIV/0!</v>
      </c>
      <c r="C55" s="264">
        <f t="shared" si="15"/>
        <v>0</v>
      </c>
      <c r="D55" s="1745">
        <v>0.25</v>
      </c>
      <c r="E55" s="495"/>
      <c r="F55" s="1534" t="e">
        <f t="shared" si="14"/>
        <v>#DIV/0!</v>
      </c>
      <c r="G55" s="2931"/>
      <c r="H55" s="1539">
        <f>项目基本情况!B43</f>
        <v>0</v>
      </c>
      <c r="I55" s="1537">
        <f>SUMIF(修正!$A$57:$A$68,H55,修正!C57:C68)</f>
        <v>0</v>
      </c>
      <c r="J55" s="1222"/>
      <c r="K55" s="2631"/>
      <c r="L55" s="1674"/>
      <c r="M55" s="1674"/>
      <c r="N55" s="1674"/>
      <c r="O55" s="1674"/>
      <c r="P55" s="1674"/>
      <c r="Q55" s="1674"/>
      <c r="R55" s="1674"/>
      <c r="S55" s="1674"/>
      <c r="T55" s="1674"/>
      <c r="U55" s="1674"/>
      <c r="V55" s="1674"/>
      <c r="W55" s="1674"/>
      <c r="X55" s="1674"/>
      <c r="Y55" s="1674"/>
      <c r="Z55" s="1674"/>
      <c r="AA55" s="1674"/>
      <c r="AB55" s="1674"/>
      <c r="AC55" s="1674"/>
    </row>
    <row r="56" spans="1:29" s="1069" customFormat="1" ht="12.75">
      <c r="A56" s="493" t="s">
        <v>516</v>
      </c>
      <c r="B56" s="494" t="e">
        <f t="shared" si="16"/>
        <v>#DIV/0!</v>
      </c>
      <c r="C56" s="264">
        <f t="shared" si="15"/>
        <v>0</v>
      </c>
      <c r="D56" s="1745">
        <v>0.25</v>
      </c>
      <c r="E56" s="495"/>
      <c r="F56" s="1534" t="e">
        <f t="shared" si="14"/>
        <v>#DIV/0!</v>
      </c>
      <c r="G56" s="2931"/>
      <c r="H56" s="1539">
        <f>项目基本情况!B43</f>
        <v>0</v>
      </c>
      <c r="I56" s="1537">
        <f>SUMIF(修正!$A$57:$A$68,H56,修正!D57:D68)</f>
        <v>0</v>
      </c>
      <c r="J56" s="1222"/>
      <c r="K56" s="2631"/>
      <c r="L56" s="1674"/>
      <c r="M56" s="1674"/>
      <c r="N56" s="1674"/>
      <c r="O56" s="1674"/>
      <c r="P56" s="1674"/>
      <c r="Q56" s="1674"/>
      <c r="R56" s="1674"/>
      <c r="S56" s="1674"/>
      <c r="T56" s="1674"/>
      <c r="U56" s="1674"/>
      <c r="V56" s="1674"/>
      <c r="W56" s="1674"/>
      <c r="X56" s="1674"/>
      <c r="Y56" s="1674"/>
      <c r="Z56" s="1674"/>
      <c r="AA56" s="1674"/>
      <c r="AB56" s="1674"/>
      <c r="AC56" s="1674"/>
    </row>
    <row r="57" spans="1:29" s="1069" customFormat="1" ht="12.75">
      <c r="A57" s="1826" t="s">
        <v>1602</v>
      </c>
      <c r="B57" s="494" t="e">
        <f t="shared" si="16"/>
        <v>#DIV/0!</v>
      </c>
      <c r="C57" s="264">
        <f t="shared" si="15"/>
        <v>0.25</v>
      </c>
      <c r="D57" s="1745">
        <v>0.25</v>
      </c>
      <c r="E57" s="497">
        <f>'数据-汇总表'!E11</f>
        <v>0</v>
      </c>
      <c r="F57" s="1534" t="e">
        <f t="shared" si="14"/>
        <v>#DIV/0!</v>
      </c>
      <c r="G57" s="1540" t="s">
        <v>1563</v>
      </c>
      <c r="H57" s="1539" t="str">
        <f>项目基本情况!C43</f>
        <v>七级</v>
      </c>
      <c r="I57" s="1537">
        <f>SUMIF(修正!$A$57:$A$68,H57,修正!E57:E68)</f>
        <v>0.25</v>
      </c>
      <c r="J57" s="1222"/>
      <c r="K57" s="2631"/>
      <c r="L57" s="1674"/>
      <c r="M57" s="1674"/>
      <c r="N57" s="1674"/>
      <c r="O57" s="1674"/>
      <c r="P57" s="1674"/>
      <c r="Q57" s="1674"/>
      <c r="R57" s="1674"/>
      <c r="S57" s="1674"/>
      <c r="T57" s="1674"/>
      <c r="U57" s="1674"/>
      <c r="V57" s="1674"/>
      <c r="W57" s="1674"/>
      <c r="X57" s="1674"/>
      <c r="Y57" s="1674"/>
      <c r="Z57" s="1674"/>
      <c r="AA57" s="1674"/>
      <c r="AB57" s="1674"/>
      <c r="AC57" s="1674"/>
    </row>
    <row r="58" spans="1:29" s="1069" customFormat="1" ht="12.75">
      <c r="A58" s="493" t="s">
        <v>517</v>
      </c>
      <c r="B58" s="494" t="e">
        <f t="shared" si="16"/>
        <v>#DIV/0!</v>
      </c>
      <c r="C58" s="264">
        <f t="shared" si="15"/>
        <v>0.25</v>
      </c>
      <c r="D58" s="1745">
        <v>0.25</v>
      </c>
      <c r="E58" s="497">
        <f>'数据-汇总表'!E12</f>
        <v>0</v>
      </c>
      <c r="F58" s="1534" t="e">
        <f t="shared" si="14"/>
        <v>#DIV/0!</v>
      </c>
      <c r="G58" s="1530" t="s">
        <v>1212</v>
      </c>
      <c r="H58" s="1538" t="str">
        <f>IF(G58="商业",项目基本情况!B43,IF(G58="办公",项目基本情况!C43,IF(G58="住宅",项目基本情况!D43,项目基本情况!E43)))</f>
        <v>七级</v>
      </c>
      <c r="I58" s="1537">
        <f>SUMIF(修正!$A$57:$A$68,H58,修正!F57:F68)</f>
        <v>0.25</v>
      </c>
      <c r="J58" s="1222"/>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519</v>
      </c>
      <c r="B60" s="494" t="e">
        <f t="shared" si="16"/>
        <v>#DIV/0!</v>
      </c>
      <c r="C60" s="264">
        <f t="shared" si="15"/>
        <v>0</v>
      </c>
      <c r="D60" s="1745">
        <v>0.25</v>
      </c>
      <c r="E60" s="497">
        <f>'数据-汇总表'!E14</f>
        <v>0</v>
      </c>
      <c r="F60" s="1534" t="e">
        <f t="shared" si="14"/>
        <v>#DIV/0!</v>
      </c>
      <c r="G60" s="1540" t="s">
        <v>1562</v>
      </c>
      <c r="H60" s="1539">
        <f>项目基本情况!B43</f>
        <v>0</v>
      </c>
      <c r="I60" s="1537">
        <f>SUMIF(修正!$A$57:$A$68,H60,修正!G57:G68)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3.5" thickBot="1">
      <c r="A61" s="493" t="s">
        <v>520</v>
      </c>
      <c r="B61" s="494" t="e">
        <f t="shared" si="16"/>
        <v>#DIV/0!</v>
      </c>
      <c r="C61" s="264">
        <f t="shared" si="15"/>
        <v>0.15</v>
      </c>
      <c r="D61" s="1745">
        <v>0.25</v>
      </c>
      <c r="E61" s="497">
        <f>'数据-汇总表'!E15</f>
        <v>0</v>
      </c>
      <c r="F61" s="1534" t="e">
        <f t="shared" si="14"/>
        <v>#DIV/0!</v>
      </c>
      <c r="G61" s="1541" t="s">
        <v>1563</v>
      </c>
      <c r="H61" s="1542" t="str">
        <f>项目基本情况!C43</f>
        <v>七级</v>
      </c>
      <c r="I61" s="1537">
        <f>SUMIF(修正!$A$57:$A$68,H61,修正!G57:G68)</f>
        <v>0.15</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3.5" thickBot="1">
      <c r="A62" s="498" t="s">
        <v>521</v>
      </c>
      <c r="B62" s="499" t="s">
        <v>11</v>
      </c>
      <c r="C62" s="499" t="s">
        <v>12</v>
      </c>
      <c r="D62" s="499" t="s">
        <v>1569</v>
      </c>
      <c r="E62" s="499">
        <f>IF(B43="楼面地价",SUM(E53:E61),'数据-汇总表'!D3)</f>
        <v>12128</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5" t="s">
        <v>522</v>
      </c>
      <c r="B65" s="1223"/>
      <c r="C65" s="1244"/>
      <c r="D65" s="1244"/>
      <c r="E65" s="1244"/>
      <c r="F65" s="1246"/>
      <c r="G65" s="1246"/>
      <c r="H65" s="1244"/>
      <c r="I65" s="1244"/>
      <c r="J65" s="1244"/>
      <c r="K65" s="1247"/>
      <c r="L65" s="1243"/>
      <c r="M65" s="1244"/>
      <c r="N65" s="1244"/>
      <c r="O65" s="1676"/>
      <c r="P65" s="1676"/>
      <c r="Q65" s="1677"/>
      <c r="R65" s="1665"/>
      <c r="S65" s="1665"/>
      <c r="T65" s="1665"/>
      <c r="U65" s="1665"/>
      <c r="V65" s="1665"/>
      <c r="W65" s="1665"/>
      <c r="X65" s="1665"/>
      <c r="Y65" s="1665"/>
      <c r="Z65" s="1665"/>
      <c r="AA65" s="1665"/>
      <c r="AB65" s="1665"/>
      <c r="AC65" s="1665"/>
    </row>
    <row r="66" spans="1:29" s="1070"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1" customFormat="1" ht="27.75" customHeight="1">
      <c r="A67" s="2038" t="s">
        <v>1840</v>
      </c>
      <c r="B67" s="354" t="str">
        <f>"北京市平均增长率"&amp;TEXT('基准地价-商业'!P28,"0.00%")</f>
        <v>北京市平均增长率0.00%</v>
      </c>
      <c r="C67" s="738">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1"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1"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1"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3"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3"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3"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3"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3"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3"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1"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1"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1"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3"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3"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3"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3"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3"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3"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3" customFormat="1" ht="15" thickTop="1">
      <c r="A113" s="584"/>
      <c r="B113" s="1480" t="s">
        <v>1693</v>
      </c>
      <c r="C113" s="1084"/>
      <c r="D113" s="1084"/>
      <c r="E113" s="1084"/>
      <c r="F113" s="1084"/>
      <c r="G113" s="1084"/>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3"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3"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xr:uid="{00000000-0002-0000-1900-000000000000}">
      <formula1>单价内涵</formula1>
    </dataValidation>
    <dataValidation type="list" allowBlank="1" showInputMessage="1" showErrorMessage="1" sqref="C24 E24 G24 I24" xr:uid="{00000000-0002-0000-1900-000001000000}">
      <formula1>环境</formula1>
    </dataValidation>
    <dataValidation type="list" allowBlank="1" showInputMessage="1" showErrorMessage="1" sqref="E20 C20 G20 I20" xr:uid="{00000000-0002-0000-1900-000002000000}">
      <formula1>交通便捷度</formula1>
    </dataValidation>
    <dataValidation type="list" allowBlank="1" showInputMessage="1" showErrorMessage="1" sqref="E26 C26 I26 G26" xr:uid="{00000000-0002-0000-1900-000003000000}">
      <formula1>公共配套设施</formula1>
    </dataValidation>
    <dataValidation type="list" allowBlank="1" showInputMessage="1" showErrorMessage="1" sqref="C10 E10 G10 I10" xr:uid="{00000000-0002-0000-1900-000004000000}">
      <formula1>套工交易情况</formula1>
    </dataValidation>
    <dataValidation type="list" allowBlank="1" showInputMessage="1" showErrorMessage="1" sqref="C11 E11 G11 I11" xr:uid="{00000000-0002-0000-1900-000005000000}">
      <formula1>套工用途</formula1>
    </dataValidation>
    <dataValidation type="list" allowBlank="1" showInputMessage="1" showErrorMessage="1" sqref="I32 E32 G32" xr:uid="{00000000-0002-0000-1900-000006000000}">
      <formula1>套工土地级别</formula1>
    </dataValidation>
    <dataValidation type="list" allowBlank="1" showInputMessage="1" showErrorMessage="1" sqref="C29 E29 G29 I29" xr:uid="{00000000-0002-0000-1900-000007000000}">
      <formula1>临街状况</formula1>
    </dataValidation>
    <dataValidation type="list" allowBlank="1" showInputMessage="1" showErrorMessage="1" sqref="E22 C22 G22 I22" xr:uid="{00000000-0002-0000-1900-000008000000}">
      <formula1>区域土地利用方向</formula1>
    </dataValidation>
    <dataValidation type="list" allowBlank="1" showInputMessage="1" showErrorMessage="1" sqref="C52" xr:uid="{00000000-0002-0000-1900-000009000000}">
      <formula1>"北京市系数,其他省市系数"</formula1>
    </dataValidation>
    <dataValidation type="list" allowBlank="1" showInputMessage="1" showErrorMessage="1" sqref="G58" xr:uid="{00000000-0002-0000-1900-00000A000000}">
      <formula1>"商业,办公,住宅,工业"</formula1>
    </dataValidation>
    <dataValidation type="list" allowBlank="1" showInputMessage="1" showErrorMessage="1" sqref="G59" xr:uid="{00000000-0002-0000-1900-00000B000000}">
      <formula1>"住宅,工业"</formula1>
    </dataValidation>
    <dataValidation type="list" allowBlank="1" showInputMessage="1" showErrorMessage="1" sqref="C18 E18 G18 I18" xr:uid="{00000000-0002-0000-1900-00000C000000}">
      <formula1>产业集聚程度</formula1>
    </dataValidation>
    <dataValidation type="list" allowBlank="1" showInputMessage="1" showErrorMessage="1" sqref="C28 E28 G28 I28" xr:uid="{00000000-0002-0000-1900-00000D000000}">
      <formula1>基础设施水平</formula1>
    </dataValidation>
    <dataValidation type="list" allowBlank="1" showInputMessage="1" showErrorMessage="1" sqref="C31 E31 G31 I31" xr:uid="{00000000-0002-0000-1900-00000E000000}">
      <formula1>套工临街等级</formula1>
    </dataValidation>
    <dataValidation type="list" allowBlank="1" showInputMessage="1" showErrorMessage="1" sqref="C37 E37 G37 I37" xr:uid="{00000000-0002-0000-1900-00000F000000}">
      <formula1>套工宗地形状</formula1>
    </dataValidation>
    <dataValidation type="list" allowBlank="1" showInputMessage="1" showErrorMessage="1" sqref="C38 E38 G38 I38" xr:uid="{00000000-0002-0000-1900-000010000000}">
      <formula1>套工开发程度</formula1>
    </dataValidation>
    <dataValidation type="list" allowBlank="1" showInputMessage="1" showErrorMessage="1" sqref="C39 E39 G39 I39" xr:uid="{00000000-0002-0000-1900-000011000000}">
      <formula1>套工工程地质条件</formula1>
    </dataValidation>
    <dataValidation type="list" allowBlank="1" showInputMessage="1" showErrorMessage="1" sqref="D44" xr:uid="{00000000-0002-0000-1900-000012000000}">
      <formula1>"简单平均,加权平均"</formula1>
    </dataValidation>
    <dataValidation type="list" allowBlank="1" showInputMessage="1" showErrorMessage="1" sqref="D54:D61" xr:uid="{00000000-0002-0000-19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41"/>
  <sheetViews>
    <sheetView zoomScale="60" zoomScaleNormal="60" workbookViewId="0">
      <selection sqref="A1:XFD1048576"/>
    </sheetView>
  </sheetViews>
  <sheetFormatPr defaultColWidth="13.875" defaultRowHeight="13.5"/>
  <cols>
    <col min="1" max="1" width="13.875" style="887"/>
    <col min="2" max="9" width="13.875" style="904"/>
    <col min="10" max="16384" width="13.875" style="887"/>
  </cols>
  <sheetData>
    <row r="1" spans="1:13" ht="14.25" thickBot="1">
      <c r="A1" s="905" t="s">
        <v>2668</v>
      </c>
      <c r="B1" s="892" t="s">
        <v>990</v>
      </c>
      <c r="C1" s="892" t="s">
        <v>1031</v>
      </c>
      <c r="D1" s="892" t="s">
        <v>1145</v>
      </c>
      <c r="E1" s="892" t="s">
        <v>853</v>
      </c>
      <c r="F1" s="892" t="s">
        <v>1152</v>
      </c>
      <c r="G1" s="892" t="s">
        <v>1153</v>
      </c>
      <c r="H1" s="892" t="s">
        <v>1154</v>
      </c>
      <c r="I1" s="892" t="s">
        <v>1155</v>
      </c>
      <c r="J1" s="892" t="s">
        <v>1156</v>
      </c>
      <c r="K1" s="892" t="s">
        <v>1157</v>
      </c>
      <c r="L1" s="892" t="s">
        <v>2669</v>
      </c>
      <c r="M1" s="893"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6" t="s">
        <v>2672</v>
      </c>
      <c r="B8" s="2902">
        <v>80</v>
      </c>
      <c r="C8" s="2902">
        <v>80</v>
      </c>
      <c r="D8" s="2902">
        <v>70</v>
      </c>
      <c r="E8" s="2902">
        <v>70</v>
      </c>
      <c r="F8" s="2902">
        <v>70</v>
      </c>
      <c r="G8" s="2902">
        <v>70</v>
      </c>
      <c r="H8" s="2902">
        <v>70</v>
      </c>
      <c r="I8" s="2902">
        <v>60</v>
      </c>
      <c r="J8" s="2902">
        <v>60</v>
      </c>
      <c r="K8" s="2902">
        <v>60</v>
      </c>
      <c r="L8" s="2902">
        <v>60</v>
      </c>
      <c r="M8" s="2903">
        <v>60</v>
      </c>
    </row>
    <row r="9" spans="1:13">
      <c r="A9" s="888" t="s">
        <v>2673</v>
      </c>
      <c r="B9" s="2904">
        <v>70</v>
      </c>
      <c r="C9" s="2904">
        <v>70</v>
      </c>
      <c r="D9" s="2904">
        <v>60</v>
      </c>
      <c r="E9" s="2904">
        <v>60</v>
      </c>
      <c r="F9" s="2904">
        <v>60</v>
      </c>
      <c r="G9" s="2904">
        <v>60</v>
      </c>
      <c r="H9" s="2904">
        <v>60</v>
      </c>
      <c r="I9" s="2904">
        <v>50</v>
      </c>
      <c r="J9" s="2904">
        <v>50</v>
      </c>
      <c r="K9" s="2904">
        <v>50</v>
      </c>
      <c r="L9" s="2904">
        <v>50</v>
      </c>
      <c r="M9" s="2905">
        <v>50</v>
      </c>
    </row>
    <row r="10" spans="1:13">
      <c r="A10" s="888"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8"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8"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8"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8"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7"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9" t="s">
        <v>877</v>
      </c>
      <c r="B16" s="908">
        <v>0</v>
      </c>
      <c r="C16" s="908">
        <v>0</v>
      </c>
      <c r="D16" s="908">
        <v>0</v>
      </c>
      <c r="E16" s="908">
        <v>0</v>
      </c>
      <c r="F16" s="908">
        <v>0</v>
      </c>
      <c r="G16" s="908">
        <v>0</v>
      </c>
      <c r="H16" s="908">
        <v>0</v>
      </c>
      <c r="I16" s="908">
        <v>0</v>
      </c>
      <c r="J16" s="908">
        <v>0</v>
      </c>
      <c r="K16" s="908">
        <v>0</v>
      </c>
      <c r="L16" s="908">
        <v>0</v>
      </c>
      <c r="M16" s="908">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9" t="s">
        <v>1160</v>
      </c>
      <c r="B18" s="909"/>
      <c r="C18" s="910"/>
      <c r="D18" s="910"/>
      <c r="E18" s="909"/>
      <c r="F18" s="910"/>
      <c r="G18" s="910"/>
    </row>
    <row r="19" spans="1:13" ht="14.25" thickBot="1">
      <c r="A19" s="2906" t="s">
        <v>2362</v>
      </c>
      <c r="B19" s="2908" t="s">
        <v>2363</v>
      </c>
      <c r="C19" s="2909" t="s">
        <v>2364</v>
      </c>
      <c r="D19" s="2910"/>
      <c r="E19" s="2904" t="s">
        <v>2365</v>
      </c>
      <c r="F19" s="912"/>
      <c r="G19" s="912"/>
    </row>
    <row r="20" spans="1:13" s="1254" customFormat="1">
      <c r="A20" s="4249" t="s">
        <v>2356</v>
      </c>
      <c r="B20" s="4252" t="s">
        <v>2366</v>
      </c>
      <c r="C20" s="2911" t="s">
        <v>2367</v>
      </c>
      <c r="D20" s="2912"/>
      <c r="E20" s="2913">
        <v>1</v>
      </c>
      <c r="F20" s="2914" t="s">
        <v>2368</v>
      </c>
      <c r="G20" s="914"/>
      <c r="H20" s="904"/>
      <c r="I20" s="904"/>
    </row>
    <row r="21" spans="1:13" s="1254" customFormat="1">
      <c r="A21" s="4250"/>
      <c r="B21" s="4253"/>
      <c r="C21" s="2915" t="s">
        <v>2369</v>
      </c>
      <c r="D21" s="2916"/>
      <c r="E21" s="2917">
        <v>1</v>
      </c>
      <c r="F21" s="2914" t="s">
        <v>2370</v>
      </c>
      <c r="G21" s="914"/>
      <c r="H21" s="904"/>
      <c r="I21" s="904"/>
    </row>
    <row r="22" spans="1:13" s="1254" customFormat="1">
      <c r="A22" s="4250"/>
      <c r="B22" s="4253"/>
      <c r="C22" s="2915" t="s">
        <v>2371</v>
      </c>
      <c r="D22" s="2916"/>
      <c r="E22" s="2917">
        <v>0.9</v>
      </c>
      <c r="F22" s="2914" t="s">
        <v>2372</v>
      </c>
      <c r="G22" s="914"/>
      <c r="H22" s="904"/>
      <c r="I22" s="904"/>
    </row>
    <row r="23" spans="1:13" s="1254" customFormat="1">
      <c r="A23" s="4250"/>
      <c r="B23" s="4253"/>
      <c r="C23" s="2915" t="s">
        <v>2373</v>
      </c>
      <c r="D23" s="2916"/>
      <c r="E23" s="2917">
        <v>0.9</v>
      </c>
      <c r="F23" s="2914" t="s">
        <v>2374</v>
      </c>
      <c r="G23" s="914"/>
      <c r="H23" s="904"/>
      <c r="I23" s="904"/>
    </row>
    <row r="24" spans="1:13" s="1254" customFormat="1">
      <c r="A24" s="4250"/>
      <c r="B24" s="4253"/>
      <c r="C24" s="2915" t="s">
        <v>2375</v>
      </c>
      <c r="D24" s="2916"/>
      <c r="E24" s="2917">
        <v>0.8</v>
      </c>
      <c r="F24" s="2914" t="s">
        <v>2376</v>
      </c>
      <c r="G24" s="914"/>
      <c r="H24" s="904"/>
      <c r="I24" s="904"/>
    </row>
    <row r="25" spans="1:13" s="1254" customFormat="1" ht="14.25" thickBot="1">
      <c r="A25" s="4251"/>
      <c r="B25" s="4254"/>
      <c r="C25" s="2918" t="s">
        <v>2377</v>
      </c>
      <c r="D25" s="2919"/>
      <c r="E25" s="2920">
        <v>0.8</v>
      </c>
      <c r="F25" s="2914" t="s">
        <v>2378</v>
      </c>
      <c r="G25" s="914"/>
      <c r="H25" s="904"/>
      <c r="I25" s="904"/>
    </row>
    <row r="26" spans="1:13" s="1254" customFormat="1" ht="14.25" thickBot="1">
      <c r="A26" s="2921" t="s">
        <v>2357</v>
      </c>
      <c r="B26" s="2922" t="s">
        <v>2366</v>
      </c>
      <c r="C26" s="2923" t="s">
        <v>2379</v>
      </c>
      <c r="D26" s="2924"/>
      <c r="E26" s="2925">
        <v>1</v>
      </c>
      <c r="F26" s="2914" t="s">
        <v>2380</v>
      </c>
      <c r="G26" s="914"/>
      <c r="H26" s="904"/>
      <c r="I26" s="904"/>
    </row>
    <row r="27" spans="1:13" s="1254" customFormat="1">
      <c r="A27" s="4255" t="s">
        <v>2361</v>
      </c>
      <c r="B27" s="4252" t="s">
        <v>2361</v>
      </c>
      <c r="C27" s="2911" t="s">
        <v>2381</v>
      </c>
      <c r="D27" s="2912"/>
      <c r="E27" s="2913">
        <v>1</v>
      </c>
      <c r="F27" s="2914" t="s">
        <v>2382</v>
      </c>
      <c r="G27" s="914"/>
      <c r="H27" s="904"/>
      <c r="I27" s="904"/>
    </row>
    <row r="28" spans="1:13" s="1254" customFormat="1">
      <c r="A28" s="4256"/>
      <c r="B28" s="4253"/>
      <c r="C28" s="2915" t="s">
        <v>2383</v>
      </c>
      <c r="D28" s="2916"/>
      <c r="E28" s="2917">
        <v>1</v>
      </c>
      <c r="F28" s="2914" t="s">
        <v>2384</v>
      </c>
      <c r="G28" s="914"/>
      <c r="H28" s="904"/>
      <c r="I28" s="904"/>
    </row>
    <row r="29" spans="1:13" s="1254" customFormat="1">
      <c r="A29" s="4256"/>
      <c r="B29" s="4253"/>
      <c r="C29" s="2915" t="s">
        <v>2385</v>
      </c>
      <c r="D29" s="2916"/>
      <c r="E29" s="2917">
        <v>0.8</v>
      </c>
      <c r="F29" s="2914" t="s">
        <v>2386</v>
      </c>
      <c r="G29" s="914"/>
      <c r="H29" s="904"/>
      <c r="I29" s="904"/>
    </row>
    <row r="30" spans="1:13" s="1254" customFormat="1">
      <c r="A30" s="4256"/>
      <c r="B30" s="4253"/>
      <c r="C30" s="2915" t="s">
        <v>2387</v>
      </c>
      <c r="D30" s="2916"/>
      <c r="E30" s="2917">
        <v>0.8</v>
      </c>
      <c r="F30" s="2914" t="s">
        <v>2388</v>
      </c>
      <c r="G30" s="914"/>
      <c r="H30" s="904"/>
      <c r="I30" s="904"/>
    </row>
    <row r="31" spans="1:13" s="1254" customFormat="1">
      <c r="A31" s="4256"/>
      <c r="B31" s="4253"/>
      <c r="C31" s="2915" t="s">
        <v>2389</v>
      </c>
      <c r="D31" s="2916"/>
      <c r="E31" s="2917">
        <v>0.8</v>
      </c>
      <c r="F31" s="2914" t="s">
        <v>2390</v>
      </c>
      <c r="G31" s="914"/>
      <c r="H31" s="904"/>
      <c r="I31" s="904"/>
    </row>
    <row r="32" spans="1:13" s="1254" customFormat="1">
      <c r="A32" s="4256"/>
      <c r="B32" s="4253"/>
      <c r="C32" s="2915" t="s">
        <v>2391</v>
      </c>
      <c r="D32" s="2916"/>
      <c r="E32" s="2917">
        <v>0.7</v>
      </c>
      <c r="F32" s="2914" t="s">
        <v>2392</v>
      </c>
      <c r="G32" s="914"/>
      <c r="H32" s="904"/>
      <c r="I32" s="904"/>
    </row>
    <row r="33" spans="1:9" s="1254" customFormat="1">
      <c r="A33" s="4256"/>
      <c r="B33" s="4253"/>
      <c r="C33" s="2915" t="s">
        <v>2393</v>
      </c>
      <c r="D33" s="2916"/>
      <c r="E33" s="2917">
        <v>0.8</v>
      </c>
      <c r="F33" s="2914" t="s">
        <v>2394</v>
      </c>
      <c r="G33" s="914"/>
      <c r="H33" s="904"/>
      <c r="I33" s="904"/>
    </row>
    <row r="34" spans="1:9" s="1254" customFormat="1">
      <c r="A34" s="4256"/>
      <c r="B34" s="4253"/>
      <c r="C34" s="2915" t="s">
        <v>2395</v>
      </c>
      <c r="D34" s="2916"/>
      <c r="E34" s="2917">
        <v>0.6</v>
      </c>
      <c r="F34" s="2914" t="s">
        <v>2396</v>
      </c>
      <c r="G34" s="914"/>
      <c r="H34" s="904"/>
      <c r="I34" s="904"/>
    </row>
    <row r="35" spans="1:9" s="1254" customFormat="1">
      <c r="A35" s="4256"/>
      <c r="B35" s="4253"/>
      <c r="C35" s="2915" t="s">
        <v>2397</v>
      </c>
      <c r="D35" s="2916"/>
      <c r="E35" s="2917">
        <v>0.2</v>
      </c>
      <c r="F35" s="2914" t="s">
        <v>2398</v>
      </c>
      <c r="G35" s="914"/>
      <c r="H35" s="904"/>
      <c r="I35" s="904"/>
    </row>
    <row r="36" spans="1:9" s="1254" customFormat="1">
      <c r="A36" s="4256"/>
      <c r="B36" s="4253"/>
      <c r="C36" s="2915" t="s">
        <v>2399</v>
      </c>
      <c r="D36" s="2916"/>
      <c r="E36" s="2917">
        <v>0.2</v>
      </c>
      <c r="F36" s="2914" t="s">
        <v>2400</v>
      </c>
      <c r="G36" s="914"/>
      <c r="H36" s="904"/>
      <c r="I36" s="904"/>
    </row>
    <row r="37" spans="1:9" s="1254" customFormat="1">
      <c r="A37" s="4256"/>
      <c r="B37" s="4258" t="s">
        <v>2401</v>
      </c>
      <c r="C37" s="2915" t="s">
        <v>2402</v>
      </c>
      <c r="D37" s="2916"/>
      <c r="E37" s="2917">
        <v>0.6</v>
      </c>
      <c r="F37" s="2914" t="s">
        <v>2403</v>
      </c>
      <c r="G37" s="914"/>
      <c r="H37" s="904"/>
      <c r="I37" s="904"/>
    </row>
    <row r="38" spans="1:9" s="1254" customFormat="1">
      <c r="A38" s="4256"/>
      <c r="B38" s="4253"/>
      <c r="C38" s="2915" t="s">
        <v>2404</v>
      </c>
      <c r="D38" s="2916"/>
      <c r="E38" s="2917">
        <v>0.6</v>
      </c>
      <c r="F38" s="2914" t="s">
        <v>2405</v>
      </c>
      <c r="G38" s="914"/>
      <c r="H38" s="904"/>
      <c r="I38" s="904"/>
    </row>
    <row r="39" spans="1:9" s="1254" customFormat="1" ht="14.25" thickBot="1">
      <c r="A39" s="4257"/>
      <c r="B39" s="4254"/>
      <c r="C39" s="2918" t="s">
        <v>2406</v>
      </c>
      <c r="D39" s="2919"/>
      <c r="E39" s="2920">
        <v>0.6</v>
      </c>
      <c r="F39" s="2914" t="s">
        <v>2407</v>
      </c>
      <c r="G39" s="914"/>
      <c r="H39" s="904"/>
      <c r="I39" s="904"/>
    </row>
    <row r="40" spans="1:9" s="1254" customFormat="1" ht="14.25" thickBot="1">
      <c r="A40" s="2921" t="s">
        <v>2358</v>
      </c>
      <c r="B40" s="2922" t="s">
        <v>2358</v>
      </c>
      <c r="C40" s="2923" t="s">
        <v>2408</v>
      </c>
      <c r="D40" s="2924"/>
      <c r="E40" s="2925">
        <v>1</v>
      </c>
      <c r="F40" s="2914" t="s">
        <v>2409</v>
      </c>
      <c r="G40" s="914"/>
      <c r="H40" s="904"/>
      <c r="I40" s="904"/>
    </row>
    <row r="41" spans="1:9" s="1254" customFormat="1">
      <c r="A41" s="4249" t="s">
        <v>2359</v>
      </c>
      <c r="B41" s="4252" t="s">
        <v>2410</v>
      </c>
      <c r="C41" s="2911" t="s">
        <v>2411</v>
      </c>
      <c r="D41" s="2912"/>
      <c r="E41" s="2913">
        <v>1</v>
      </c>
      <c r="F41" s="2914" t="s">
        <v>2412</v>
      </c>
      <c r="G41" s="914"/>
      <c r="H41" s="904"/>
      <c r="I41" s="904"/>
    </row>
    <row r="42" spans="1:9" s="1254" customFormat="1">
      <c r="A42" s="4250"/>
      <c r="B42" s="4253"/>
      <c r="C42" s="2915" t="s">
        <v>2413</v>
      </c>
      <c r="D42" s="2916"/>
      <c r="E42" s="2917">
        <v>1</v>
      </c>
      <c r="F42" s="2914" t="s">
        <v>2414</v>
      </c>
      <c r="G42" s="914"/>
      <c r="H42" s="904"/>
      <c r="I42" s="904"/>
    </row>
    <row r="43" spans="1:9" s="1254" customFormat="1">
      <c r="A43" s="4250"/>
      <c r="B43" s="4259"/>
      <c r="C43" s="2915" t="s">
        <v>2415</v>
      </c>
      <c r="D43" s="2916"/>
      <c r="E43" s="2917">
        <v>1.5</v>
      </c>
      <c r="F43" s="2914" t="s">
        <v>2416</v>
      </c>
      <c r="G43" s="914"/>
      <c r="H43" s="904"/>
      <c r="I43" s="904"/>
    </row>
    <row r="44" spans="1:9" s="1254" customFormat="1">
      <c r="A44" s="4250"/>
      <c r="B44" s="2926" t="s">
        <v>2361</v>
      </c>
      <c r="C44" s="2915" t="s">
        <v>2360</v>
      </c>
      <c r="D44" s="2916"/>
      <c r="E44" s="2917">
        <v>2</v>
      </c>
      <c r="F44" s="2914" t="s">
        <v>2417</v>
      </c>
      <c r="G44" s="914"/>
      <c r="H44" s="904"/>
      <c r="I44" s="904"/>
    </row>
    <row r="45" spans="1:9" s="1254" customFormat="1">
      <c r="A45" s="4250"/>
      <c r="B45" s="4258" t="s">
        <v>2418</v>
      </c>
      <c r="C45" s="2915" t="s">
        <v>2419</v>
      </c>
      <c r="D45" s="2916"/>
      <c r="E45" s="2917">
        <v>1</v>
      </c>
      <c r="F45" s="2914" t="s">
        <v>2420</v>
      </c>
      <c r="G45" s="914"/>
      <c r="H45" s="904"/>
      <c r="I45" s="904"/>
    </row>
    <row r="46" spans="1:9" s="1254" customFormat="1">
      <c r="A46" s="4250"/>
      <c r="B46" s="4253"/>
      <c r="C46" s="2915" t="s">
        <v>2421</v>
      </c>
      <c r="D46" s="2916"/>
      <c r="E46" s="2917">
        <v>1</v>
      </c>
      <c r="F46" s="2914" t="s">
        <v>2422</v>
      </c>
      <c r="G46" s="914"/>
      <c r="H46" s="904"/>
      <c r="I46" s="904"/>
    </row>
    <row r="47" spans="1:9" s="1254" customFormat="1">
      <c r="A47" s="4250"/>
      <c r="B47" s="4253"/>
      <c r="C47" s="2915" t="s">
        <v>2423</v>
      </c>
      <c r="D47" s="2916"/>
      <c r="E47" s="2917">
        <v>1</v>
      </c>
      <c r="F47" s="2914" t="s">
        <v>2424</v>
      </c>
      <c r="G47" s="914"/>
      <c r="H47" s="904"/>
      <c r="I47" s="904"/>
    </row>
    <row r="48" spans="1:9" s="1254" customFormat="1">
      <c r="A48" s="4250"/>
      <c r="B48" s="4253"/>
      <c r="C48" s="2915" t="s">
        <v>2425</v>
      </c>
      <c r="D48" s="2916"/>
      <c r="E48" s="2917">
        <v>1</v>
      </c>
      <c r="F48" s="2914" t="s">
        <v>2426</v>
      </c>
      <c r="G48" s="914"/>
      <c r="H48" s="904"/>
      <c r="I48" s="904"/>
    </row>
    <row r="49" spans="1:9" s="1254" customFormat="1">
      <c r="A49" s="4250"/>
      <c r="B49" s="4253"/>
      <c r="C49" s="2915" t="s">
        <v>2427</v>
      </c>
      <c r="D49" s="2916"/>
      <c r="E49" s="2917">
        <v>1</v>
      </c>
      <c r="F49" s="2914" t="s">
        <v>2428</v>
      </c>
      <c r="G49" s="914"/>
      <c r="H49" s="904"/>
      <c r="I49" s="904"/>
    </row>
    <row r="50" spans="1:9" s="1254" customFormat="1">
      <c r="A50" s="4250"/>
      <c r="B50" s="4253"/>
      <c r="C50" s="2915" t="s">
        <v>2429</v>
      </c>
      <c r="D50" s="2916"/>
      <c r="E50" s="2917">
        <v>1</v>
      </c>
      <c r="F50" s="2914" t="s">
        <v>2430</v>
      </c>
      <c r="G50" s="914"/>
      <c r="H50" s="904"/>
      <c r="I50" s="904"/>
    </row>
    <row r="51" spans="1:9" s="1254" customFormat="1" ht="14.25" thickBot="1">
      <c r="A51" s="4251"/>
      <c r="B51" s="4254"/>
      <c r="C51" s="2918" t="s">
        <v>2431</v>
      </c>
      <c r="D51" s="2919"/>
      <c r="E51" s="2920">
        <v>1</v>
      </c>
      <c r="F51" s="2914" t="s">
        <v>2432</v>
      </c>
      <c r="G51" s="914"/>
      <c r="H51" s="904"/>
      <c r="I51" s="904"/>
    </row>
    <row r="52" spans="1:9" s="1254" customFormat="1">
      <c r="A52" s="1255"/>
      <c r="B52" s="1255"/>
      <c r="C52" s="1255"/>
      <c r="D52" s="1255"/>
      <c r="E52" s="1255"/>
      <c r="F52" s="913"/>
      <c r="G52" s="913"/>
      <c r="H52" s="904"/>
      <c r="I52" s="904"/>
    </row>
    <row r="54" spans="1:9">
      <c r="A54" s="915"/>
      <c r="B54" s="889" t="s">
        <v>1162</v>
      </c>
      <c r="C54" s="889" t="s">
        <v>1162</v>
      </c>
      <c r="D54" s="889" t="s">
        <v>1162</v>
      </c>
      <c r="E54" s="931" t="s">
        <v>1162</v>
      </c>
      <c r="F54" s="931" t="s">
        <v>1163</v>
      </c>
      <c r="G54" s="931" t="s">
        <v>1162</v>
      </c>
      <c r="I54" s="887"/>
    </row>
    <row r="55" spans="1:9">
      <c r="A55" s="916"/>
      <c r="B55" s="931" t="s">
        <v>929</v>
      </c>
      <c r="C55" s="931" t="s">
        <v>929</v>
      </c>
      <c r="D55" s="931" t="s">
        <v>929</v>
      </c>
      <c r="E55" s="889" t="s">
        <v>951</v>
      </c>
      <c r="F55" s="889" t="s">
        <v>1158</v>
      </c>
      <c r="G55" s="889" t="s">
        <v>1164</v>
      </c>
      <c r="I55" s="887"/>
    </row>
    <row r="56" spans="1:9">
      <c r="A56" s="917"/>
      <c r="B56" s="889">
        <v>1</v>
      </c>
      <c r="C56" s="889">
        <v>2</v>
      </c>
      <c r="D56" s="889">
        <v>3</v>
      </c>
      <c r="E56" s="911" t="s">
        <v>2681</v>
      </c>
      <c r="F56" s="911" t="s">
        <v>2681</v>
      </c>
      <c r="G56" s="911" t="s">
        <v>2681</v>
      </c>
      <c r="I56" s="887"/>
    </row>
    <row r="57" spans="1:9">
      <c r="A57" s="930" t="s">
        <v>836</v>
      </c>
      <c r="B57" s="2904">
        <v>0.7</v>
      </c>
      <c r="C57" s="2904">
        <v>0.4</v>
      </c>
      <c r="D57" s="2904">
        <v>0.3</v>
      </c>
      <c r="E57" s="2910">
        <v>0.3</v>
      </c>
      <c r="F57" s="2904">
        <v>0.3</v>
      </c>
      <c r="G57" s="2904">
        <v>0.2</v>
      </c>
      <c r="I57" s="887"/>
    </row>
    <row r="58" spans="1:9">
      <c r="A58" s="930" t="s">
        <v>837</v>
      </c>
      <c r="B58" s="2904">
        <v>0.7</v>
      </c>
      <c r="C58" s="2904">
        <v>0.4</v>
      </c>
      <c r="D58" s="2904">
        <v>0.3</v>
      </c>
      <c r="E58" s="2904">
        <v>0.3</v>
      </c>
      <c r="F58" s="2904">
        <v>0.3</v>
      </c>
      <c r="G58" s="2904">
        <v>0.2</v>
      </c>
      <c r="I58" s="887"/>
    </row>
    <row r="59" spans="1:9">
      <c r="A59" s="930" t="s">
        <v>838</v>
      </c>
      <c r="B59" s="2904">
        <v>0.6</v>
      </c>
      <c r="C59" s="2904">
        <v>0.3</v>
      </c>
      <c r="D59" s="2904">
        <v>0.25</v>
      </c>
      <c r="E59" s="2904">
        <v>0.25</v>
      </c>
      <c r="F59" s="2904">
        <v>0.25</v>
      </c>
      <c r="G59" s="2904">
        <v>0.15</v>
      </c>
      <c r="I59" s="887"/>
    </row>
    <row r="60" spans="1:9">
      <c r="A60" s="930" t="s">
        <v>839</v>
      </c>
      <c r="B60" s="2904">
        <v>0.6</v>
      </c>
      <c r="C60" s="2904">
        <v>0.3</v>
      </c>
      <c r="D60" s="2904">
        <v>0.25</v>
      </c>
      <c r="E60" s="2904">
        <v>0.25</v>
      </c>
      <c r="F60" s="2904">
        <v>0.25</v>
      </c>
      <c r="G60" s="2904">
        <v>0.15</v>
      </c>
      <c r="I60" s="887"/>
    </row>
    <row r="61" spans="1:9" s="904" customFormat="1">
      <c r="A61" s="930" t="s">
        <v>840</v>
      </c>
      <c r="B61" s="2904">
        <v>0.6</v>
      </c>
      <c r="C61" s="2904">
        <v>0.3</v>
      </c>
      <c r="D61" s="2904">
        <v>0.25</v>
      </c>
      <c r="E61" s="2904">
        <v>0.25</v>
      </c>
      <c r="F61" s="2904">
        <v>0.25</v>
      </c>
      <c r="G61" s="2904">
        <v>0.15</v>
      </c>
    </row>
    <row r="62" spans="1:9" s="904" customFormat="1">
      <c r="A62" s="930" t="s">
        <v>841</v>
      </c>
      <c r="B62" s="2904">
        <v>0.6</v>
      </c>
      <c r="C62" s="2904">
        <v>0.3</v>
      </c>
      <c r="D62" s="2904">
        <v>0.25</v>
      </c>
      <c r="E62" s="2904">
        <v>0.25</v>
      </c>
      <c r="F62" s="2904">
        <v>0.25</v>
      </c>
      <c r="G62" s="2904">
        <v>0.15</v>
      </c>
    </row>
    <row r="63" spans="1:9" s="904" customFormat="1">
      <c r="A63" s="930" t="s">
        <v>842</v>
      </c>
      <c r="B63" s="2904">
        <v>0.6</v>
      </c>
      <c r="C63" s="2904">
        <v>0.3</v>
      </c>
      <c r="D63" s="2904">
        <v>0.25</v>
      </c>
      <c r="E63" s="2904">
        <v>0.25</v>
      </c>
      <c r="F63" s="2904">
        <v>0.25</v>
      </c>
      <c r="G63" s="2904">
        <v>0.15</v>
      </c>
    </row>
    <row r="64" spans="1:9" s="904" customFormat="1">
      <c r="A64" s="930" t="s">
        <v>843</v>
      </c>
      <c r="B64" s="2904">
        <v>0.5</v>
      </c>
      <c r="C64" s="2904">
        <v>0.2</v>
      </c>
      <c r="D64" s="2904">
        <v>0.2</v>
      </c>
      <c r="E64" s="2904">
        <v>0.2</v>
      </c>
      <c r="F64" s="2904">
        <v>0.2</v>
      </c>
      <c r="G64" s="2904">
        <v>0.1</v>
      </c>
    </row>
    <row r="65" spans="1:8" s="904" customFormat="1">
      <c r="A65" s="930" t="s">
        <v>844</v>
      </c>
      <c r="B65" s="2904">
        <v>0.5</v>
      </c>
      <c r="C65" s="2904">
        <v>0.2</v>
      </c>
      <c r="D65" s="2904">
        <v>0.2</v>
      </c>
      <c r="E65" s="2904">
        <v>0.2</v>
      </c>
      <c r="F65" s="2904">
        <v>0.2</v>
      </c>
      <c r="G65" s="2904">
        <v>0.1</v>
      </c>
    </row>
    <row r="66" spans="1:8" s="904" customFormat="1">
      <c r="A66" s="930" t="s">
        <v>845</v>
      </c>
      <c r="B66" s="2904">
        <v>0.5</v>
      </c>
      <c r="C66" s="2904">
        <v>0.2</v>
      </c>
      <c r="D66" s="2904">
        <v>0.2</v>
      </c>
      <c r="E66" s="2904">
        <v>0.2</v>
      </c>
      <c r="F66" s="2904">
        <v>0.2</v>
      </c>
      <c r="G66" s="2904">
        <v>0.1</v>
      </c>
    </row>
    <row r="67" spans="1:8" s="904" customFormat="1">
      <c r="A67" s="930" t="s">
        <v>846</v>
      </c>
      <c r="B67" s="2904">
        <v>0.5</v>
      </c>
      <c r="C67" s="2904">
        <v>0.2</v>
      </c>
      <c r="D67" s="2904">
        <v>0.2</v>
      </c>
      <c r="E67" s="2904">
        <v>0.2</v>
      </c>
      <c r="F67" s="2904">
        <v>0.2</v>
      </c>
      <c r="G67" s="2904">
        <v>0.1</v>
      </c>
    </row>
    <row r="68" spans="1:8" s="904" customFormat="1">
      <c r="A68" s="930" t="s">
        <v>847</v>
      </c>
      <c r="B68" s="2904">
        <v>0.5</v>
      </c>
      <c r="C68" s="2904">
        <v>0.2</v>
      </c>
      <c r="D68" s="2904">
        <v>0.2</v>
      </c>
      <c r="E68" s="2904">
        <v>0.2</v>
      </c>
      <c r="F68" s="2904">
        <v>0.2</v>
      </c>
      <c r="G68" s="2904">
        <v>0.1</v>
      </c>
    </row>
    <row r="70" spans="1:8" s="904" customFormat="1">
      <c r="A70" s="918"/>
      <c r="B70" s="909"/>
      <c r="C70" s="909"/>
      <c r="D70" s="909" t="s">
        <v>1165</v>
      </c>
      <c r="E70" s="909"/>
      <c r="F70" s="909"/>
    </row>
    <row r="71" spans="1:8" s="904" customFormat="1">
      <c r="A71" s="932" t="s">
        <v>1166</v>
      </c>
      <c r="B71" s="932" t="s">
        <v>1167</v>
      </c>
      <c r="C71" s="932" t="s">
        <v>1168</v>
      </c>
      <c r="D71" s="932" t="s">
        <v>1169</v>
      </c>
      <c r="E71" s="932" t="s">
        <v>1170</v>
      </c>
      <c r="F71" s="932" t="s">
        <v>1171</v>
      </c>
    </row>
    <row r="72" spans="1:8" s="904" customFormat="1">
      <c r="A72" s="932"/>
      <c r="B72" s="932"/>
      <c r="C72" s="932" t="s">
        <v>2433</v>
      </c>
      <c r="D72" s="932"/>
      <c r="E72" s="919" t="s">
        <v>1159</v>
      </c>
      <c r="F72" s="932" t="s">
        <v>1159</v>
      </c>
    </row>
    <row r="73" spans="1:8" s="904" customFormat="1">
      <c r="A73" s="2926">
        <v>1</v>
      </c>
      <c r="B73" s="4258" t="s">
        <v>2434</v>
      </c>
      <c r="C73" s="2904" t="s">
        <v>2435</v>
      </c>
      <c r="D73" s="2904" t="s">
        <v>2436</v>
      </c>
      <c r="E73" s="2927">
        <v>0.2</v>
      </c>
      <c r="F73" s="2926">
        <v>25</v>
      </c>
      <c r="H73" s="904">
        <f>SUMIF(C71:C139,'基准地价-商业'!C8,E71:E139)</f>
        <v>0</v>
      </c>
    </row>
    <row r="74" spans="1:8" s="904" customFormat="1" ht="24">
      <c r="A74" s="2926">
        <v>2</v>
      </c>
      <c r="B74" s="4253"/>
      <c r="C74" s="2904" t="s">
        <v>2437</v>
      </c>
      <c r="D74" s="2904" t="s">
        <v>2438</v>
      </c>
      <c r="E74" s="2927">
        <v>0.2</v>
      </c>
      <c r="F74" s="2926">
        <v>25</v>
      </c>
    </row>
    <row r="75" spans="1:8" s="904" customFormat="1" ht="24">
      <c r="A75" s="2926">
        <v>3</v>
      </c>
      <c r="B75" s="4253"/>
      <c r="C75" s="2904" t="s">
        <v>2439</v>
      </c>
      <c r="D75" s="2904" t="s">
        <v>2440</v>
      </c>
      <c r="E75" s="2927">
        <v>0.2</v>
      </c>
      <c r="F75" s="2926">
        <v>25</v>
      </c>
    </row>
    <row r="76" spans="1:8" s="904" customFormat="1">
      <c r="A76" s="2926">
        <v>4</v>
      </c>
      <c r="B76" s="4253"/>
      <c r="C76" s="2904" t="s">
        <v>2441</v>
      </c>
      <c r="D76" s="2904" t="s">
        <v>2442</v>
      </c>
      <c r="E76" s="2927">
        <v>0.15</v>
      </c>
      <c r="F76" s="2926">
        <v>20</v>
      </c>
    </row>
    <row r="77" spans="1:8" s="904" customFormat="1" ht="24">
      <c r="A77" s="2926">
        <v>5</v>
      </c>
      <c r="B77" s="4253"/>
      <c r="C77" s="2904" t="s">
        <v>2443</v>
      </c>
      <c r="D77" s="2904" t="s">
        <v>2444</v>
      </c>
      <c r="E77" s="2927">
        <v>0.15</v>
      </c>
      <c r="F77" s="2926">
        <v>20</v>
      </c>
    </row>
    <row r="78" spans="1:8" s="904" customFormat="1" ht="24">
      <c r="A78" s="2926">
        <v>6</v>
      </c>
      <c r="B78" s="4253"/>
      <c r="C78" s="2904" t="s">
        <v>2445</v>
      </c>
      <c r="D78" s="2904" t="s">
        <v>2446</v>
      </c>
      <c r="E78" s="2927">
        <v>0.15</v>
      </c>
      <c r="F78" s="2926">
        <v>20</v>
      </c>
    </row>
    <row r="79" spans="1:8" s="904" customFormat="1" ht="24">
      <c r="A79" s="2926">
        <v>7</v>
      </c>
      <c r="B79" s="4253"/>
      <c r="C79" s="2904" t="s">
        <v>2447</v>
      </c>
      <c r="D79" s="2904" t="s">
        <v>2448</v>
      </c>
      <c r="E79" s="2927">
        <v>0.15</v>
      </c>
      <c r="F79" s="2926">
        <v>20</v>
      </c>
    </row>
    <row r="80" spans="1:8" s="904" customFormat="1" ht="24">
      <c r="A80" s="2926">
        <v>8</v>
      </c>
      <c r="B80" s="4253"/>
      <c r="C80" s="2904" t="s">
        <v>2449</v>
      </c>
      <c r="D80" s="2904" t="s">
        <v>2450</v>
      </c>
      <c r="E80" s="2927">
        <v>0.1</v>
      </c>
      <c r="F80" s="2926">
        <v>15</v>
      </c>
    </row>
    <row r="81" spans="1:6" s="904" customFormat="1" ht="24">
      <c r="A81" s="2926">
        <v>9</v>
      </c>
      <c r="B81" s="4253"/>
      <c r="C81" s="2904" t="s">
        <v>2451</v>
      </c>
      <c r="D81" s="2904" t="s">
        <v>2452</v>
      </c>
      <c r="E81" s="2927">
        <v>0.1</v>
      </c>
      <c r="F81" s="2926">
        <v>15</v>
      </c>
    </row>
    <row r="82" spans="1:6" s="904" customFormat="1" ht="24">
      <c r="A82" s="2926">
        <v>10</v>
      </c>
      <c r="B82" s="4253"/>
      <c r="C82" s="2904" t="s">
        <v>2453</v>
      </c>
      <c r="D82" s="2904" t="s">
        <v>2454</v>
      </c>
      <c r="E82" s="2927">
        <v>0.1</v>
      </c>
      <c r="F82" s="2926">
        <v>15</v>
      </c>
    </row>
    <row r="83" spans="1:6" s="904" customFormat="1" ht="24">
      <c r="A83" s="2926">
        <v>11</v>
      </c>
      <c r="B83" s="4253"/>
      <c r="C83" s="2904" t="s">
        <v>2455</v>
      </c>
      <c r="D83" s="2904" t="s">
        <v>2456</v>
      </c>
      <c r="E83" s="2927">
        <v>0.1</v>
      </c>
      <c r="F83" s="2926">
        <v>15</v>
      </c>
    </row>
    <row r="84" spans="1:6" s="904" customFormat="1" ht="24">
      <c r="A84" s="2926">
        <v>12</v>
      </c>
      <c r="B84" s="4253"/>
      <c r="C84" s="2904" t="s">
        <v>2457</v>
      </c>
      <c r="D84" s="2904" t="s">
        <v>2458</v>
      </c>
      <c r="E84" s="2927">
        <v>0.1</v>
      </c>
      <c r="F84" s="2926">
        <v>15</v>
      </c>
    </row>
    <row r="85" spans="1:6" s="904" customFormat="1">
      <c r="A85" s="2926">
        <v>13</v>
      </c>
      <c r="B85" s="4253"/>
      <c r="C85" s="2904" t="s">
        <v>2459</v>
      </c>
      <c r="D85" s="2904" t="s">
        <v>2460</v>
      </c>
      <c r="E85" s="2927">
        <v>0.1</v>
      </c>
      <c r="F85" s="2926">
        <v>15</v>
      </c>
    </row>
    <row r="86" spans="1:6" s="904" customFormat="1">
      <c r="A86" s="2926">
        <v>14</v>
      </c>
      <c r="B86" s="4253"/>
      <c r="C86" s="2904" t="s">
        <v>2461</v>
      </c>
      <c r="D86" s="2904" t="s">
        <v>2462</v>
      </c>
      <c r="E86" s="2927">
        <v>0.1</v>
      </c>
      <c r="F86" s="2926">
        <v>15</v>
      </c>
    </row>
    <row r="87" spans="1:6" s="904" customFormat="1">
      <c r="A87" s="2926">
        <v>15</v>
      </c>
      <c r="B87" s="4253"/>
      <c r="C87" s="2904" t="s">
        <v>2463</v>
      </c>
      <c r="D87" s="2904" t="s">
        <v>2464</v>
      </c>
      <c r="E87" s="2927">
        <v>0.1</v>
      </c>
      <c r="F87" s="2926">
        <v>15</v>
      </c>
    </row>
    <row r="88" spans="1:6" s="904" customFormat="1" ht="24">
      <c r="A88" s="2926">
        <v>16</v>
      </c>
      <c r="B88" s="4253"/>
      <c r="C88" s="2904" t="s">
        <v>2465</v>
      </c>
      <c r="D88" s="2904" t="s">
        <v>2466</v>
      </c>
      <c r="E88" s="2927">
        <v>0.1</v>
      </c>
      <c r="F88" s="2926">
        <v>15</v>
      </c>
    </row>
    <row r="89" spans="1:6" s="904" customFormat="1" ht="24">
      <c r="A89" s="2926">
        <v>17</v>
      </c>
      <c r="B89" s="4259"/>
      <c r="C89" s="2904" t="s">
        <v>2467</v>
      </c>
      <c r="D89" s="2904" t="s">
        <v>2468</v>
      </c>
      <c r="E89" s="2927">
        <v>0.1</v>
      </c>
      <c r="F89" s="2926">
        <v>15</v>
      </c>
    </row>
    <row r="90" spans="1:6" s="904" customFormat="1">
      <c r="A90" s="2926">
        <v>18</v>
      </c>
      <c r="B90" s="4258" t="s">
        <v>2469</v>
      </c>
      <c r="C90" s="2904" t="s">
        <v>2470</v>
      </c>
      <c r="D90" s="2904" t="s">
        <v>2471</v>
      </c>
      <c r="E90" s="2927">
        <v>0.2</v>
      </c>
      <c r="F90" s="2926">
        <v>25</v>
      </c>
    </row>
    <row r="91" spans="1:6" s="904" customFormat="1" ht="24">
      <c r="A91" s="2926">
        <v>19</v>
      </c>
      <c r="B91" s="4253"/>
      <c r="C91" s="2904" t="s">
        <v>2472</v>
      </c>
      <c r="D91" s="2904" t="s">
        <v>2473</v>
      </c>
      <c r="E91" s="2927">
        <v>0.2</v>
      </c>
      <c r="F91" s="2926">
        <v>25</v>
      </c>
    </row>
    <row r="92" spans="1:6" s="904" customFormat="1">
      <c r="A92" s="2926">
        <v>20</v>
      </c>
      <c r="B92" s="4253"/>
      <c r="C92" s="2904" t="s">
        <v>2474</v>
      </c>
      <c r="D92" s="2904" t="s">
        <v>2475</v>
      </c>
      <c r="E92" s="2927">
        <v>0.15</v>
      </c>
      <c r="F92" s="2926">
        <v>20</v>
      </c>
    </row>
    <row r="93" spans="1:6" s="904" customFormat="1" ht="24">
      <c r="A93" s="2926">
        <v>21</v>
      </c>
      <c r="B93" s="4253"/>
      <c r="C93" s="2904" t="s">
        <v>2476</v>
      </c>
      <c r="D93" s="2904" t="s">
        <v>2477</v>
      </c>
      <c r="E93" s="2927">
        <v>0.15</v>
      </c>
      <c r="F93" s="2926">
        <v>20</v>
      </c>
    </row>
    <row r="94" spans="1:6" s="904" customFormat="1" ht="24">
      <c r="A94" s="2926">
        <v>22</v>
      </c>
      <c r="B94" s="4253"/>
      <c r="C94" s="2904" t="s">
        <v>2478</v>
      </c>
      <c r="D94" s="2904" t="s">
        <v>2479</v>
      </c>
      <c r="E94" s="2927">
        <v>0.15</v>
      </c>
      <c r="F94" s="2926">
        <v>20</v>
      </c>
    </row>
    <row r="95" spans="1:6" s="904" customFormat="1" ht="36">
      <c r="A95" s="2926">
        <v>23</v>
      </c>
      <c r="B95" s="4253"/>
      <c r="C95" s="2904" t="s">
        <v>2480</v>
      </c>
      <c r="D95" s="2904" t="s">
        <v>2481</v>
      </c>
      <c r="E95" s="2927">
        <v>0.15</v>
      </c>
      <c r="F95" s="2926">
        <v>20</v>
      </c>
    </row>
    <row r="96" spans="1:6" s="904" customFormat="1">
      <c r="A96" s="2926">
        <v>24</v>
      </c>
      <c r="B96" s="4253"/>
      <c r="C96" s="2904" t="s">
        <v>2482</v>
      </c>
      <c r="D96" s="2904" t="s">
        <v>2483</v>
      </c>
      <c r="E96" s="2927">
        <v>0.1</v>
      </c>
      <c r="F96" s="2926">
        <v>15</v>
      </c>
    </row>
    <row r="97" spans="1:6" s="904" customFormat="1" ht="24">
      <c r="A97" s="2926">
        <v>25</v>
      </c>
      <c r="B97" s="4253"/>
      <c r="C97" s="2904" t="s">
        <v>2484</v>
      </c>
      <c r="D97" s="2904" t="s">
        <v>2485</v>
      </c>
      <c r="E97" s="2927">
        <v>0.1</v>
      </c>
      <c r="F97" s="2926">
        <v>15</v>
      </c>
    </row>
    <row r="98" spans="1:6" s="904" customFormat="1" ht="24">
      <c r="A98" s="2926">
        <v>26</v>
      </c>
      <c r="B98" s="4253"/>
      <c r="C98" s="2904" t="s">
        <v>2486</v>
      </c>
      <c r="D98" s="2904" t="s">
        <v>2487</v>
      </c>
      <c r="E98" s="2927">
        <v>0.1</v>
      </c>
      <c r="F98" s="2926">
        <v>15</v>
      </c>
    </row>
    <row r="99" spans="1:6" s="904" customFormat="1" ht="24">
      <c r="A99" s="2926">
        <v>27</v>
      </c>
      <c r="B99" s="4253"/>
      <c r="C99" s="2904" t="s">
        <v>2488</v>
      </c>
      <c r="D99" s="2904" t="s">
        <v>2489</v>
      </c>
      <c r="E99" s="2927">
        <v>0.1</v>
      </c>
      <c r="F99" s="2926">
        <v>15</v>
      </c>
    </row>
    <row r="100" spans="1:6" s="904" customFormat="1" ht="24">
      <c r="A100" s="2926">
        <v>28</v>
      </c>
      <c r="B100" s="4253"/>
      <c r="C100" s="2904" t="s">
        <v>2490</v>
      </c>
      <c r="D100" s="2904" t="s">
        <v>2491</v>
      </c>
      <c r="E100" s="2927">
        <v>0.1</v>
      </c>
      <c r="F100" s="2926">
        <v>15</v>
      </c>
    </row>
    <row r="101" spans="1:6" s="904" customFormat="1" ht="24">
      <c r="A101" s="2926">
        <v>29</v>
      </c>
      <c r="B101" s="4253"/>
      <c r="C101" s="2904" t="s">
        <v>2492</v>
      </c>
      <c r="D101" s="2904" t="s">
        <v>2493</v>
      </c>
      <c r="E101" s="2927">
        <v>0.1</v>
      </c>
      <c r="F101" s="2926">
        <v>15</v>
      </c>
    </row>
    <row r="102" spans="1:6" s="904" customFormat="1" ht="24">
      <c r="A102" s="2926">
        <v>30</v>
      </c>
      <c r="B102" s="4253"/>
      <c r="C102" s="2904" t="s">
        <v>2494</v>
      </c>
      <c r="D102" s="2904" t="s">
        <v>2495</v>
      </c>
      <c r="E102" s="2927">
        <v>0.1</v>
      </c>
      <c r="F102" s="2926">
        <v>15</v>
      </c>
    </row>
    <row r="103" spans="1:6" s="904" customFormat="1" ht="24">
      <c r="A103" s="2926">
        <v>31</v>
      </c>
      <c r="B103" s="4253"/>
      <c r="C103" s="2904" t="s">
        <v>2496</v>
      </c>
      <c r="D103" s="2904" t="s">
        <v>2497</v>
      </c>
      <c r="E103" s="2927">
        <v>0.1</v>
      </c>
      <c r="F103" s="2926">
        <v>15</v>
      </c>
    </row>
    <row r="104" spans="1:6" s="904" customFormat="1" ht="24">
      <c r="A104" s="2926">
        <v>32</v>
      </c>
      <c r="B104" s="4253"/>
      <c r="C104" s="2904" t="s">
        <v>2498</v>
      </c>
      <c r="D104" s="2904" t="s">
        <v>2499</v>
      </c>
      <c r="E104" s="2927">
        <v>0.1</v>
      </c>
      <c r="F104" s="2926">
        <v>15</v>
      </c>
    </row>
    <row r="105" spans="1:6" s="904" customFormat="1" ht="24">
      <c r="A105" s="2926">
        <v>33</v>
      </c>
      <c r="B105" s="4253"/>
      <c r="C105" s="2904" t="s">
        <v>2500</v>
      </c>
      <c r="D105" s="2904" t="s">
        <v>2501</v>
      </c>
      <c r="E105" s="2927">
        <v>0.1</v>
      </c>
      <c r="F105" s="2926">
        <v>15</v>
      </c>
    </row>
    <row r="106" spans="1:6" s="904" customFormat="1" ht="24">
      <c r="A106" s="2926">
        <v>34</v>
      </c>
      <c r="B106" s="4259"/>
      <c r="C106" s="2904" t="s">
        <v>2502</v>
      </c>
      <c r="D106" s="2904" t="s">
        <v>2503</v>
      </c>
      <c r="E106" s="2927">
        <v>0.1</v>
      </c>
      <c r="F106" s="2926">
        <v>15</v>
      </c>
    </row>
    <row r="107" spans="1:6" s="904" customFormat="1" ht="24">
      <c r="A107" s="2926">
        <v>35</v>
      </c>
      <c r="B107" s="4258" t="s">
        <v>2504</v>
      </c>
      <c r="C107" s="2926" t="s">
        <v>2505</v>
      </c>
      <c r="D107" s="2904" t="s">
        <v>2506</v>
      </c>
      <c r="E107" s="2927">
        <v>0.15</v>
      </c>
      <c r="F107" s="2926">
        <v>20</v>
      </c>
    </row>
    <row r="108" spans="1:6" s="904" customFormat="1" ht="24">
      <c r="A108" s="2926">
        <v>36</v>
      </c>
      <c r="B108" s="4253"/>
      <c r="C108" s="2926" t="s">
        <v>2507</v>
      </c>
      <c r="D108" s="2904" t="s">
        <v>2508</v>
      </c>
      <c r="E108" s="2927">
        <v>0.15</v>
      </c>
      <c r="F108" s="2926">
        <v>20</v>
      </c>
    </row>
    <row r="109" spans="1:6" s="904" customFormat="1" ht="24">
      <c r="A109" s="2926">
        <v>37</v>
      </c>
      <c r="B109" s="4253"/>
      <c r="C109" s="2926" t="s">
        <v>2509</v>
      </c>
      <c r="D109" s="2904" t="s">
        <v>2510</v>
      </c>
      <c r="E109" s="2927">
        <v>0.15</v>
      </c>
      <c r="F109" s="2926">
        <v>20</v>
      </c>
    </row>
    <row r="110" spans="1:6" s="904" customFormat="1">
      <c r="A110" s="2926">
        <v>38</v>
      </c>
      <c r="B110" s="4253"/>
      <c r="C110" s="2926" t="s">
        <v>2511</v>
      </c>
      <c r="D110" s="2904" t="s">
        <v>2512</v>
      </c>
      <c r="E110" s="2927">
        <v>0.1</v>
      </c>
      <c r="F110" s="2926">
        <v>15</v>
      </c>
    </row>
    <row r="111" spans="1:6" s="904" customFormat="1" ht="24">
      <c r="A111" s="2926">
        <v>39</v>
      </c>
      <c r="B111" s="4253"/>
      <c r="C111" s="2926" t="s">
        <v>2513</v>
      </c>
      <c r="D111" s="2904" t="s">
        <v>2514</v>
      </c>
      <c r="E111" s="2927">
        <v>0.1</v>
      </c>
      <c r="F111" s="2926">
        <v>15</v>
      </c>
    </row>
    <row r="112" spans="1:6" s="904" customFormat="1" ht="24">
      <c r="A112" s="2926">
        <v>40</v>
      </c>
      <c r="B112" s="4259"/>
      <c r="C112" s="2926" t="s">
        <v>2515</v>
      </c>
      <c r="D112" s="2904" t="s">
        <v>2516</v>
      </c>
      <c r="E112" s="2927">
        <v>0.1</v>
      </c>
      <c r="F112" s="2926">
        <v>15</v>
      </c>
    </row>
    <row r="113" spans="1:6" s="904" customFormat="1" ht="24">
      <c r="A113" s="2926">
        <v>41</v>
      </c>
      <c r="B113" s="4260" t="s">
        <v>2517</v>
      </c>
      <c r="C113" s="2926" t="s">
        <v>2518</v>
      </c>
      <c r="D113" s="2904" t="s">
        <v>2519</v>
      </c>
      <c r="E113" s="2927">
        <v>0.1</v>
      </c>
      <c r="F113" s="2926">
        <v>15</v>
      </c>
    </row>
    <row r="114" spans="1:6" s="904" customFormat="1">
      <c r="A114" s="2926">
        <v>42</v>
      </c>
      <c r="B114" s="4260"/>
      <c r="C114" s="2926" t="s">
        <v>2520</v>
      </c>
      <c r="D114" s="2904" t="s">
        <v>2521</v>
      </c>
      <c r="E114" s="2927">
        <v>0.1</v>
      </c>
      <c r="F114" s="2926">
        <v>15</v>
      </c>
    </row>
    <row r="115" spans="1:6" s="904" customFormat="1" ht="24">
      <c r="A115" s="2926">
        <v>43</v>
      </c>
      <c r="B115" s="4260"/>
      <c r="C115" s="2926" t="s">
        <v>2522</v>
      </c>
      <c r="D115" s="2904" t="s">
        <v>2523</v>
      </c>
      <c r="E115" s="2927">
        <v>0.1</v>
      </c>
      <c r="F115" s="2926">
        <v>15</v>
      </c>
    </row>
    <row r="116" spans="1:6" s="904" customFormat="1" ht="24">
      <c r="A116" s="2926">
        <v>44</v>
      </c>
      <c r="B116" s="4258" t="s">
        <v>2524</v>
      </c>
      <c r="C116" s="2926" t="s">
        <v>2525</v>
      </c>
      <c r="D116" s="2904" t="s">
        <v>2526</v>
      </c>
      <c r="E116" s="2927">
        <v>0.1</v>
      </c>
      <c r="F116" s="2926">
        <v>15</v>
      </c>
    </row>
    <row r="117" spans="1:6" s="904" customFormat="1" ht="24">
      <c r="A117" s="2926">
        <v>45</v>
      </c>
      <c r="B117" s="4259"/>
      <c r="C117" s="2904" t="s">
        <v>2527</v>
      </c>
      <c r="D117" s="2904" t="s">
        <v>2528</v>
      </c>
      <c r="E117" s="2927">
        <v>0.1</v>
      </c>
      <c r="F117" s="2926">
        <v>15</v>
      </c>
    </row>
    <row r="118" spans="1:6" s="904" customFormat="1" ht="24">
      <c r="A118" s="2926">
        <v>46</v>
      </c>
      <c r="B118" s="4258" t="s">
        <v>2529</v>
      </c>
      <c r="C118" s="2926" t="s">
        <v>2530</v>
      </c>
      <c r="D118" s="2904" t="s">
        <v>2531</v>
      </c>
      <c r="E118" s="2927">
        <v>0.1</v>
      </c>
      <c r="F118" s="2926">
        <v>15</v>
      </c>
    </row>
    <row r="119" spans="1:6" s="904" customFormat="1" ht="24">
      <c r="A119" s="2926">
        <v>47</v>
      </c>
      <c r="B119" s="4259"/>
      <c r="C119" s="2926" t="s">
        <v>2532</v>
      </c>
      <c r="D119" s="2904" t="s">
        <v>2533</v>
      </c>
      <c r="E119" s="2927">
        <v>0.1</v>
      </c>
      <c r="F119" s="2926">
        <v>15</v>
      </c>
    </row>
    <row r="120" spans="1:6" s="904" customFormat="1" ht="24">
      <c r="A120" s="2926">
        <v>48</v>
      </c>
      <c r="B120" s="4258" t="s">
        <v>2534</v>
      </c>
      <c r="C120" s="2926" t="s">
        <v>2535</v>
      </c>
      <c r="D120" s="2904" t="s">
        <v>2536</v>
      </c>
      <c r="E120" s="2927">
        <v>0.1</v>
      </c>
      <c r="F120" s="2926">
        <v>15</v>
      </c>
    </row>
    <row r="121" spans="1:6" s="904" customFormat="1">
      <c r="A121" s="2926">
        <v>49</v>
      </c>
      <c r="B121" s="4259"/>
      <c r="C121" s="2926" t="s">
        <v>2537</v>
      </c>
      <c r="D121" s="2904" t="s">
        <v>2538</v>
      </c>
      <c r="E121" s="2927">
        <v>0.1</v>
      </c>
      <c r="F121" s="2926">
        <v>15</v>
      </c>
    </row>
    <row r="122" spans="1:6" s="904" customFormat="1" ht="24">
      <c r="A122" s="2926">
        <v>50</v>
      </c>
      <c r="B122" s="4260" t="s">
        <v>2539</v>
      </c>
      <c r="C122" s="2926" t="s">
        <v>2540</v>
      </c>
      <c r="D122" s="2904" t="s">
        <v>2541</v>
      </c>
      <c r="E122" s="2927">
        <v>0.1</v>
      </c>
      <c r="F122" s="2926">
        <v>15</v>
      </c>
    </row>
    <row r="123" spans="1:6" s="904" customFormat="1" ht="24">
      <c r="A123" s="2926">
        <v>51</v>
      </c>
      <c r="B123" s="4260"/>
      <c r="C123" s="2926" t="s">
        <v>2542</v>
      </c>
      <c r="D123" s="2904" t="s">
        <v>2543</v>
      </c>
      <c r="E123" s="2927">
        <v>0.1</v>
      </c>
      <c r="F123" s="2926">
        <v>15</v>
      </c>
    </row>
    <row r="124" spans="1:6" s="904" customFormat="1" ht="24">
      <c r="A124" s="2926">
        <v>52</v>
      </c>
      <c r="B124" s="4260" t="s">
        <v>2544</v>
      </c>
      <c r="C124" s="2926" t="s">
        <v>2545</v>
      </c>
      <c r="D124" s="2904" t="s">
        <v>2546</v>
      </c>
      <c r="E124" s="2927">
        <v>0.1</v>
      </c>
      <c r="F124" s="2926">
        <v>15</v>
      </c>
    </row>
    <row r="125" spans="1:6" s="904" customFormat="1" ht="24">
      <c r="A125" s="2926">
        <v>53</v>
      </c>
      <c r="B125" s="4260"/>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260" t="s">
        <v>2552</v>
      </c>
      <c r="C127" s="2926" t="s">
        <v>2553</v>
      </c>
      <c r="D127" s="2904" t="s">
        <v>2554</v>
      </c>
      <c r="E127" s="2927">
        <v>0.1</v>
      </c>
      <c r="F127" s="2926">
        <v>15</v>
      </c>
    </row>
    <row r="128" spans="1:6">
      <c r="A128" s="2926">
        <v>56</v>
      </c>
      <c r="B128" s="4260"/>
      <c r="C128" s="2926" t="s">
        <v>2555</v>
      </c>
      <c r="D128" s="2904" t="s">
        <v>2556</v>
      </c>
      <c r="E128" s="2927">
        <v>0.1</v>
      </c>
      <c r="F128" s="2926">
        <v>15</v>
      </c>
    </row>
    <row r="129" spans="1:14" ht="24">
      <c r="A129" s="2926">
        <v>57</v>
      </c>
      <c r="B129" s="4260"/>
      <c r="C129" s="2926" t="s">
        <v>2557</v>
      </c>
      <c r="D129" s="2904" t="s">
        <v>2558</v>
      </c>
      <c r="E129" s="2927">
        <v>0.1</v>
      </c>
      <c r="F129" s="2926">
        <v>15</v>
      </c>
    </row>
    <row r="130" spans="1:14" ht="24">
      <c r="A130" s="2926">
        <v>58</v>
      </c>
      <c r="B130" s="4260" t="s">
        <v>2559</v>
      </c>
      <c r="C130" s="2926" t="s">
        <v>2560</v>
      </c>
      <c r="D130" s="2904" t="s">
        <v>2561</v>
      </c>
      <c r="E130" s="2927">
        <v>0.1</v>
      </c>
      <c r="F130" s="2926">
        <v>15</v>
      </c>
    </row>
    <row r="131" spans="1:14" ht="24">
      <c r="A131" s="2926">
        <v>59</v>
      </c>
      <c r="B131" s="4260"/>
      <c r="C131" s="2926" t="s">
        <v>2562</v>
      </c>
      <c r="D131" s="2904" t="s">
        <v>2563</v>
      </c>
      <c r="E131" s="2927">
        <v>0.1</v>
      </c>
      <c r="F131" s="2926">
        <v>15</v>
      </c>
    </row>
    <row r="132" spans="1:14" ht="24">
      <c r="A132" s="2926">
        <v>60</v>
      </c>
      <c r="B132" s="4258" t="s">
        <v>2564</v>
      </c>
      <c r="C132" s="2926" t="s">
        <v>2565</v>
      </c>
      <c r="D132" s="2904" t="s">
        <v>2566</v>
      </c>
      <c r="E132" s="2927">
        <v>0.1</v>
      </c>
      <c r="F132" s="2926">
        <v>15</v>
      </c>
    </row>
    <row r="133" spans="1:14" ht="24">
      <c r="A133" s="2926">
        <v>61</v>
      </c>
      <c r="B133" s="4259"/>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260" t="s">
        <v>2572</v>
      </c>
      <c r="C135" s="2926" t="s">
        <v>2573</v>
      </c>
      <c r="D135" s="2904" t="s">
        <v>2574</v>
      </c>
      <c r="E135" s="2927">
        <v>0.1</v>
      </c>
      <c r="F135" s="2926">
        <v>15</v>
      </c>
    </row>
    <row r="136" spans="1:14">
      <c r="A136" s="2926">
        <v>64</v>
      </c>
      <c r="B136" s="4260"/>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2"/>
      <c r="B138" s="2884"/>
      <c r="C138" s="932"/>
      <c r="D138" s="889"/>
      <c r="E138" s="919"/>
      <c r="F138" s="932"/>
    </row>
    <row r="139" spans="1:14">
      <c r="A139" s="932"/>
      <c r="B139" s="932"/>
      <c r="C139" s="932"/>
      <c r="D139" s="932"/>
      <c r="E139" s="919"/>
      <c r="F139" s="932"/>
    </row>
    <row r="141" spans="1:14">
      <c r="A141" s="2990"/>
      <c r="B141" s="2990"/>
      <c r="C141" s="2990"/>
      <c r="D141" s="2990"/>
      <c r="E141" s="2990"/>
      <c r="F141" s="2990"/>
      <c r="G141" s="2990"/>
      <c r="H141" s="2990"/>
      <c r="I141" s="2990"/>
      <c r="J141" s="2990"/>
      <c r="K141" s="933"/>
      <c r="L141" s="933"/>
      <c r="M141" s="933"/>
      <c r="N141" s="933"/>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90"/>
    <col min="9" max="9" width="9" style="887"/>
    <col min="10" max="10" width="17.375" style="3111" customWidth="1"/>
    <col min="11" max="21" width="17.375" style="3085" customWidth="1"/>
    <col min="22" max="16384" width="9" style="887"/>
  </cols>
  <sheetData>
    <row r="1" spans="1:21">
      <c r="A1" s="4261" t="s">
        <v>2720</v>
      </c>
      <c r="B1" s="4261"/>
      <c r="C1" s="4261"/>
      <c r="D1" s="4261"/>
      <c r="E1" s="4261"/>
      <c r="F1" s="4261"/>
      <c r="G1" s="4262"/>
      <c r="I1" s="891"/>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1" customFormat="1" ht="19.5" customHeight="1">
      <c r="A3" s="4263" t="s">
        <v>2723</v>
      </c>
      <c r="B3" s="3067"/>
      <c r="C3" s="3068" t="s">
        <v>2700</v>
      </c>
      <c r="D3" s="3068" t="s">
        <v>2724</v>
      </c>
      <c r="E3" s="3068" t="s">
        <v>2702</v>
      </c>
      <c r="F3" s="3068" t="s">
        <v>2725</v>
      </c>
      <c r="G3" s="3068" t="s">
        <v>2644</v>
      </c>
      <c r="H3" s="894"/>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1" customFormat="1" ht="19.5" customHeight="1" thickBot="1">
      <c r="A4" s="4264"/>
      <c r="B4" s="3069" t="s">
        <v>2726</v>
      </c>
      <c r="C4" s="3069" t="s">
        <v>2727</v>
      </c>
      <c r="D4" s="3069" t="s">
        <v>2727</v>
      </c>
      <c r="E4" s="3069" t="s">
        <v>2727</v>
      </c>
      <c r="F4" s="3070" t="s">
        <v>2727</v>
      </c>
      <c r="G4" s="3070" t="s">
        <v>2727</v>
      </c>
      <c r="H4" s="894"/>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5" t="s">
        <v>961</v>
      </c>
      <c r="I5" s="896">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7" t="s">
        <v>1000</v>
      </c>
      <c r="I6" s="898">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7" t="s">
        <v>982</v>
      </c>
      <c r="C7" s="3075">
        <v>34850</v>
      </c>
      <c r="D7" s="3075">
        <v>34690</v>
      </c>
      <c r="E7" s="3075">
        <v>34550</v>
      </c>
      <c r="F7" s="3076">
        <v>14360</v>
      </c>
      <c r="G7" s="3076">
        <v>25620</v>
      </c>
      <c r="H7" s="897" t="s">
        <v>838</v>
      </c>
      <c r="I7" s="898">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7" t="s">
        <v>2931</v>
      </c>
    </row>
    <row r="8" spans="1:21" ht="14.25" customHeight="1">
      <c r="A8" s="3075" t="s">
        <v>990</v>
      </c>
      <c r="B8" s="3075" t="s">
        <v>991</v>
      </c>
      <c r="C8" s="3075">
        <v>32630</v>
      </c>
      <c r="D8" s="3075">
        <v>32510</v>
      </c>
      <c r="E8" s="3075">
        <v>32420</v>
      </c>
      <c r="F8" s="3076">
        <v>13300</v>
      </c>
      <c r="G8" s="3076">
        <v>24010</v>
      </c>
      <c r="H8" s="897" t="s">
        <v>839</v>
      </c>
      <c r="I8" s="898">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7" t="s">
        <v>840</v>
      </c>
      <c r="I9" s="898">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7" t="s">
        <v>841</v>
      </c>
      <c r="I10" s="898">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7" t="s">
        <v>973</v>
      </c>
      <c r="C11" s="3075">
        <v>31590</v>
      </c>
      <c r="D11" s="3075">
        <v>29490</v>
      </c>
      <c r="E11" s="3075">
        <v>28700</v>
      </c>
      <c r="F11" s="3081">
        <v>10410</v>
      </c>
      <c r="G11" s="3081">
        <v>21460</v>
      </c>
      <c r="H11" s="897" t="s">
        <v>842</v>
      </c>
      <c r="I11" s="898">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7" t="s">
        <v>983</v>
      </c>
      <c r="C12" s="3075">
        <v>29640</v>
      </c>
      <c r="D12" s="3075">
        <v>27550</v>
      </c>
      <c r="E12" s="3075">
        <v>28010</v>
      </c>
      <c r="F12" s="3081">
        <v>8730</v>
      </c>
      <c r="G12" s="3081">
        <v>20050</v>
      </c>
      <c r="H12" s="897" t="s">
        <v>843</v>
      </c>
      <c r="I12" s="898">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7" t="s">
        <v>992</v>
      </c>
      <c r="C13" s="3075">
        <v>29680</v>
      </c>
      <c r="D13" s="3075">
        <v>27660</v>
      </c>
      <c r="E13" s="3075">
        <v>28210</v>
      </c>
      <c r="F13" s="3081">
        <v>9590</v>
      </c>
      <c r="G13" s="3081">
        <v>20120</v>
      </c>
      <c r="H13" s="897" t="s">
        <v>844</v>
      </c>
      <c r="I13" s="898">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7" t="s">
        <v>1002</v>
      </c>
      <c r="C14" s="3075">
        <v>30520</v>
      </c>
      <c r="D14" s="3075">
        <v>29510</v>
      </c>
      <c r="E14" s="3075">
        <v>29400</v>
      </c>
      <c r="F14" s="3081">
        <v>9630</v>
      </c>
      <c r="G14" s="3081">
        <v>21480</v>
      </c>
      <c r="H14" s="897" t="s">
        <v>845</v>
      </c>
      <c r="I14" s="898">
        <f>SUMPRODUCT((B327:B357='基准地价-商业'!I2)*(C3:G3='基准地价-商业'!E2)*(C327:G357))</f>
        <v>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7" t="s">
        <v>1009</v>
      </c>
      <c r="C15" s="3075">
        <v>29090</v>
      </c>
      <c r="D15" s="3075">
        <v>27590</v>
      </c>
      <c r="E15" s="3075">
        <v>28120</v>
      </c>
      <c r="F15" s="3081">
        <v>9110</v>
      </c>
      <c r="G15" s="3081">
        <v>20070</v>
      </c>
      <c r="H15" s="897" t="s">
        <v>846</v>
      </c>
      <c r="I15" s="898">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7" t="s">
        <v>1015</v>
      </c>
      <c r="C16" s="3075">
        <v>26790</v>
      </c>
      <c r="D16" s="3075">
        <v>30370</v>
      </c>
      <c r="E16" s="3075">
        <v>30240</v>
      </c>
      <c r="F16" s="3081">
        <v>11590</v>
      </c>
      <c r="G16" s="3081">
        <v>22090</v>
      </c>
      <c r="H16" s="899" t="s">
        <v>847</v>
      </c>
      <c r="I16" s="900">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7" t="s">
        <v>1022</v>
      </c>
      <c r="C17" s="3075">
        <v>29180</v>
      </c>
      <c r="D17" s="3075">
        <v>27620</v>
      </c>
      <c r="E17" s="3075">
        <v>28180</v>
      </c>
      <c r="F17" s="3081">
        <v>10790</v>
      </c>
      <c r="G17" s="3082">
        <v>20090</v>
      </c>
      <c r="I17" s="901"/>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7" t="s">
        <v>1032</v>
      </c>
      <c r="C18" s="3075">
        <v>26840</v>
      </c>
      <c r="D18" s="3075">
        <v>28930</v>
      </c>
      <c r="E18" s="3075">
        <v>28820</v>
      </c>
      <c r="F18" s="3081"/>
      <c r="G18" s="3082">
        <v>21050</v>
      </c>
      <c r="I18" s="901"/>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7" t="s">
        <v>1041</v>
      </c>
      <c r="C19" s="3075">
        <v>27750</v>
      </c>
      <c r="D19" s="3075">
        <v>26680</v>
      </c>
      <c r="E19" s="3075">
        <v>26590</v>
      </c>
      <c r="F19" s="3081"/>
      <c r="G19" s="3082">
        <v>19420</v>
      </c>
      <c r="I19" s="901"/>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7"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7"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7"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7"/>
    </row>
    <row r="23" spans="1:20" ht="14.25" customHeight="1">
      <c r="A23" s="3075" t="s">
        <v>1031</v>
      </c>
      <c r="B23" s="1137"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7"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7"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7"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7"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5"/>
      <c r="D28" s="1135">
        <v>31520</v>
      </c>
      <c r="E28" s="1135">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7" t="s">
        <v>2732</v>
      </c>
      <c r="C30" s="1137">
        <v>26890</v>
      </c>
      <c r="D30" s="1137">
        <v>26770</v>
      </c>
      <c r="E30" s="1137">
        <v>25700</v>
      </c>
      <c r="F30" s="3076">
        <v>8180</v>
      </c>
      <c r="G30" s="3076">
        <v>18740</v>
      </c>
      <c r="I30" s="901"/>
      <c r="M30" s="3084" t="s">
        <v>2744</v>
      </c>
      <c r="N30" s="3075" t="s">
        <v>2751</v>
      </c>
      <c r="O30" s="3075" t="s">
        <v>2768</v>
      </c>
      <c r="P30" s="3075" t="s">
        <v>2815</v>
      </c>
      <c r="Q30" s="3075" t="s">
        <v>2845</v>
      </c>
      <c r="R30" s="3075" t="s">
        <v>2872</v>
      </c>
      <c r="S30" s="3084" t="s">
        <v>2911</v>
      </c>
    </row>
    <row r="31" spans="1:20" ht="14.25" customHeight="1">
      <c r="A31" s="3075" t="s">
        <v>1145</v>
      </c>
      <c r="B31" s="1137" t="s">
        <v>974</v>
      </c>
      <c r="C31" s="3075">
        <v>24550</v>
      </c>
      <c r="D31" s="3075">
        <v>23990</v>
      </c>
      <c r="E31" s="3075">
        <v>22930</v>
      </c>
      <c r="F31" s="3081">
        <v>7470</v>
      </c>
      <c r="G31" s="3081">
        <v>16790</v>
      </c>
      <c r="I31" s="901"/>
      <c r="M31" s="3084" t="s">
        <v>2745</v>
      </c>
      <c r="N31" s="3075" t="s">
        <v>2752</v>
      </c>
      <c r="O31" s="3075" t="s">
        <v>2769</v>
      </c>
      <c r="P31" s="3075" t="s">
        <v>2816</v>
      </c>
      <c r="Q31" s="3075" t="s">
        <v>2846</v>
      </c>
      <c r="R31" s="3075" t="s">
        <v>2873</v>
      </c>
      <c r="S31" s="3084" t="s">
        <v>2912</v>
      </c>
    </row>
    <row r="32" spans="1:20" ht="14.25" customHeight="1">
      <c r="A32" s="3075" t="s">
        <v>1145</v>
      </c>
      <c r="B32" s="1137" t="s">
        <v>984</v>
      </c>
      <c r="C32" s="3075">
        <v>27210</v>
      </c>
      <c r="D32" s="3075">
        <v>23240</v>
      </c>
      <c r="E32" s="3075">
        <v>23260</v>
      </c>
      <c r="F32" s="3081">
        <v>7130</v>
      </c>
      <c r="G32" s="3081">
        <v>16270</v>
      </c>
      <c r="I32" s="901"/>
      <c r="M32" s="3084" t="s">
        <v>2746</v>
      </c>
      <c r="N32" s="3075" t="s">
        <v>2753</v>
      </c>
      <c r="O32" s="3075" t="s">
        <v>1149</v>
      </c>
      <c r="P32" s="3075" t="s">
        <v>2817</v>
      </c>
      <c r="Q32" s="3075" t="s">
        <v>1148</v>
      </c>
      <c r="R32" s="3075" t="s">
        <v>2874</v>
      </c>
      <c r="S32" s="3084" t="s">
        <v>2913</v>
      </c>
    </row>
    <row r="33" spans="1:18" ht="14.25" customHeight="1">
      <c r="A33" s="3075" t="s">
        <v>1145</v>
      </c>
      <c r="B33" s="1137" t="s">
        <v>993</v>
      </c>
      <c r="C33" s="3075">
        <v>27300</v>
      </c>
      <c r="D33" s="3075">
        <v>22980</v>
      </c>
      <c r="E33" s="3075">
        <v>24260</v>
      </c>
      <c r="F33" s="3081">
        <v>5860</v>
      </c>
      <c r="G33" s="3081">
        <v>16090</v>
      </c>
      <c r="I33" s="901"/>
      <c r="M33" s="3084" t="s">
        <v>2747</v>
      </c>
      <c r="N33" s="3075" t="s">
        <v>2754</v>
      </c>
      <c r="O33" s="3075" t="s">
        <v>1150</v>
      </c>
      <c r="P33" s="3075" t="s">
        <v>2818</v>
      </c>
      <c r="Q33" s="3075" t="s">
        <v>2847</v>
      </c>
      <c r="R33" s="3075" t="s">
        <v>2875</v>
      </c>
    </row>
    <row r="34" spans="1:18" ht="14.25" customHeight="1">
      <c r="A34" s="3075" t="s">
        <v>1145</v>
      </c>
      <c r="B34" s="1137" t="s">
        <v>1003</v>
      </c>
      <c r="C34" s="3075">
        <v>23090</v>
      </c>
      <c r="D34" s="3075">
        <v>23390</v>
      </c>
      <c r="E34" s="3075">
        <v>23510</v>
      </c>
      <c r="F34" s="3081">
        <v>6700</v>
      </c>
      <c r="G34" s="3081">
        <v>16370</v>
      </c>
      <c r="I34" s="901"/>
      <c r="N34" s="3075" t="s">
        <v>2755</v>
      </c>
      <c r="O34" s="3075" t="s">
        <v>1151</v>
      </c>
      <c r="P34" s="3075" t="s">
        <v>2819</v>
      </c>
      <c r="Q34" s="3075" t="s">
        <v>2848</v>
      </c>
      <c r="R34" s="3075" t="s">
        <v>2876</v>
      </c>
    </row>
    <row r="35" spans="1:18" ht="14.25" customHeight="1">
      <c r="A35" s="3075" t="s">
        <v>1145</v>
      </c>
      <c r="B35" s="1137" t="s">
        <v>1010</v>
      </c>
      <c r="C35" s="3075">
        <v>27270</v>
      </c>
      <c r="D35" s="3075">
        <v>24270</v>
      </c>
      <c r="E35" s="3075">
        <v>24950</v>
      </c>
      <c r="F35" s="3081">
        <v>6600</v>
      </c>
      <c r="G35" s="3081">
        <v>16990</v>
      </c>
      <c r="I35" s="901"/>
      <c r="N35" s="3075" t="s">
        <v>2756</v>
      </c>
      <c r="O35" s="3075" t="s">
        <v>2770</v>
      </c>
      <c r="P35" s="3075" t="s">
        <v>2820</v>
      </c>
      <c r="Q35" s="3075" t="s">
        <v>2849</v>
      </c>
      <c r="R35" s="3075" t="s">
        <v>2877</v>
      </c>
    </row>
    <row r="36" spans="1:18" ht="14.25" customHeight="1">
      <c r="A36" s="3075" t="s">
        <v>1145</v>
      </c>
      <c r="B36" s="1137" t="s">
        <v>1016</v>
      </c>
      <c r="C36" s="3075">
        <v>23490</v>
      </c>
      <c r="D36" s="3075">
        <v>23020</v>
      </c>
      <c r="E36" s="3075">
        <v>25230</v>
      </c>
      <c r="F36" s="3081">
        <v>6780</v>
      </c>
      <c r="G36" s="3081">
        <v>16120</v>
      </c>
      <c r="I36" s="901"/>
      <c r="N36" s="3084" t="s">
        <v>2757</v>
      </c>
      <c r="O36" s="3112" t="s">
        <v>2771</v>
      </c>
      <c r="P36" s="3075" t="s">
        <v>2821</v>
      </c>
      <c r="Q36" s="3075" t="s">
        <v>2850</v>
      </c>
      <c r="R36" s="3075" t="s">
        <v>2878</v>
      </c>
    </row>
    <row r="37" spans="1:18" ht="14.25" customHeight="1">
      <c r="A37" s="3075" t="s">
        <v>1145</v>
      </c>
      <c r="B37" s="1137" t="s">
        <v>1023</v>
      </c>
      <c r="C37" s="3075">
        <v>24380</v>
      </c>
      <c r="D37" s="3075">
        <v>22240</v>
      </c>
      <c r="E37" s="3075">
        <v>25980</v>
      </c>
      <c r="F37" s="3081">
        <v>8160</v>
      </c>
      <c r="G37" s="3081">
        <v>15570</v>
      </c>
      <c r="I37" s="902"/>
      <c r="N37" s="3084" t="s">
        <v>2758</v>
      </c>
      <c r="O37" s="3112" t="s">
        <v>2772</v>
      </c>
      <c r="P37" s="3075" t="s">
        <v>2822</v>
      </c>
      <c r="Q37" s="3075" t="s">
        <v>2851</v>
      </c>
      <c r="R37" s="3075" t="s">
        <v>2879</v>
      </c>
    </row>
    <row r="38" spans="1:18" ht="14.25" customHeight="1">
      <c r="A38" s="3075" t="s">
        <v>1145</v>
      </c>
      <c r="B38" s="1137" t="s">
        <v>1033</v>
      </c>
      <c r="C38" s="3075">
        <v>23120</v>
      </c>
      <c r="D38" s="3075">
        <v>24630</v>
      </c>
      <c r="E38" s="3075">
        <v>25030</v>
      </c>
      <c r="F38" s="3081">
        <v>7710</v>
      </c>
      <c r="G38" s="3081">
        <v>17240</v>
      </c>
      <c r="I38" s="903"/>
      <c r="N38" s="3084" t="s">
        <v>2759</v>
      </c>
      <c r="O38" s="3112" t="s">
        <v>2773</v>
      </c>
      <c r="P38" s="3075" t="s">
        <v>2823</v>
      </c>
      <c r="Q38" s="3075" t="s">
        <v>2852</v>
      </c>
      <c r="R38" s="3075" t="s">
        <v>2880</v>
      </c>
    </row>
    <row r="39" spans="1:18" ht="14.25" customHeight="1">
      <c r="A39" s="3075" t="s">
        <v>1145</v>
      </c>
      <c r="B39" s="1137" t="s">
        <v>1042</v>
      </c>
      <c r="C39" s="3075">
        <v>22330</v>
      </c>
      <c r="D39" s="3075">
        <v>21140</v>
      </c>
      <c r="E39" s="3075">
        <v>23970</v>
      </c>
      <c r="F39" s="3081">
        <v>7940</v>
      </c>
      <c r="G39" s="3081">
        <v>14790</v>
      </c>
      <c r="I39" s="903"/>
      <c r="N39" s="3084" t="s">
        <v>2760</v>
      </c>
      <c r="O39" s="3112" t="s">
        <v>2774</v>
      </c>
      <c r="P39" s="3075" t="s">
        <v>2824</v>
      </c>
      <c r="Q39" s="3075" t="s">
        <v>2853</v>
      </c>
      <c r="R39" s="3075" t="s">
        <v>2881</v>
      </c>
    </row>
    <row r="40" spans="1:18" ht="14.25" customHeight="1">
      <c r="A40" s="3075" t="s">
        <v>1145</v>
      </c>
      <c r="B40" s="1137" t="s">
        <v>1049</v>
      </c>
      <c r="C40" s="3075">
        <v>24740</v>
      </c>
      <c r="D40" s="3075">
        <v>24690</v>
      </c>
      <c r="E40" s="3075">
        <v>22610</v>
      </c>
      <c r="F40" s="3081"/>
      <c r="G40" s="3081">
        <v>17280</v>
      </c>
      <c r="I40" s="903"/>
      <c r="N40" s="3084" t="s">
        <v>2761</v>
      </c>
      <c r="O40" s="3112" t="s">
        <v>2775</v>
      </c>
      <c r="P40" s="3075" t="s">
        <v>2825</v>
      </c>
      <c r="Q40" s="3075" t="s">
        <v>2854</v>
      </c>
      <c r="R40" s="3075" t="s">
        <v>2882</v>
      </c>
    </row>
    <row r="41" spans="1:18" ht="14.25" customHeight="1">
      <c r="A41" s="3075" t="s">
        <v>1145</v>
      </c>
      <c r="B41" s="1137" t="s">
        <v>1056</v>
      </c>
      <c r="C41" s="3075">
        <v>21220</v>
      </c>
      <c r="D41" s="3075">
        <v>21120</v>
      </c>
      <c r="E41" s="3075">
        <v>22590</v>
      </c>
      <c r="F41" s="3081"/>
      <c r="G41" s="3081">
        <v>14780</v>
      </c>
      <c r="I41" s="903"/>
      <c r="N41" s="3084" t="s">
        <v>2762</v>
      </c>
      <c r="O41" s="3113" t="s">
        <v>2776</v>
      </c>
      <c r="P41" s="1137" t="s">
        <v>2826</v>
      </c>
      <c r="Q41" s="3084" t="s">
        <v>2855</v>
      </c>
      <c r="R41" s="1137" t="s">
        <v>2883</v>
      </c>
    </row>
    <row r="42" spans="1:18" ht="14.25" customHeight="1">
      <c r="A42" s="3075" t="s">
        <v>1145</v>
      </c>
      <c r="B42" s="1137" t="s">
        <v>1063</v>
      </c>
      <c r="C42" s="3075">
        <v>24800</v>
      </c>
      <c r="D42" s="3075">
        <v>22280</v>
      </c>
      <c r="E42" s="3075">
        <v>24350</v>
      </c>
      <c r="F42" s="3081"/>
      <c r="G42" s="3081">
        <v>15590</v>
      </c>
      <c r="I42" s="903"/>
      <c r="O42" s="3075" t="s">
        <v>2777</v>
      </c>
      <c r="P42" s="3075" t="s">
        <v>2827</v>
      </c>
      <c r="Q42" s="3084" t="s">
        <v>2856</v>
      </c>
      <c r="R42" s="3075" t="s">
        <v>2884</v>
      </c>
    </row>
    <row r="43" spans="1:18" ht="14.25" customHeight="1">
      <c r="A43" s="3075" t="s">
        <v>1145</v>
      </c>
      <c r="B43" s="1137" t="s">
        <v>1071</v>
      </c>
      <c r="C43" s="3075">
        <v>21210</v>
      </c>
      <c r="D43" s="3075">
        <v>21160</v>
      </c>
      <c r="E43" s="3075">
        <v>22650</v>
      </c>
      <c r="F43" s="3081"/>
      <c r="G43" s="3081">
        <v>14800</v>
      </c>
      <c r="I43" s="903"/>
      <c r="O43" s="3075" t="s">
        <v>2778</v>
      </c>
      <c r="P43" s="3075" t="s">
        <v>2828</v>
      </c>
      <c r="Q43" s="3084" t="s">
        <v>2857</v>
      </c>
      <c r="R43" s="3075" t="s">
        <v>2885</v>
      </c>
    </row>
    <row r="44" spans="1:18" ht="14.25" customHeight="1">
      <c r="A44" s="3075" t="s">
        <v>1145</v>
      </c>
      <c r="B44" s="1137" t="s">
        <v>1079</v>
      </c>
      <c r="C44" s="3075">
        <v>22370</v>
      </c>
      <c r="D44" s="3075">
        <v>23140</v>
      </c>
      <c r="E44" s="3075">
        <v>25090</v>
      </c>
      <c r="F44" s="3081"/>
      <c r="G44" s="3081">
        <v>16190</v>
      </c>
      <c r="I44" s="903"/>
      <c r="O44" s="3075" t="s">
        <v>2779</v>
      </c>
      <c r="P44" s="3075" t="s">
        <v>2829</v>
      </c>
      <c r="Q44" s="3084" t="s">
        <v>2858</v>
      </c>
      <c r="R44" s="3075" t="s">
        <v>2886</v>
      </c>
    </row>
    <row r="45" spans="1:18" ht="14.25" customHeight="1">
      <c r="A45" s="3075" t="s">
        <v>1145</v>
      </c>
      <c r="B45" s="1137" t="s">
        <v>1084</v>
      </c>
      <c r="C45" s="3075">
        <v>21240</v>
      </c>
      <c r="D45" s="3075">
        <v>27050</v>
      </c>
      <c r="E45" s="3075">
        <v>28000</v>
      </c>
      <c r="F45" s="3081"/>
      <c r="G45" s="3081">
        <v>18940</v>
      </c>
      <c r="I45" s="901"/>
      <c r="O45" s="3075" t="s">
        <v>2780</v>
      </c>
      <c r="P45" s="3075" t="s">
        <v>2830</v>
      </c>
      <c r="R45" s="3075" t="s">
        <v>2887</v>
      </c>
    </row>
    <row r="46" spans="1:18" ht="14.25" customHeight="1">
      <c r="A46" s="3075" t="s">
        <v>1145</v>
      </c>
      <c r="B46" s="1137" t="s">
        <v>1093</v>
      </c>
      <c r="C46" s="3075">
        <v>23240</v>
      </c>
      <c r="D46" s="3075">
        <v>23000</v>
      </c>
      <c r="E46" s="3075">
        <v>24980</v>
      </c>
      <c r="F46" s="3081"/>
      <c r="G46" s="3081">
        <v>16100</v>
      </c>
      <c r="I46" s="903"/>
      <c r="O46" s="3075" t="s">
        <v>2781</v>
      </c>
      <c r="P46" s="3075"/>
      <c r="R46" s="3075" t="s">
        <v>2888</v>
      </c>
    </row>
    <row r="47" spans="1:18" ht="14.25" customHeight="1">
      <c r="A47" s="3075" t="s">
        <v>1145</v>
      </c>
      <c r="B47" s="2294" t="s">
        <v>1100</v>
      </c>
      <c r="C47" s="1135">
        <v>27150</v>
      </c>
      <c r="D47" s="1135">
        <v>23310</v>
      </c>
      <c r="E47" s="1135">
        <v>25150</v>
      </c>
      <c r="F47" s="3086"/>
      <c r="G47" s="3086">
        <v>16310</v>
      </c>
      <c r="I47" s="903"/>
      <c r="O47" s="3075" t="s">
        <v>2782</v>
      </c>
      <c r="P47" s="3075"/>
      <c r="R47" s="3084" t="s">
        <v>2889</v>
      </c>
    </row>
    <row r="48" spans="1:18" ht="14.25" customHeight="1">
      <c r="A48" s="3075" t="s">
        <v>1145</v>
      </c>
      <c r="B48" s="3075" t="s">
        <v>1108</v>
      </c>
      <c r="C48" s="3075">
        <v>23100</v>
      </c>
      <c r="D48" s="3075">
        <v>21110</v>
      </c>
      <c r="E48" s="3075">
        <v>23080</v>
      </c>
      <c r="F48" s="3081"/>
      <c r="G48" s="3088">
        <v>14780</v>
      </c>
      <c r="I48" s="901"/>
      <c r="O48" s="3075" t="s">
        <v>2783</v>
      </c>
      <c r="P48" s="3075"/>
      <c r="R48" s="3084" t="s">
        <v>2890</v>
      </c>
    </row>
    <row r="49" spans="1:18" ht="14.25" customHeight="1">
      <c r="A49" s="3075" t="s">
        <v>1145</v>
      </c>
      <c r="B49" s="1137" t="s">
        <v>1115</v>
      </c>
      <c r="C49" s="1137">
        <v>23400</v>
      </c>
      <c r="D49" s="1137">
        <v>22920</v>
      </c>
      <c r="E49" s="1137">
        <v>24900</v>
      </c>
      <c r="F49" s="3076"/>
      <c r="G49" s="3076">
        <v>16040</v>
      </c>
      <c r="I49" s="903"/>
      <c r="O49" s="3075" t="s">
        <v>2784</v>
      </c>
      <c r="P49" s="3075"/>
      <c r="R49" s="3084" t="s">
        <v>2891</v>
      </c>
    </row>
    <row r="50" spans="1:18" ht="14.25" customHeight="1">
      <c r="A50" s="3075" t="s">
        <v>1145</v>
      </c>
      <c r="B50" s="3075" t="s">
        <v>2733</v>
      </c>
      <c r="C50" s="3075">
        <v>21200</v>
      </c>
      <c r="D50" s="3075">
        <v>26540</v>
      </c>
      <c r="E50" s="3075">
        <v>23200</v>
      </c>
      <c r="F50" s="3081"/>
      <c r="G50" s="3081">
        <v>18580</v>
      </c>
      <c r="I50" s="903"/>
      <c r="O50" s="3084" t="s">
        <v>2785</v>
      </c>
      <c r="R50" s="3084" t="s">
        <v>2892</v>
      </c>
    </row>
    <row r="51" spans="1:18" ht="14.25" customHeight="1">
      <c r="A51" s="3075" t="s">
        <v>1145</v>
      </c>
      <c r="B51" s="3075" t="s">
        <v>2734</v>
      </c>
      <c r="C51" s="3075">
        <v>23000</v>
      </c>
      <c r="D51" s="3075">
        <v>23460</v>
      </c>
      <c r="E51" s="3075">
        <v>25290</v>
      </c>
      <c r="F51" s="3081"/>
      <c r="G51" s="3081">
        <v>16420</v>
      </c>
      <c r="I51" s="903"/>
      <c r="O51" s="3084" t="s">
        <v>2786</v>
      </c>
      <c r="R51" s="3084" t="s">
        <v>2893</v>
      </c>
    </row>
    <row r="52" spans="1:18" ht="14.25" customHeight="1">
      <c r="A52" s="3075" t="s">
        <v>1145</v>
      </c>
      <c r="B52" s="3075" t="s">
        <v>2735</v>
      </c>
      <c r="C52" s="3075">
        <v>26660</v>
      </c>
      <c r="D52" s="3075">
        <v>22350</v>
      </c>
      <c r="E52" s="3075">
        <v>22920</v>
      </c>
      <c r="F52" s="3081"/>
      <c r="G52" s="3081">
        <v>15640</v>
      </c>
      <c r="I52" s="903"/>
      <c r="O52" s="3084" t="s">
        <v>2787</v>
      </c>
    </row>
    <row r="53" spans="1:18" ht="14.25" customHeight="1">
      <c r="A53" s="3075" t="s">
        <v>1145</v>
      </c>
      <c r="B53" s="3075" t="s">
        <v>2736</v>
      </c>
      <c r="C53" s="3075">
        <v>23580</v>
      </c>
      <c r="D53" s="3075"/>
      <c r="E53" s="3075">
        <v>24280</v>
      </c>
      <c r="F53" s="3081"/>
      <c r="G53" s="3081"/>
      <c r="I53" s="903"/>
      <c r="O53" s="3084" t="s">
        <v>2788</v>
      </c>
    </row>
    <row r="54" spans="1:18" ht="14.25" customHeight="1" thickBot="1">
      <c r="A54" s="3090" t="s">
        <v>1145</v>
      </c>
      <c r="B54" s="3078" t="s">
        <v>2737</v>
      </c>
      <c r="C54" s="3078">
        <v>22460</v>
      </c>
      <c r="D54" s="3078"/>
      <c r="E54" s="3078"/>
      <c r="F54" s="3079"/>
      <c r="G54" s="3091"/>
      <c r="I54" s="903"/>
      <c r="O54" s="3084" t="s">
        <v>2789</v>
      </c>
    </row>
    <row r="55" spans="1:18" ht="14.25" customHeight="1">
      <c r="A55" s="3089" t="s">
        <v>853</v>
      </c>
      <c r="B55" s="1137" t="s">
        <v>2738</v>
      </c>
      <c r="C55" s="1137">
        <v>21970</v>
      </c>
      <c r="D55" s="1137">
        <v>20370</v>
      </c>
      <c r="E55" s="1137">
        <v>20180</v>
      </c>
      <c r="F55" s="3076">
        <v>5730</v>
      </c>
      <c r="G55" s="3076">
        <v>13820</v>
      </c>
      <c r="I55" s="903"/>
      <c r="O55" s="3084" t="s">
        <v>2790</v>
      </c>
    </row>
    <row r="56" spans="1:18" ht="14.25" customHeight="1">
      <c r="A56" s="3075" t="s">
        <v>853</v>
      </c>
      <c r="B56" s="3075" t="s">
        <v>975</v>
      </c>
      <c r="C56" s="3075">
        <v>20470</v>
      </c>
      <c r="D56" s="3075">
        <v>20700</v>
      </c>
      <c r="E56" s="3075">
        <v>20380</v>
      </c>
      <c r="F56" s="3081">
        <v>4760</v>
      </c>
      <c r="G56" s="3081">
        <v>14050</v>
      </c>
      <c r="I56" s="903"/>
      <c r="O56" s="3084" t="s">
        <v>2791</v>
      </c>
    </row>
    <row r="57" spans="1:18" ht="14.25" customHeight="1">
      <c r="A57" s="3075" t="s">
        <v>853</v>
      </c>
      <c r="B57" s="3075" t="s">
        <v>985</v>
      </c>
      <c r="C57" s="3075">
        <v>20790</v>
      </c>
      <c r="D57" s="3075">
        <v>21370</v>
      </c>
      <c r="E57" s="3075">
        <v>20890</v>
      </c>
      <c r="F57" s="3081">
        <v>4910</v>
      </c>
      <c r="G57" s="3081">
        <v>14510</v>
      </c>
      <c r="I57" s="903"/>
      <c r="O57" s="3084" t="s">
        <v>2792</v>
      </c>
    </row>
    <row r="58" spans="1:18" ht="14.25" customHeight="1">
      <c r="A58" s="3075" t="s">
        <v>853</v>
      </c>
      <c r="B58" s="3075" t="s">
        <v>994</v>
      </c>
      <c r="C58" s="3075">
        <v>21460</v>
      </c>
      <c r="D58" s="3075">
        <v>20920</v>
      </c>
      <c r="E58" s="3075">
        <v>23410</v>
      </c>
      <c r="F58" s="3081">
        <v>5100</v>
      </c>
      <c r="G58" s="3081">
        <v>14200</v>
      </c>
      <c r="I58" s="903"/>
      <c r="O58" s="3084" t="s">
        <v>2793</v>
      </c>
    </row>
    <row r="59" spans="1:18" ht="14.25" customHeight="1">
      <c r="A59" s="3075" t="s">
        <v>853</v>
      </c>
      <c r="B59" s="3075" t="s">
        <v>1004</v>
      </c>
      <c r="C59" s="3075">
        <v>21000</v>
      </c>
      <c r="D59" s="3075">
        <v>21550</v>
      </c>
      <c r="E59" s="3075">
        <v>21150</v>
      </c>
      <c r="F59" s="3081">
        <v>5250</v>
      </c>
      <c r="G59" s="3081">
        <v>14630</v>
      </c>
      <c r="I59" s="903"/>
      <c r="O59" s="3084" t="s">
        <v>2794</v>
      </c>
    </row>
    <row r="60" spans="1:18" ht="14.25" customHeight="1">
      <c r="A60" s="3075" t="s">
        <v>853</v>
      </c>
      <c r="B60" s="3075" t="s">
        <v>1011</v>
      </c>
      <c r="C60" s="3075">
        <v>21640</v>
      </c>
      <c r="D60" s="3075">
        <v>21260</v>
      </c>
      <c r="E60" s="3075">
        <v>24040</v>
      </c>
      <c r="F60" s="3081">
        <v>4470</v>
      </c>
      <c r="G60" s="3081">
        <v>14430</v>
      </c>
      <c r="I60" s="903"/>
      <c r="O60" s="3084" t="s">
        <v>2795</v>
      </c>
    </row>
    <row r="61" spans="1:18" ht="14.25" customHeight="1">
      <c r="A61" s="3075" t="s">
        <v>853</v>
      </c>
      <c r="B61" s="3075" t="s">
        <v>1017</v>
      </c>
      <c r="C61" s="3075">
        <v>21330</v>
      </c>
      <c r="D61" s="3075">
        <v>18640</v>
      </c>
      <c r="E61" s="3075">
        <v>21190</v>
      </c>
      <c r="F61" s="3081">
        <v>4180</v>
      </c>
      <c r="G61" s="3083">
        <v>12650</v>
      </c>
      <c r="I61" s="903"/>
      <c r="O61" s="3084" t="s">
        <v>2796</v>
      </c>
    </row>
    <row r="62" spans="1:18" ht="14.25" customHeight="1">
      <c r="A62" s="3075" t="s">
        <v>853</v>
      </c>
      <c r="B62" s="3075" t="s">
        <v>1024</v>
      </c>
      <c r="C62" s="3075">
        <v>18710</v>
      </c>
      <c r="D62" s="3075">
        <v>19400</v>
      </c>
      <c r="E62" s="3075">
        <v>23750</v>
      </c>
      <c r="F62" s="3081">
        <v>4860</v>
      </c>
      <c r="G62" s="3083">
        <v>13170</v>
      </c>
      <c r="I62" s="903"/>
      <c r="O62" s="3084" t="s">
        <v>2797</v>
      </c>
    </row>
    <row r="63" spans="1:18" ht="14.25" customHeight="1">
      <c r="A63" s="3075" t="s">
        <v>853</v>
      </c>
      <c r="B63" s="3075" t="s">
        <v>1034</v>
      </c>
      <c r="C63" s="3075">
        <v>19480</v>
      </c>
      <c r="D63" s="3075">
        <v>16830</v>
      </c>
      <c r="E63" s="3075">
        <v>21590</v>
      </c>
      <c r="F63" s="3081">
        <v>4560</v>
      </c>
      <c r="G63" s="3083">
        <v>11420</v>
      </c>
      <c r="I63" s="903"/>
      <c r="O63" s="3084" t="s">
        <v>2798</v>
      </c>
    </row>
    <row r="64" spans="1:18" ht="14.25" customHeight="1">
      <c r="A64" s="3075" t="s">
        <v>853</v>
      </c>
      <c r="B64" s="3075" t="s">
        <v>1043</v>
      </c>
      <c r="C64" s="3075">
        <v>16920</v>
      </c>
      <c r="D64" s="3075">
        <v>19190</v>
      </c>
      <c r="E64" s="3075">
        <v>22200</v>
      </c>
      <c r="F64" s="3081">
        <v>4390</v>
      </c>
      <c r="G64" s="3083">
        <v>13030</v>
      </c>
      <c r="I64" s="903"/>
      <c r="O64" s="3084" t="s">
        <v>2799</v>
      </c>
    </row>
    <row r="65" spans="1:21" s="890" customFormat="1" ht="14.25" customHeight="1">
      <c r="A65" s="3075" t="s">
        <v>853</v>
      </c>
      <c r="B65" s="3075" t="s">
        <v>1050</v>
      </c>
      <c r="C65" s="3075">
        <v>19290</v>
      </c>
      <c r="D65" s="3075">
        <v>17020</v>
      </c>
      <c r="E65" s="3075">
        <v>19880</v>
      </c>
      <c r="F65" s="3081">
        <v>4070</v>
      </c>
      <c r="G65" s="3081">
        <v>11550</v>
      </c>
      <c r="I65" s="903"/>
      <c r="J65" s="3111"/>
      <c r="K65" s="3111"/>
      <c r="L65" s="3111"/>
      <c r="M65" s="3111"/>
      <c r="N65" s="3111"/>
      <c r="O65" s="3111"/>
      <c r="P65" s="3111"/>
      <c r="Q65" s="3111"/>
      <c r="R65" s="3111"/>
      <c r="S65" s="3111"/>
      <c r="T65" s="3111"/>
      <c r="U65" s="3111"/>
    </row>
    <row r="66" spans="1:21" s="890" customFormat="1" ht="14.25" customHeight="1">
      <c r="A66" s="3075" t="s">
        <v>853</v>
      </c>
      <c r="B66" s="3075" t="s">
        <v>1057</v>
      </c>
      <c r="C66" s="3075">
        <v>17090</v>
      </c>
      <c r="D66" s="3075">
        <v>18340</v>
      </c>
      <c r="E66" s="3075">
        <v>21830</v>
      </c>
      <c r="F66" s="3081">
        <v>4690</v>
      </c>
      <c r="G66" s="3081">
        <v>12450</v>
      </c>
      <c r="I66" s="903"/>
      <c r="J66" s="3111"/>
      <c r="K66" s="3111"/>
      <c r="L66" s="3111"/>
      <c r="M66" s="3111"/>
      <c r="N66" s="3111"/>
      <c r="O66" s="3111"/>
      <c r="P66" s="3111"/>
      <c r="Q66" s="3111"/>
      <c r="R66" s="3111"/>
      <c r="S66" s="3111"/>
      <c r="T66" s="3111"/>
      <c r="U66" s="3111"/>
    </row>
    <row r="67" spans="1:21" s="890" customFormat="1" ht="14.25" customHeight="1">
      <c r="A67" s="3075" t="s">
        <v>853</v>
      </c>
      <c r="B67" s="3075" t="s">
        <v>1064</v>
      </c>
      <c r="C67" s="3075">
        <v>18420</v>
      </c>
      <c r="D67" s="3075">
        <v>16360</v>
      </c>
      <c r="E67" s="3075">
        <v>20020</v>
      </c>
      <c r="F67" s="3081">
        <v>5150</v>
      </c>
      <c r="G67" s="3081">
        <v>11110</v>
      </c>
      <c r="I67" s="903"/>
      <c r="J67" s="3111"/>
      <c r="K67" s="3111"/>
      <c r="L67" s="3111"/>
      <c r="M67" s="3111"/>
      <c r="N67" s="3111"/>
      <c r="O67" s="3111"/>
      <c r="P67" s="3111"/>
      <c r="Q67" s="3111"/>
      <c r="R67" s="3111"/>
      <c r="S67" s="3111"/>
      <c r="T67" s="3111"/>
      <c r="U67" s="3111"/>
    </row>
    <row r="68" spans="1:21" s="890" customFormat="1" ht="14.25" customHeight="1">
      <c r="A68" s="3075" t="s">
        <v>853</v>
      </c>
      <c r="B68" s="3075" t="s">
        <v>1072</v>
      </c>
      <c r="C68" s="3075">
        <v>16450</v>
      </c>
      <c r="D68" s="3075">
        <v>18430</v>
      </c>
      <c r="E68" s="3075">
        <v>21010</v>
      </c>
      <c r="F68" s="3081">
        <v>4720</v>
      </c>
      <c r="G68" s="3081">
        <v>12510</v>
      </c>
      <c r="I68" s="903"/>
      <c r="J68" s="3111"/>
      <c r="K68" s="3111"/>
      <c r="L68" s="3111"/>
      <c r="M68" s="3111"/>
      <c r="N68" s="3111"/>
      <c r="O68" s="3111"/>
      <c r="P68" s="3111"/>
      <c r="Q68" s="3111"/>
      <c r="R68" s="3111"/>
      <c r="S68" s="3111"/>
      <c r="T68" s="3111"/>
      <c r="U68" s="3111"/>
    </row>
    <row r="69" spans="1:21" s="890" customFormat="1" ht="14.25" customHeight="1">
      <c r="A69" s="3075" t="s">
        <v>853</v>
      </c>
      <c r="B69" s="3075" t="s">
        <v>1080</v>
      </c>
      <c r="C69" s="3075">
        <v>18510</v>
      </c>
      <c r="D69" s="3075">
        <v>16300</v>
      </c>
      <c r="E69" s="3075">
        <v>18830</v>
      </c>
      <c r="F69" s="3081">
        <v>5400</v>
      </c>
      <c r="G69" s="3081">
        <v>11070</v>
      </c>
      <c r="I69" s="903"/>
      <c r="J69" s="3111"/>
      <c r="K69" s="3111"/>
      <c r="L69" s="3111"/>
      <c r="M69" s="3111"/>
      <c r="N69" s="3111"/>
      <c r="O69" s="3111"/>
      <c r="P69" s="3111"/>
      <c r="Q69" s="3111"/>
      <c r="R69" s="3111"/>
      <c r="S69" s="3111"/>
      <c r="T69" s="3111"/>
      <c r="U69" s="3111"/>
    </row>
    <row r="70" spans="1:21" s="890" customFormat="1" ht="14.25" customHeight="1">
      <c r="A70" s="3075" t="s">
        <v>853</v>
      </c>
      <c r="B70" s="3075" t="s">
        <v>1085</v>
      </c>
      <c r="C70" s="3075">
        <v>16370</v>
      </c>
      <c r="D70" s="3075">
        <v>18620</v>
      </c>
      <c r="E70" s="3075">
        <v>21100</v>
      </c>
      <c r="F70" s="3081">
        <v>5700</v>
      </c>
      <c r="G70" s="3081">
        <v>12640</v>
      </c>
      <c r="I70" s="903"/>
      <c r="J70" s="3111"/>
      <c r="K70" s="3111"/>
      <c r="L70" s="3111"/>
      <c r="M70" s="3111"/>
      <c r="N70" s="3111"/>
      <c r="O70" s="3111"/>
      <c r="P70" s="3111"/>
      <c r="Q70" s="3111"/>
      <c r="R70" s="3111"/>
      <c r="S70" s="3111"/>
      <c r="T70" s="3111"/>
      <c r="U70" s="3111"/>
    </row>
    <row r="71" spans="1:21" s="890" customFormat="1" ht="14.25" customHeight="1">
      <c r="A71" s="3075" t="s">
        <v>853</v>
      </c>
      <c r="B71" s="3075" t="s">
        <v>1094</v>
      </c>
      <c r="C71" s="3075">
        <v>18700</v>
      </c>
      <c r="D71" s="3075">
        <v>16290</v>
      </c>
      <c r="E71" s="3075">
        <v>18760</v>
      </c>
      <c r="F71" s="3081">
        <v>4780</v>
      </c>
      <c r="G71" s="3081">
        <v>11050</v>
      </c>
      <c r="I71" s="903"/>
      <c r="J71" s="3111"/>
      <c r="K71" s="3111"/>
      <c r="L71" s="3111"/>
      <c r="M71" s="3111"/>
      <c r="N71" s="3111"/>
      <c r="O71" s="3111"/>
      <c r="P71" s="3111"/>
      <c r="Q71" s="3111"/>
      <c r="R71" s="3111"/>
      <c r="S71" s="3111"/>
      <c r="T71" s="3111"/>
      <c r="U71" s="3111"/>
    </row>
    <row r="72" spans="1:21" s="890" customFormat="1" ht="14.25" customHeight="1">
      <c r="A72" s="3075" t="s">
        <v>853</v>
      </c>
      <c r="B72" s="3075" t="s">
        <v>1101</v>
      </c>
      <c r="C72" s="3075">
        <v>16340</v>
      </c>
      <c r="D72" s="3075">
        <v>17520</v>
      </c>
      <c r="E72" s="3075">
        <v>21170</v>
      </c>
      <c r="F72" s="3081"/>
      <c r="G72" s="3081">
        <v>11900</v>
      </c>
      <c r="I72" s="903"/>
      <c r="J72" s="3111"/>
      <c r="K72" s="3111"/>
      <c r="L72" s="3111"/>
      <c r="M72" s="3111"/>
      <c r="N72" s="3111"/>
      <c r="O72" s="3111"/>
      <c r="P72" s="3111"/>
      <c r="Q72" s="3111"/>
      <c r="R72" s="3111"/>
      <c r="S72" s="3111"/>
      <c r="T72" s="3111"/>
      <c r="U72" s="3111"/>
    </row>
    <row r="73" spans="1:21" s="890" customFormat="1" ht="14.25" customHeight="1">
      <c r="A73" s="3075" t="s">
        <v>853</v>
      </c>
      <c r="B73" s="3075" t="s">
        <v>1109</v>
      </c>
      <c r="C73" s="3075">
        <v>17610</v>
      </c>
      <c r="D73" s="3075">
        <v>18520</v>
      </c>
      <c r="E73" s="3075">
        <v>18720</v>
      </c>
      <c r="F73" s="3081"/>
      <c r="G73" s="3081">
        <v>12570</v>
      </c>
      <c r="I73" s="903"/>
      <c r="J73" s="3111"/>
      <c r="K73" s="3111"/>
      <c r="L73" s="3111"/>
      <c r="M73" s="3111"/>
      <c r="N73" s="3111"/>
      <c r="O73" s="3111"/>
      <c r="P73" s="3111"/>
      <c r="Q73" s="3111"/>
      <c r="R73" s="3111"/>
      <c r="S73" s="3111"/>
      <c r="T73" s="3111"/>
      <c r="U73" s="3111"/>
    </row>
    <row r="74" spans="1:21" s="890" customFormat="1" ht="14.25" customHeight="1">
      <c r="A74" s="3075" t="s">
        <v>853</v>
      </c>
      <c r="B74" s="3075" t="s">
        <v>1116</v>
      </c>
      <c r="C74" s="3075">
        <v>18600</v>
      </c>
      <c r="D74" s="3075">
        <v>16480</v>
      </c>
      <c r="E74" s="3075">
        <v>20100</v>
      </c>
      <c r="F74" s="3081"/>
      <c r="G74" s="3081">
        <v>11190</v>
      </c>
      <c r="I74" s="903"/>
      <c r="J74" s="3111"/>
      <c r="K74" s="3111"/>
      <c r="L74" s="3111"/>
      <c r="M74" s="3111"/>
      <c r="N74" s="3111"/>
      <c r="O74" s="3111"/>
      <c r="P74" s="3111"/>
      <c r="Q74" s="3111"/>
      <c r="R74" s="3111"/>
      <c r="S74" s="3111"/>
      <c r="T74" s="3111"/>
      <c r="U74" s="3111"/>
    </row>
    <row r="75" spans="1:21" s="890" customFormat="1" ht="14.25" customHeight="1">
      <c r="A75" s="3075" t="s">
        <v>853</v>
      </c>
      <c r="B75" s="3075" t="s">
        <v>1120</v>
      </c>
      <c r="C75" s="3075">
        <v>16570</v>
      </c>
      <c r="D75" s="3075">
        <v>17530</v>
      </c>
      <c r="E75" s="3075">
        <v>21030</v>
      </c>
      <c r="F75" s="3081"/>
      <c r="G75" s="3088">
        <v>11900</v>
      </c>
      <c r="I75" s="903"/>
      <c r="J75" s="3111"/>
      <c r="K75" s="3111"/>
      <c r="L75" s="3111"/>
      <c r="M75" s="3111"/>
      <c r="N75" s="3111"/>
      <c r="O75" s="3111"/>
      <c r="P75" s="3111"/>
      <c r="Q75" s="3111"/>
      <c r="R75" s="3111"/>
      <c r="S75" s="3111"/>
      <c r="T75" s="3111"/>
      <c r="U75" s="3111"/>
    </row>
    <row r="76" spans="1:21" s="890" customFormat="1" ht="14.25" customHeight="1">
      <c r="A76" s="3075" t="s">
        <v>853</v>
      </c>
      <c r="B76" s="1137" t="s">
        <v>1127</v>
      </c>
      <c r="C76" s="1137">
        <v>17610</v>
      </c>
      <c r="D76" s="1137">
        <v>20800</v>
      </c>
      <c r="E76" s="1137">
        <v>18920</v>
      </c>
      <c r="F76" s="3076"/>
      <c r="G76" s="3076">
        <v>14120</v>
      </c>
      <c r="I76" s="903"/>
      <c r="J76" s="3111"/>
      <c r="K76" s="3111"/>
      <c r="L76" s="3111"/>
      <c r="M76" s="3111"/>
      <c r="N76" s="3111"/>
      <c r="O76" s="3111"/>
      <c r="P76" s="3111"/>
      <c r="Q76" s="3111"/>
      <c r="R76" s="3111"/>
      <c r="S76" s="3111"/>
      <c r="T76" s="3111"/>
      <c r="U76" s="3111"/>
    </row>
    <row r="77" spans="1:21" s="890" customFormat="1" ht="14.25" customHeight="1">
      <c r="A77" s="3075" t="s">
        <v>853</v>
      </c>
      <c r="B77" s="3075" t="s">
        <v>1130</v>
      </c>
      <c r="C77" s="3075">
        <v>20890</v>
      </c>
      <c r="D77" s="3075">
        <v>19740</v>
      </c>
      <c r="E77" s="3075">
        <v>20110</v>
      </c>
      <c r="F77" s="3081"/>
      <c r="G77" s="3081">
        <v>13400</v>
      </c>
      <c r="I77" s="903"/>
      <c r="J77" s="3111"/>
      <c r="K77" s="3111"/>
      <c r="L77" s="3111"/>
      <c r="M77" s="3111"/>
      <c r="N77" s="3111"/>
      <c r="O77" s="3111"/>
      <c r="P77" s="3111"/>
      <c r="Q77" s="3111"/>
      <c r="R77" s="3111"/>
      <c r="S77" s="3111"/>
      <c r="T77" s="3111"/>
      <c r="U77" s="3111"/>
    </row>
    <row r="78" spans="1:21" s="890" customFormat="1" ht="14.25" customHeight="1">
      <c r="A78" s="3075" t="s">
        <v>853</v>
      </c>
      <c r="B78" s="3075" t="s">
        <v>2739</v>
      </c>
      <c r="C78" s="3075">
        <v>19820</v>
      </c>
      <c r="D78" s="3075">
        <v>19780</v>
      </c>
      <c r="E78" s="3075">
        <v>18560</v>
      </c>
      <c r="F78" s="3081"/>
      <c r="G78" s="3081">
        <v>13430</v>
      </c>
      <c r="I78" s="903"/>
      <c r="J78" s="3111"/>
      <c r="K78" s="3111"/>
      <c r="L78" s="3111"/>
      <c r="M78" s="3111"/>
      <c r="N78" s="3111"/>
      <c r="O78" s="3111"/>
      <c r="P78" s="3111"/>
      <c r="Q78" s="3111"/>
      <c r="R78" s="3111"/>
      <c r="S78" s="3111"/>
      <c r="T78" s="3111"/>
      <c r="U78" s="3111"/>
    </row>
    <row r="79" spans="1:21" s="890" customFormat="1" ht="14.25" customHeight="1">
      <c r="A79" s="3075" t="s">
        <v>853</v>
      </c>
      <c r="B79" s="3075" t="s">
        <v>2740</v>
      </c>
      <c r="C79" s="3075">
        <v>21660</v>
      </c>
      <c r="D79" s="3075">
        <v>18000</v>
      </c>
      <c r="E79" s="3075">
        <v>22570</v>
      </c>
      <c r="F79" s="3081"/>
      <c r="G79" s="3081">
        <v>12220</v>
      </c>
      <c r="I79" s="903"/>
      <c r="J79" s="3111"/>
      <c r="K79" s="3111"/>
      <c r="L79" s="3111"/>
      <c r="M79" s="3111"/>
      <c r="N79" s="3111"/>
      <c r="O79" s="3111"/>
      <c r="P79" s="3111"/>
      <c r="Q79" s="3111"/>
      <c r="R79" s="3111"/>
      <c r="S79" s="3111"/>
      <c r="T79" s="3111"/>
      <c r="U79" s="3111"/>
    </row>
    <row r="80" spans="1:21" s="890" customFormat="1" ht="14.25" customHeight="1">
      <c r="A80" s="3075" t="s">
        <v>853</v>
      </c>
      <c r="B80" s="3075" t="s">
        <v>2741</v>
      </c>
      <c r="C80" s="3075">
        <v>19850</v>
      </c>
      <c r="D80" s="3075"/>
      <c r="E80" s="3075">
        <v>21700</v>
      </c>
      <c r="F80" s="3081"/>
      <c r="G80" s="3081"/>
      <c r="I80" s="903"/>
      <c r="J80" s="3111"/>
      <c r="K80" s="3111"/>
      <c r="L80" s="3111"/>
      <c r="M80" s="3111"/>
      <c r="N80" s="3111"/>
      <c r="O80" s="3111"/>
      <c r="P80" s="3111"/>
      <c r="Q80" s="3111"/>
      <c r="R80" s="3111"/>
      <c r="S80" s="3111"/>
      <c r="T80" s="3111"/>
      <c r="U80" s="3111"/>
    </row>
    <row r="81" spans="1:21" s="890" customFormat="1" ht="14.25" customHeight="1">
      <c r="A81" s="3075" t="s">
        <v>853</v>
      </c>
      <c r="B81" s="3075" t="s">
        <v>2742</v>
      </c>
      <c r="C81" s="3075">
        <v>18080</v>
      </c>
      <c r="D81" s="3075"/>
      <c r="E81" s="3075">
        <v>20900</v>
      </c>
      <c r="F81" s="3081"/>
      <c r="G81" s="3081"/>
      <c r="I81" s="903"/>
      <c r="J81" s="3111"/>
      <c r="K81" s="3111"/>
      <c r="L81" s="3111"/>
      <c r="M81" s="3111"/>
      <c r="N81" s="3111"/>
      <c r="O81" s="3111"/>
      <c r="P81" s="3111"/>
      <c r="Q81" s="3111"/>
      <c r="R81" s="3111"/>
      <c r="S81" s="3111"/>
      <c r="T81" s="3111"/>
      <c r="U81" s="3111"/>
    </row>
    <row r="82" spans="1:21" s="890" customFormat="1" ht="14.25" customHeight="1">
      <c r="A82" s="3075" t="s">
        <v>853</v>
      </c>
      <c r="B82" s="3075" t="s">
        <v>2743</v>
      </c>
      <c r="C82" s="3075"/>
      <c r="D82" s="3075"/>
      <c r="E82" s="3075">
        <v>20840</v>
      </c>
      <c r="F82" s="3081"/>
      <c r="G82" s="3081"/>
      <c r="I82" s="903"/>
      <c r="J82" s="3111"/>
      <c r="K82" s="3111"/>
      <c r="L82" s="3111"/>
      <c r="M82" s="3111"/>
      <c r="N82" s="3111"/>
      <c r="O82" s="3111"/>
      <c r="P82" s="3111"/>
      <c r="Q82" s="3111"/>
      <c r="R82" s="3111"/>
      <c r="S82" s="3111"/>
      <c r="T82" s="3111"/>
      <c r="U82" s="3111"/>
    </row>
    <row r="83" spans="1:21" s="890" customFormat="1" ht="14.25" customHeight="1">
      <c r="A83" s="3075" t="s">
        <v>853</v>
      </c>
      <c r="B83" s="3075" t="s">
        <v>2744</v>
      </c>
      <c r="C83" s="3075"/>
      <c r="D83" s="3075"/>
      <c r="E83" s="3075"/>
      <c r="F83" s="3081">
        <v>4770</v>
      </c>
      <c r="G83" s="3081"/>
      <c r="I83" s="903"/>
      <c r="J83" s="3111"/>
      <c r="K83" s="3111"/>
      <c r="L83" s="3111"/>
      <c r="M83" s="3111"/>
      <c r="N83" s="3111"/>
      <c r="O83" s="3111"/>
      <c r="P83" s="3111"/>
      <c r="Q83" s="3111"/>
      <c r="R83" s="3111"/>
      <c r="S83" s="3111"/>
      <c r="T83" s="3111"/>
      <c r="U83" s="3111"/>
    </row>
    <row r="84" spans="1:21" s="890" customFormat="1" ht="14.25" customHeight="1">
      <c r="A84" s="3075" t="s">
        <v>853</v>
      </c>
      <c r="B84" s="3075" t="s">
        <v>2745</v>
      </c>
      <c r="C84" s="3075"/>
      <c r="D84" s="3075"/>
      <c r="E84" s="3075"/>
      <c r="F84" s="3081">
        <v>4600</v>
      </c>
      <c r="G84" s="3081"/>
      <c r="I84" s="903"/>
      <c r="J84" s="3111"/>
      <c r="K84" s="3111"/>
      <c r="L84" s="3111"/>
      <c r="M84" s="3111"/>
      <c r="N84" s="3111"/>
      <c r="O84" s="3111"/>
      <c r="P84" s="3111"/>
      <c r="Q84" s="3111"/>
      <c r="R84" s="3111"/>
      <c r="S84" s="3111"/>
      <c r="T84" s="3111"/>
      <c r="U84" s="3111"/>
    </row>
    <row r="85" spans="1:21" s="890" customFormat="1" ht="14.25" customHeight="1">
      <c r="A85" s="3075" t="s">
        <v>853</v>
      </c>
      <c r="B85" s="1135" t="s">
        <v>2746</v>
      </c>
      <c r="C85" s="1135"/>
      <c r="D85" s="1135"/>
      <c r="E85" s="1135"/>
      <c r="F85" s="3086">
        <v>4680</v>
      </c>
      <c r="G85" s="3086"/>
      <c r="I85" s="903"/>
      <c r="J85" s="3111"/>
      <c r="K85" s="3111"/>
      <c r="L85" s="3111"/>
      <c r="M85" s="3111"/>
      <c r="N85" s="3111"/>
      <c r="O85" s="3111"/>
      <c r="P85" s="3111"/>
      <c r="Q85" s="3111"/>
      <c r="R85" s="3111"/>
      <c r="S85" s="3111"/>
      <c r="T85" s="3111"/>
      <c r="U85" s="3111"/>
    </row>
    <row r="86" spans="1:21" s="890" customFormat="1" ht="14.25" customHeight="1" thickBot="1">
      <c r="A86" s="3090" t="s">
        <v>853</v>
      </c>
      <c r="B86" s="3078" t="s">
        <v>2747</v>
      </c>
      <c r="C86" s="3078">
        <v>16610</v>
      </c>
      <c r="D86" s="3078">
        <v>16540</v>
      </c>
      <c r="E86" s="3078">
        <v>18850</v>
      </c>
      <c r="F86" s="3079"/>
      <c r="G86" s="3091">
        <v>11220</v>
      </c>
      <c r="I86" s="903"/>
      <c r="J86" s="3111"/>
      <c r="K86" s="3111"/>
      <c r="L86" s="3111"/>
      <c r="M86" s="3111"/>
      <c r="N86" s="3111"/>
      <c r="O86" s="3111"/>
      <c r="P86" s="3111"/>
      <c r="Q86" s="3111"/>
      <c r="R86" s="3111"/>
      <c r="S86" s="3111"/>
      <c r="T86" s="3111"/>
      <c r="U86" s="3111"/>
    </row>
    <row r="87" spans="1:21" s="890" customFormat="1" ht="14.25" customHeight="1">
      <c r="A87" s="3089" t="s">
        <v>1152</v>
      </c>
      <c r="B87" s="1137" t="s">
        <v>2748</v>
      </c>
      <c r="C87" s="1137">
        <v>15240</v>
      </c>
      <c r="D87" s="1137">
        <v>15170</v>
      </c>
      <c r="E87" s="1137">
        <v>18260</v>
      </c>
      <c r="F87" s="3076">
        <v>3830</v>
      </c>
      <c r="G87" s="3092">
        <v>10020</v>
      </c>
      <c r="I87" s="903"/>
      <c r="J87" s="3111"/>
      <c r="K87" s="3111"/>
      <c r="L87" s="3111"/>
      <c r="M87" s="3111"/>
      <c r="N87" s="3111"/>
      <c r="O87" s="3111"/>
      <c r="P87" s="3111"/>
      <c r="Q87" s="3111"/>
      <c r="R87" s="3111"/>
      <c r="S87" s="3111"/>
      <c r="T87" s="3111"/>
      <c r="U87" s="3111"/>
    </row>
    <row r="88" spans="1:21" s="890" customFormat="1" ht="14.25" customHeight="1">
      <c r="A88" s="3075" t="s">
        <v>1152</v>
      </c>
      <c r="B88" s="3075" t="s">
        <v>976</v>
      </c>
      <c r="C88" s="3075">
        <v>17310</v>
      </c>
      <c r="D88" s="3075">
        <v>17220</v>
      </c>
      <c r="E88" s="3075">
        <v>18610</v>
      </c>
      <c r="F88" s="3081">
        <v>3990</v>
      </c>
      <c r="G88" s="3083">
        <v>11380</v>
      </c>
      <c r="I88" s="903"/>
      <c r="J88" s="3111"/>
      <c r="K88" s="3111"/>
      <c r="L88" s="3111"/>
      <c r="M88" s="3111"/>
      <c r="N88" s="3111"/>
      <c r="O88" s="3111"/>
      <c r="P88" s="3111"/>
      <c r="Q88" s="3111"/>
      <c r="R88" s="3111"/>
      <c r="S88" s="3111"/>
      <c r="T88" s="3111"/>
      <c r="U88" s="3111"/>
    </row>
    <row r="89" spans="1:21" s="890" customFormat="1" ht="14.25" customHeight="1">
      <c r="A89" s="3075" t="s">
        <v>1152</v>
      </c>
      <c r="B89" s="3075" t="s">
        <v>986</v>
      </c>
      <c r="C89" s="3075">
        <v>15600</v>
      </c>
      <c r="D89" s="3075">
        <v>15550</v>
      </c>
      <c r="E89" s="3075">
        <v>19200</v>
      </c>
      <c r="F89" s="3081">
        <v>4110</v>
      </c>
      <c r="G89" s="3083">
        <v>10270</v>
      </c>
      <c r="I89" s="903"/>
      <c r="J89" s="3111"/>
      <c r="K89" s="3111"/>
      <c r="L89" s="3111"/>
      <c r="M89" s="3111"/>
      <c r="N89" s="3111"/>
      <c r="O89" s="3111"/>
      <c r="P89" s="3111"/>
      <c r="Q89" s="3111"/>
      <c r="R89" s="3111"/>
      <c r="S89" s="3111"/>
      <c r="T89" s="3111"/>
      <c r="U89" s="3111"/>
    </row>
    <row r="90" spans="1:21" s="890" customFormat="1" ht="14.25" customHeight="1">
      <c r="A90" s="3075" t="s">
        <v>1152</v>
      </c>
      <c r="B90" s="3075" t="s">
        <v>995</v>
      </c>
      <c r="C90" s="3075">
        <v>17330</v>
      </c>
      <c r="D90" s="3075">
        <v>17240</v>
      </c>
      <c r="E90" s="3075">
        <v>18570</v>
      </c>
      <c r="F90" s="3081">
        <v>4070</v>
      </c>
      <c r="G90" s="3083">
        <v>11390</v>
      </c>
      <c r="I90" s="903"/>
      <c r="J90" s="3111"/>
      <c r="K90" s="3111"/>
      <c r="L90" s="3111"/>
      <c r="M90" s="3111"/>
      <c r="N90" s="3111"/>
      <c r="O90" s="3111"/>
      <c r="P90" s="3111"/>
      <c r="Q90" s="3111"/>
      <c r="R90" s="3111"/>
      <c r="S90" s="3111"/>
      <c r="T90" s="3111"/>
      <c r="U90" s="3111"/>
    </row>
    <row r="91" spans="1:21" s="890" customFormat="1" ht="14.25" customHeight="1">
      <c r="A91" s="3075" t="s">
        <v>1152</v>
      </c>
      <c r="B91" s="3075" t="s">
        <v>1005</v>
      </c>
      <c r="C91" s="3075">
        <v>16330</v>
      </c>
      <c r="D91" s="3075">
        <v>16260</v>
      </c>
      <c r="E91" s="3075">
        <v>16800</v>
      </c>
      <c r="F91" s="3081">
        <v>3410</v>
      </c>
      <c r="G91" s="3083">
        <v>10740</v>
      </c>
      <c r="I91" s="903"/>
      <c r="J91" s="3111"/>
      <c r="K91" s="3111"/>
      <c r="L91" s="3111"/>
      <c r="M91" s="3111"/>
      <c r="N91" s="3111"/>
      <c r="O91" s="3111"/>
      <c r="P91" s="3111"/>
      <c r="Q91" s="3111"/>
      <c r="R91" s="3111"/>
      <c r="S91" s="3111"/>
      <c r="T91" s="3111"/>
      <c r="U91" s="3111"/>
    </row>
    <row r="92" spans="1:21" s="890" customFormat="1" ht="14.25" customHeight="1">
      <c r="A92" s="3075" t="s">
        <v>1152</v>
      </c>
      <c r="B92" s="3075" t="s">
        <v>1012</v>
      </c>
      <c r="C92" s="3075">
        <v>15570</v>
      </c>
      <c r="D92" s="3075">
        <v>15500</v>
      </c>
      <c r="E92" s="3075">
        <v>17360</v>
      </c>
      <c r="F92" s="3081">
        <v>3510</v>
      </c>
      <c r="G92" s="3083">
        <v>10240</v>
      </c>
      <c r="I92" s="903"/>
      <c r="J92" s="3111"/>
      <c r="K92" s="3111"/>
      <c r="L92" s="3111"/>
      <c r="M92" s="3111"/>
      <c r="N92" s="3111"/>
      <c r="O92" s="3111"/>
      <c r="P92" s="3111"/>
      <c r="Q92" s="3111"/>
      <c r="R92" s="3111"/>
      <c r="S92" s="3111"/>
      <c r="T92" s="3111"/>
      <c r="U92" s="3111"/>
    </row>
    <row r="93" spans="1:21" s="890" customFormat="1" ht="14.25" customHeight="1">
      <c r="A93" s="3075" t="s">
        <v>1152</v>
      </c>
      <c r="B93" s="3075" t="s">
        <v>1018</v>
      </c>
      <c r="C93" s="3075">
        <v>14000</v>
      </c>
      <c r="D93" s="3075">
        <v>13930</v>
      </c>
      <c r="E93" s="3075">
        <v>18200</v>
      </c>
      <c r="F93" s="3081">
        <v>3640</v>
      </c>
      <c r="G93" s="3083">
        <v>9210</v>
      </c>
      <c r="I93" s="903"/>
      <c r="J93" s="3111"/>
      <c r="K93" s="3111"/>
      <c r="L93" s="3111"/>
      <c r="M93" s="3111"/>
      <c r="N93" s="3111"/>
      <c r="O93" s="3111"/>
      <c r="P93" s="3111"/>
      <c r="Q93" s="3111"/>
      <c r="R93" s="3111"/>
      <c r="S93" s="3111"/>
      <c r="T93" s="3111"/>
      <c r="U93" s="3111"/>
    </row>
    <row r="94" spans="1:21" s="890" customFormat="1" ht="14.25" customHeight="1">
      <c r="A94" s="3075" t="s">
        <v>1152</v>
      </c>
      <c r="B94" s="3075" t="s">
        <v>1025</v>
      </c>
      <c r="C94" s="3075">
        <v>14530</v>
      </c>
      <c r="D94" s="3075">
        <v>14470</v>
      </c>
      <c r="E94" s="3075">
        <v>18240</v>
      </c>
      <c r="F94" s="3081">
        <v>3180</v>
      </c>
      <c r="G94" s="3083">
        <v>9560</v>
      </c>
      <c r="I94" s="903"/>
      <c r="J94" s="3111"/>
      <c r="K94" s="3111"/>
      <c r="L94" s="3111"/>
      <c r="M94" s="3111"/>
      <c r="N94" s="3111"/>
      <c r="O94" s="3111"/>
      <c r="P94" s="3111"/>
      <c r="Q94" s="3111"/>
      <c r="R94" s="3111"/>
      <c r="S94" s="3111"/>
      <c r="T94" s="3111"/>
      <c r="U94" s="3111"/>
    </row>
    <row r="95" spans="1:21" s="890" customFormat="1" ht="14.25" customHeight="1">
      <c r="A95" s="3075" t="s">
        <v>1152</v>
      </c>
      <c r="B95" s="3075" t="s">
        <v>1035</v>
      </c>
      <c r="C95" s="3075">
        <v>17330</v>
      </c>
      <c r="D95" s="3075">
        <v>17260</v>
      </c>
      <c r="E95" s="3075">
        <v>18420</v>
      </c>
      <c r="F95" s="3081">
        <v>3060</v>
      </c>
      <c r="G95" s="3081">
        <v>11410</v>
      </c>
      <c r="I95" s="903"/>
      <c r="J95" s="3111"/>
      <c r="K95" s="3111"/>
      <c r="L95" s="3111"/>
      <c r="M95" s="3111"/>
      <c r="N95" s="3111"/>
      <c r="O95" s="3111"/>
      <c r="P95" s="3111"/>
      <c r="Q95" s="3111"/>
      <c r="R95" s="3111"/>
      <c r="S95" s="3111"/>
      <c r="T95" s="3111"/>
      <c r="U95" s="3111"/>
    </row>
    <row r="96" spans="1:21" s="890" customFormat="1" ht="14.25" customHeight="1">
      <c r="A96" s="3075" t="s">
        <v>1152</v>
      </c>
      <c r="B96" s="3075" t="s">
        <v>1044</v>
      </c>
      <c r="C96" s="3075">
        <v>15030</v>
      </c>
      <c r="D96" s="3075">
        <v>14970</v>
      </c>
      <c r="E96" s="3075">
        <v>17580</v>
      </c>
      <c r="F96" s="3081">
        <v>2970</v>
      </c>
      <c r="G96" s="3081">
        <v>9890</v>
      </c>
      <c r="I96" s="903"/>
      <c r="J96" s="3111"/>
      <c r="K96" s="3111"/>
      <c r="L96" s="3111"/>
      <c r="M96" s="3111"/>
      <c r="N96" s="3111"/>
      <c r="O96" s="3111"/>
      <c r="P96" s="3111"/>
      <c r="Q96" s="3111"/>
      <c r="R96" s="3111"/>
      <c r="S96" s="3111"/>
      <c r="T96" s="3111"/>
      <c r="U96" s="3111"/>
    </row>
    <row r="97" spans="1:21" s="890" customFormat="1" ht="14.25" customHeight="1">
      <c r="A97" s="3075" t="s">
        <v>1152</v>
      </c>
      <c r="B97" s="3075" t="s">
        <v>1051</v>
      </c>
      <c r="C97" s="3075">
        <v>17400</v>
      </c>
      <c r="D97" s="3075">
        <v>17330</v>
      </c>
      <c r="E97" s="3075">
        <v>16430</v>
      </c>
      <c r="F97" s="3081">
        <v>2950</v>
      </c>
      <c r="G97" s="3081">
        <v>11450</v>
      </c>
      <c r="I97" s="903"/>
      <c r="J97" s="3111"/>
      <c r="K97" s="3111"/>
      <c r="L97" s="3111"/>
      <c r="M97" s="3111"/>
      <c r="N97" s="3111"/>
      <c r="O97" s="3111"/>
      <c r="P97" s="3111"/>
      <c r="Q97" s="3111"/>
      <c r="R97" s="3111"/>
      <c r="S97" s="3111"/>
      <c r="T97" s="3111"/>
      <c r="U97" s="3111"/>
    </row>
    <row r="98" spans="1:21" s="890" customFormat="1" ht="14.25" customHeight="1">
      <c r="A98" s="3075" t="s">
        <v>1152</v>
      </c>
      <c r="B98" s="3075" t="s">
        <v>1058</v>
      </c>
      <c r="C98" s="3075">
        <v>15200</v>
      </c>
      <c r="D98" s="3075">
        <v>15120</v>
      </c>
      <c r="E98" s="3075">
        <v>17550</v>
      </c>
      <c r="F98" s="3081">
        <v>3080</v>
      </c>
      <c r="G98" s="3081">
        <v>9990</v>
      </c>
      <c r="I98" s="903"/>
      <c r="J98" s="3111"/>
      <c r="K98" s="3111"/>
      <c r="L98" s="3111"/>
      <c r="M98" s="3111"/>
      <c r="N98" s="3111"/>
      <c r="O98" s="3111"/>
      <c r="P98" s="3111"/>
      <c r="Q98" s="3111"/>
      <c r="R98" s="3111"/>
      <c r="S98" s="3111"/>
      <c r="T98" s="3111"/>
      <c r="U98" s="3111"/>
    </row>
    <row r="99" spans="1:21" s="890" customFormat="1" ht="14.25" customHeight="1">
      <c r="A99" s="3075" t="s">
        <v>1152</v>
      </c>
      <c r="B99" s="3075" t="s">
        <v>1065</v>
      </c>
      <c r="C99" s="3075">
        <v>17520</v>
      </c>
      <c r="D99" s="3075">
        <v>17430</v>
      </c>
      <c r="E99" s="3075">
        <v>16350</v>
      </c>
      <c r="F99" s="3081">
        <v>3260</v>
      </c>
      <c r="G99" s="3081">
        <v>11510</v>
      </c>
      <c r="I99" s="903"/>
      <c r="J99" s="3111"/>
      <c r="K99" s="3111"/>
      <c r="L99" s="3111"/>
      <c r="M99" s="3111"/>
      <c r="N99" s="3111"/>
      <c r="O99" s="3111"/>
      <c r="P99" s="3111"/>
      <c r="Q99" s="3111"/>
      <c r="R99" s="3111"/>
      <c r="S99" s="3111"/>
      <c r="T99" s="3111"/>
      <c r="U99" s="3111"/>
    </row>
    <row r="100" spans="1:21" s="890" customFormat="1" ht="14.25" customHeight="1">
      <c r="A100" s="3075" t="s">
        <v>1152</v>
      </c>
      <c r="B100" s="3075" t="s">
        <v>1073</v>
      </c>
      <c r="C100" s="3075">
        <v>15340</v>
      </c>
      <c r="D100" s="3075">
        <v>15260</v>
      </c>
      <c r="E100" s="3075">
        <v>15930</v>
      </c>
      <c r="F100" s="3081">
        <v>2740</v>
      </c>
      <c r="G100" s="3081">
        <v>10080</v>
      </c>
      <c r="I100" s="903"/>
      <c r="J100" s="3111"/>
      <c r="K100" s="3111"/>
      <c r="L100" s="3111"/>
      <c r="M100" s="3111"/>
      <c r="N100" s="3111"/>
      <c r="O100" s="3111"/>
      <c r="P100" s="3111"/>
      <c r="Q100" s="3111"/>
      <c r="R100" s="3111"/>
      <c r="S100" s="3111"/>
      <c r="T100" s="3111"/>
      <c r="U100" s="3111"/>
    </row>
    <row r="101" spans="1:21" s="890" customFormat="1" ht="14.25" customHeight="1">
      <c r="A101" s="3075" t="s">
        <v>1152</v>
      </c>
      <c r="B101" s="3075" t="s">
        <v>1081</v>
      </c>
      <c r="C101" s="3075">
        <v>14620</v>
      </c>
      <c r="D101" s="3075">
        <v>14560</v>
      </c>
      <c r="E101" s="3075">
        <v>15570</v>
      </c>
      <c r="F101" s="3081">
        <v>3500</v>
      </c>
      <c r="G101" s="3081">
        <v>9630</v>
      </c>
      <c r="I101" s="903"/>
      <c r="J101" s="3111"/>
      <c r="K101" s="3111"/>
      <c r="L101" s="3111"/>
      <c r="M101" s="3111"/>
      <c r="N101" s="3111"/>
      <c r="O101" s="3111"/>
      <c r="P101" s="3111"/>
      <c r="Q101" s="3111"/>
      <c r="R101" s="3111"/>
      <c r="S101" s="3111"/>
      <c r="T101" s="3111"/>
      <c r="U101" s="3111"/>
    </row>
    <row r="102" spans="1:21" s="890" customFormat="1" ht="14.25" customHeight="1">
      <c r="A102" s="3075" t="s">
        <v>1152</v>
      </c>
      <c r="B102" s="3075" t="s">
        <v>1086</v>
      </c>
      <c r="C102" s="3075">
        <v>13680</v>
      </c>
      <c r="D102" s="3075">
        <v>13610</v>
      </c>
      <c r="E102" s="3075">
        <v>15690</v>
      </c>
      <c r="F102" s="3081">
        <v>2870</v>
      </c>
      <c r="G102" s="3081">
        <v>8990</v>
      </c>
      <c r="I102" s="903"/>
      <c r="J102" s="3111"/>
      <c r="K102" s="3111"/>
      <c r="L102" s="3111"/>
      <c r="M102" s="3111"/>
      <c r="N102" s="3111"/>
      <c r="O102" s="3111"/>
      <c r="P102" s="3111"/>
      <c r="Q102" s="3111"/>
      <c r="R102" s="3111"/>
      <c r="S102" s="3111"/>
      <c r="T102" s="3111"/>
      <c r="U102" s="3111"/>
    </row>
    <row r="103" spans="1:21" s="890" customFormat="1" ht="14.25" customHeight="1">
      <c r="A103" s="3075" t="s">
        <v>1152</v>
      </c>
      <c r="B103" s="3075" t="s">
        <v>1095</v>
      </c>
      <c r="C103" s="3075">
        <v>14620</v>
      </c>
      <c r="D103" s="3075">
        <v>14540</v>
      </c>
      <c r="E103" s="3075">
        <v>15240</v>
      </c>
      <c r="F103" s="3081">
        <v>2840</v>
      </c>
      <c r="G103" s="3081">
        <v>9610</v>
      </c>
      <c r="I103" s="903"/>
      <c r="J103" s="3111"/>
      <c r="K103" s="3111"/>
      <c r="L103" s="3111"/>
      <c r="M103" s="3111"/>
      <c r="N103" s="3111"/>
      <c r="O103" s="3111"/>
      <c r="P103" s="3111"/>
      <c r="Q103" s="3111"/>
      <c r="R103" s="3111"/>
      <c r="S103" s="3111"/>
      <c r="T103" s="3111"/>
      <c r="U103" s="3111"/>
    </row>
    <row r="104" spans="1:21" s="890" customFormat="1" ht="14.25" customHeight="1">
      <c r="A104" s="3075" t="s">
        <v>1152</v>
      </c>
      <c r="B104" s="3075" t="s">
        <v>1102</v>
      </c>
      <c r="C104" s="3075">
        <v>13610</v>
      </c>
      <c r="D104" s="3075">
        <v>13540</v>
      </c>
      <c r="E104" s="3075">
        <v>15750</v>
      </c>
      <c r="F104" s="3081">
        <v>2770</v>
      </c>
      <c r="G104" s="3081">
        <v>8940</v>
      </c>
      <c r="I104" s="903"/>
      <c r="J104" s="3111"/>
      <c r="K104" s="3111"/>
      <c r="L104" s="3111"/>
      <c r="M104" s="3111"/>
      <c r="N104" s="3111"/>
      <c r="O104" s="3111"/>
      <c r="P104" s="3111"/>
      <c r="Q104" s="3111"/>
      <c r="R104" s="3111"/>
      <c r="S104" s="3111"/>
      <c r="T104" s="3111"/>
      <c r="U104" s="3111"/>
    </row>
    <row r="105" spans="1:21" s="890" customFormat="1" ht="14.25" customHeight="1">
      <c r="A105" s="3075" t="s">
        <v>1152</v>
      </c>
      <c r="B105" s="3075" t="s">
        <v>1110</v>
      </c>
      <c r="C105" s="3075">
        <v>13310</v>
      </c>
      <c r="D105" s="3075">
        <v>13240</v>
      </c>
      <c r="E105" s="3075">
        <v>16280</v>
      </c>
      <c r="F105" s="3081">
        <v>3210</v>
      </c>
      <c r="G105" s="3081">
        <v>8750</v>
      </c>
      <c r="I105" s="903"/>
      <c r="J105" s="3111"/>
      <c r="K105" s="3111"/>
      <c r="L105" s="3111"/>
      <c r="M105" s="3111"/>
      <c r="N105" s="3111"/>
      <c r="O105" s="3111"/>
      <c r="P105" s="3111"/>
      <c r="Q105" s="3111"/>
      <c r="R105" s="3111"/>
      <c r="S105" s="3111"/>
      <c r="T105" s="3111"/>
      <c r="U105" s="3111"/>
    </row>
    <row r="106" spans="1:21" s="890" customFormat="1" ht="14.25" customHeight="1">
      <c r="A106" s="3075" t="s">
        <v>1152</v>
      </c>
      <c r="B106" s="3075" t="s">
        <v>1117</v>
      </c>
      <c r="C106" s="3075">
        <v>13010</v>
      </c>
      <c r="D106" s="3075">
        <v>12930</v>
      </c>
      <c r="E106" s="3075">
        <v>14960</v>
      </c>
      <c r="F106" s="3081">
        <v>3530</v>
      </c>
      <c r="G106" s="3081">
        <v>8550</v>
      </c>
      <c r="I106" s="903"/>
      <c r="J106" s="3111"/>
      <c r="K106" s="3111"/>
      <c r="L106" s="3111"/>
      <c r="M106" s="3111"/>
      <c r="N106" s="3111"/>
      <c r="O106" s="3111"/>
      <c r="P106" s="3111"/>
      <c r="Q106" s="3111"/>
      <c r="R106" s="3111"/>
      <c r="S106" s="3111"/>
      <c r="T106" s="3111"/>
      <c r="U106" s="3111"/>
    </row>
    <row r="107" spans="1:21" s="890" customFormat="1" ht="14.25" customHeight="1">
      <c r="A107" s="3075" t="s">
        <v>1152</v>
      </c>
      <c r="B107" s="3075" t="s">
        <v>1121</v>
      </c>
      <c r="C107" s="3075">
        <v>13070</v>
      </c>
      <c r="D107" s="3075">
        <v>13000</v>
      </c>
      <c r="E107" s="3075">
        <v>15910</v>
      </c>
      <c r="F107" s="3081">
        <v>3990</v>
      </c>
      <c r="G107" s="3081">
        <v>8580</v>
      </c>
      <c r="I107" s="903"/>
      <c r="J107" s="3111"/>
      <c r="K107" s="3111"/>
      <c r="L107" s="3111"/>
      <c r="M107" s="3111"/>
      <c r="N107" s="3111"/>
      <c r="O107" s="3111"/>
      <c r="P107" s="3111"/>
      <c r="Q107" s="3111"/>
      <c r="R107" s="3111"/>
      <c r="S107" s="3111"/>
      <c r="T107" s="3111"/>
      <c r="U107" s="3111"/>
    </row>
    <row r="108" spans="1:21" s="890" customFormat="1" ht="14.25" customHeight="1">
      <c r="A108" s="3075" t="s">
        <v>1152</v>
      </c>
      <c r="B108" s="3075" t="s">
        <v>1128</v>
      </c>
      <c r="C108" s="3075">
        <v>12640</v>
      </c>
      <c r="D108" s="3075">
        <v>12580</v>
      </c>
      <c r="E108" s="3075">
        <v>15730</v>
      </c>
      <c r="F108" s="3081"/>
      <c r="G108" s="3081">
        <v>8310</v>
      </c>
      <c r="I108" s="903"/>
      <c r="J108" s="3111"/>
      <c r="K108" s="3111"/>
      <c r="L108" s="3111"/>
      <c r="M108" s="3111"/>
      <c r="N108" s="3111"/>
      <c r="O108" s="3111"/>
      <c r="P108" s="3111"/>
      <c r="Q108" s="3111"/>
      <c r="R108" s="3111"/>
      <c r="S108" s="3111"/>
      <c r="T108" s="3111"/>
      <c r="U108" s="3111"/>
    </row>
    <row r="109" spans="1:21" s="890" customFormat="1" ht="14.25" customHeight="1">
      <c r="A109" s="3075" t="s">
        <v>1152</v>
      </c>
      <c r="B109" s="3075" t="s">
        <v>1131</v>
      </c>
      <c r="C109" s="3075">
        <v>13130</v>
      </c>
      <c r="D109" s="3075">
        <v>13070</v>
      </c>
      <c r="E109" s="3075">
        <v>15000</v>
      </c>
      <c r="F109" s="3081"/>
      <c r="G109" s="3088">
        <v>8630</v>
      </c>
      <c r="I109" s="903"/>
      <c r="J109" s="3111"/>
      <c r="K109" s="3111"/>
      <c r="L109" s="3111"/>
      <c r="M109" s="3111"/>
      <c r="N109" s="3111"/>
      <c r="O109" s="3111"/>
      <c r="P109" s="3111"/>
      <c r="Q109" s="3111"/>
      <c r="R109" s="3111"/>
      <c r="S109" s="3111"/>
      <c r="T109" s="3111"/>
      <c r="U109" s="3111"/>
    </row>
    <row r="110" spans="1:21" s="890" customFormat="1" ht="14.25" customHeight="1">
      <c r="A110" s="3075" t="s">
        <v>1152</v>
      </c>
      <c r="B110" s="1137" t="s">
        <v>1133</v>
      </c>
      <c r="C110" s="1137">
        <v>13560</v>
      </c>
      <c r="D110" s="1137">
        <v>13490</v>
      </c>
      <c r="E110" s="1137">
        <v>16300</v>
      </c>
      <c r="F110" s="3076"/>
      <c r="G110" s="3076">
        <v>8920</v>
      </c>
      <c r="I110" s="903"/>
      <c r="J110" s="3111"/>
      <c r="K110" s="3111"/>
      <c r="L110" s="3111"/>
      <c r="M110" s="3111"/>
      <c r="N110" s="3111"/>
      <c r="O110" s="3111"/>
      <c r="P110" s="3111"/>
      <c r="Q110" s="3111"/>
      <c r="R110" s="3111"/>
      <c r="S110" s="3111"/>
      <c r="T110" s="3111"/>
      <c r="U110" s="3111"/>
    </row>
    <row r="111" spans="1:21" s="890" customFormat="1" ht="14.25" customHeight="1">
      <c r="A111" s="3075" t="s">
        <v>1152</v>
      </c>
      <c r="B111" s="3075" t="s">
        <v>1136</v>
      </c>
      <c r="C111" s="3075">
        <v>12440</v>
      </c>
      <c r="D111" s="3075">
        <v>12380</v>
      </c>
      <c r="E111" s="3075">
        <v>17850</v>
      </c>
      <c r="F111" s="3081"/>
      <c r="G111" s="3081">
        <v>8180</v>
      </c>
      <c r="I111" s="903"/>
      <c r="J111" s="3111"/>
      <c r="K111" s="3111"/>
      <c r="L111" s="3111"/>
      <c r="M111" s="3111"/>
      <c r="N111" s="3111"/>
      <c r="O111" s="3111"/>
      <c r="P111" s="3111"/>
      <c r="Q111" s="3111"/>
      <c r="R111" s="3111"/>
      <c r="S111" s="3111"/>
      <c r="T111" s="3111"/>
      <c r="U111" s="3111"/>
    </row>
    <row r="112" spans="1:21" s="890" customFormat="1" ht="14.25" customHeight="1">
      <c r="A112" s="3075" t="s">
        <v>1152</v>
      </c>
      <c r="B112" s="3075" t="s">
        <v>1140</v>
      </c>
      <c r="C112" s="3075">
        <v>13260</v>
      </c>
      <c r="D112" s="3075">
        <v>13180</v>
      </c>
      <c r="E112" s="3075">
        <v>19740</v>
      </c>
      <c r="F112" s="3081"/>
      <c r="G112" s="3081">
        <v>8710</v>
      </c>
      <c r="I112" s="903"/>
      <c r="J112" s="3111"/>
      <c r="K112" s="3111"/>
      <c r="L112" s="3111"/>
      <c r="M112" s="3111"/>
      <c r="N112" s="3111"/>
      <c r="O112" s="3111"/>
      <c r="P112" s="3111"/>
      <c r="Q112" s="3111"/>
      <c r="R112" s="3111"/>
      <c r="S112" s="3111"/>
      <c r="T112" s="3111"/>
      <c r="U112" s="3111"/>
    </row>
    <row r="113" spans="1:21" s="890" customFormat="1" ht="14.25" customHeight="1">
      <c r="A113" s="3075" t="s">
        <v>1152</v>
      </c>
      <c r="B113" s="3075" t="s">
        <v>2749</v>
      </c>
      <c r="C113" s="3075">
        <v>15520</v>
      </c>
      <c r="D113" s="3075">
        <v>15450</v>
      </c>
      <c r="E113" s="3075"/>
      <c r="F113" s="3081"/>
      <c r="G113" s="3081">
        <v>10210</v>
      </c>
      <c r="I113" s="903"/>
      <c r="J113" s="3111"/>
      <c r="K113" s="3111"/>
      <c r="L113" s="3111"/>
      <c r="M113" s="3111"/>
      <c r="N113" s="3111"/>
      <c r="O113" s="3111"/>
      <c r="P113" s="3111"/>
      <c r="Q113" s="3111"/>
      <c r="R113" s="3111"/>
      <c r="S113" s="3111"/>
      <c r="T113" s="3111"/>
      <c r="U113" s="3111"/>
    </row>
    <row r="114" spans="1:21" s="890" customFormat="1" ht="14.25" customHeight="1">
      <c r="A114" s="3075" t="s">
        <v>1152</v>
      </c>
      <c r="B114" s="3075" t="s">
        <v>2750</v>
      </c>
      <c r="C114" s="3075">
        <v>13110</v>
      </c>
      <c r="D114" s="3075">
        <v>13050</v>
      </c>
      <c r="E114" s="3075"/>
      <c r="F114" s="3081"/>
      <c r="G114" s="3081">
        <v>8620</v>
      </c>
      <c r="I114" s="903"/>
      <c r="J114" s="3111"/>
      <c r="K114" s="3111"/>
      <c r="L114" s="3111"/>
      <c r="M114" s="3111"/>
      <c r="N114" s="3111"/>
      <c r="O114" s="3111"/>
      <c r="P114" s="3111"/>
      <c r="Q114" s="3111"/>
      <c r="R114" s="3111"/>
      <c r="S114" s="3111"/>
      <c r="T114" s="3111"/>
      <c r="U114" s="3111"/>
    </row>
    <row r="115" spans="1:21" s="890" customFormat="1" ht="14.25" customHeight="1">
      <c r="A115" s="3075" t="s">
        <v>1152</v>
      </c>
      <c r="B115" s="3075" t="s">
        <v>2751</v>
      </c>
      <c r="C115" s="3075">
        <v>12460</v>
      </c>
      <c r="D115" s="3075">
        <v>12390</v>
      </c>
      <c r="E115" s="3075"/>
      <c r="F115" s="3081"/>
      <c r="G115" s="3081">
        <v>8190</v>
      </c>
      <c r="I115" s="903"/>
      <c r="J115" s="3111"/>
      <c r="K115" s="3111"/>
      <c r="L115" s="3111"/>
      <c r="M115" s="3111"/>
      <c r="N115" s="3111"/>
      <c r="O115" s="3111"/>
      <c r="P115" s="3111"/>
      <c r="Q115" s="3111"/>
      <c r="R115" s="3111"/>
      <c r="S115" s="3111"/>
      <c r="T115" s="3111"/>
      <c r="U115" s="3111"/>
    </row>
    <row r="116" spans="1:21" s="890" customFormat="1" ht="14.25" customHeight="1">
      <c r="A116" s="3075" t="s">
        <v>1152</v>
      </c>
      <c r="B116" s="3075" t="s">
        <v>2752</v>
      </c>
      <c r="C116" s="3075">
        <v>13580</v>
      </c>
      <c r="D116" s="3075">
        <v>13520</v>
      </c>
      <c r="E116" s="3075"/>
      <c r="F116" s="3081"/>
      <c r="G116" s="3081">
        <v>8930</v>
      </c>
      <c r="I116" s="903"/>
      <c r="J116" s="3111"/>
      <c r="K116" s="3111"/>
      <c r="L116" s="3111"/>
      <c r="M116" s="3111"/>
      <c r="N116" s="3111"/>
      <c r="O116" s="3111"/>
      <c r="P116" s="3111"/>
      <c r="Q116" s="3111"/>
      <c r="R116" s="3111"/>
      <c r="S116" s="3111"/>
      <c r="T116" s="3111"/>
      <c r="U116" s="3111"/>
    </row>
    <row r="117" spans="1:21" s="890" customFormat="1" ht="14.25" customHeight="1">
      <c r="A117" s="3075" t="s">
        <v>1152</v>
      </c>
      <c r="B117" s="3075" t="s">
        <v>2753</v>
      </c>
      <c r="C117" s="3075">
        <v>17120</v>
      </c>
      <c r="D117" s="3075">
        <v>17040</v>
      </c>
      <c r="E117" s="3075"/>
      <c r="F117" s="3081"/>
      <c r="G117" s="3081">
        <v>11260</v>
      </c>
      <c r="I117" s="903"/>
      <c r="J117" s="3111"/>
      <c r="K117" s="3111"/>
      <c r="L117" s="3111"/>
      <c r="M117" s="3111"/>
      <c r="N117" s="3111"/>
      <c r="O117" s="3111"/>
      <c r="P117" s="3111"/>
      <c r="Q117" s="3111"/>
      <c r="R117" s="3111"/>
      <c r="S117" s="3111"/>
      <c r="T117" s="3111"/>
      <c r="U117" s="3111"/>
    </row>
    <row r="118" spans="1:21" s="890" customFormat="1" ht="14.25" customHeight="1">
      <c r="A118" s="3075" t="s">
        <v>1152</v>
      </c>
      <c r="B118" s="3075" t="s">
        <v>2754</v>
      </c>
      <c r="C118" s="3075">
        <v>14860</v>
      </c>
      <c r="D118" s="3075">
        <v>14790</v>
      </c>
      <c r="E118" s="3075"/>
      <c r="F118" s="3081"/>
      <c r="G118" s="3081">
        <v>9780</v>
      </c>
      <c r="I118" s="903"/>
      <c r="J118" s="3111"/>
      <c r="K118" s="3111"/>
      <c r="L118" s="3111"/>
      <c r="M118" s="3111"/>
      <c r="N118" s="3111"/>
      <c r="O118" s="3111"/>
      <c r="P118" s="3111"/>
      <c r="Q118" s="3111"/>
      <c r="R118" s="3111"/>
      <c r="S118" s="3111"/>
      <c r="T118" s="3111"/>
      <c r="U118" s="3111"/>
    </row>
    <row r="119" spans="1:21" s="890" customFormat="1" ht="14.25" customHeight="1">
      <c r="A119" s="3075" t="s">
        <v>1152</v>
      </c>
      <c r="B119" s="3075" t="s">
        <v>2755</v>
      </c>
      <c r="C119" s="3075">
        <v>16470</v>
      </c>
      <c r="D119" s="3075">
        <v>16400</v>
      </c>
      <c r="E119" s="3075"/>
      <c r="F119" s="3081"/>
      <c r="G119" s="3081">
        <v>10840</v>
      </c>
      <c r="I119" s="903"/>
      <c r="J119" s="3111"/>
      <c r="K119" s="3111"/>
      <c r="L119" s="3111"/>
      <c r="M119" s="3111"/>
      <c r="N119" s="3111"/>
      <c r="O119" s="3111"/>
      <c r="P119" s="3111"/>
      <c r="Q119" s="3111"/>
      <c r="R119" s="3111"/>
      <c r="S119" s="3111"/>
      <c r="T119" s="3111"/>
      <c r="U119" s="3111"/>
    </row>
    <row r="120" spans="1:21" s="890" customFormat="1" ht="14.25" customHeight="1">
      <c r="A120" s="3075" t="s">
        <v>1152</v>
      </c>
      <c r="B120" s="3075" t="s">
        <v>2756</v>
      </c>
      <c r="C120" s="3075"/>
      <c r="D120" s="3075"/>
      <c r="E120" s="3075"/>
      <c r="F120" s="3081">
        <v>4160</v>
      </c>
      <c r="G120" s="3081"/>
      <c r="I120" s="903"/>
      <c r="J120" s="3111"/>
      <c r="K120" s="3111"/>
      <c r="L120" s="3111"/>
      <c r="M120" s="3111"/>
      <c r="N120" s="3111"/>
      <c r="O120" s="3111"/>
      <c r="P120" s="3111"/>
      <c r="Q120" s="3111"/>
      <c r="R120" s="3111"/>
      <c r="S120" s="3111"/>
      <c r="T120" s="3111"/>
      <c r="U120" s="3111"/>
    </row>
    <row r="121" spans="1:21" s="890" customFormat="1" ht="14.25" customHeight="1">
      <c r="A121" s="3075" t="s">
        <v>1152</v>
      </c>
      <c r="B121" s="3075" t="s">
        <v>2757</v>
      </c>
      <c r="C121" s="3075"/>
      <c r="D121" s="3075"/>
      <c r="E121" s="3075"/>
      <c r="F121" s="3081">
        <v>3880</v>
      </c>
      <c r="G121" s="3081"/>
      <c r="I121" s="903"/>
      <c r="J121" s="3111"/>
      <c r="K121" s="3111"/>
      <c r="L121" s="3111"/>
      <c r="M121" s="3111"/>
      <c r="N121" s="3111"/>
      <c r="O121" s="3111"/>
      <c r="P121" s="3111"/>
      <c r="Q121" s="3111"/>
      <c r="R121" s="3111"/>
      <c r="S121" s="3111"/>
      <c r="T121" s="3111"/>
      <c r="U121" s="3111"/>
    </row>
    <row r="122" spans="1:21" s="890" customFormat="1" ht="14.25" customHeight="1">
      <c r="A122" s="3075" t="s">
        <v>1152</v>
      </c>
      <c r="B122" s="3075" t="s">
        <v>2758</v>
      </c>
      <c r="C122" s="3075">
        <v>13750</v>
      </c>
      <c r="D122" s="3075">
        <v>13680</v>
      </c>
      <c r="E122" s="3075">
        <v>16460</v>
      </c>
      <c r="F122" s="3081">
        <v>2880</v>
      </c>
      <c r="G122" s="3081">
        <v>9040</v>
      </c>
      <c r="I122" s="903"/>
      <c r="J122" s="3111"/>
      <c r="K122" s="3111"/>
      <c r="L122" s="3111"/>
      <c r="M122" s="3111"/>
      <c r="N122" s="3111"/>
      <c r="O122" s="3111"/>
      <c r="P122" s="3111"/>
      <c r="Q122" s="3111"/>
      <c r="R122" s="3111"/>
      <c r="S122" s="3111"/>
      <c r="T122" s="3111"/>
      <c r="U122" s="3111"/>
    </row>
    <row r="123" spans="1:21" s="890" customFormat="1" ht="14.25" customHeight="1">
      <c r="A123" s="3075" t="s">
        <v>1152</v>
      </c>
      <c r="B123" s="3075" t="s">
        <v>2759</v>
      </c>
      <c r="C123" s="3075">
        <v>13590</v>
      </c>
      <c r="D123" s="3075">
        <v>13520</v>
      </c>
      <c r="E123" s="3075">
        <v>16290</v>
      </c>
      <c r="F123" s="3081">
        <v>2790</v>
      </c>
      <c r="G123" s="3081">
        <v>8930</v>
      </c>
      <c r="I123" s="903"/>
      <c r="J123" s="3111"/>
      <c r="K123" s="3111"/>
      <c r="L123" s="3111"/>
      <c r="M123" s="3111"/>
      <c r="N123" s="3111"/>
      <c r="O123" s="3111"/>
      <c r="P123" s="3111"/>
      <c r="Q123" s="3111"/>
      <c r="R123" s="3111"/>
      <c r="S123" s="3111"/>
      <c r="T123" s="3111"/>
      <c r="U123" s="3111"/>
    </row>
    <row r="124" spans="1:21" s="890" customFormat="1" ht="14.25" customHeight="1">
      <c r="A124" s="3075" t="s">
        <v>1152</v>
      </c>
      <c r="B124" s="3075" t="s">
        <v>2760</v>
      </c>
      <c r="C124" s="3075">
        <v>13400</v>
      </c>
      <c r="D124" s="3075">
        <v>13320</v>
      </c>
      <c r="E124" s="3075">
        <v>16100</v>
      </c>
      <c r="F124" s="3081">
        <v>2320</v>
      </c>
      <c r="G124" s="3083">
        <v>8800</v>
      </c>
      <c r="I124" s="903"/>
      <c r="J124" s="3111"/>
      <c r="K124" s="3111"/>
      <c r="L124" s="3111"/>
      <c r="M124" s="3111"/>
      <c r="N124" s="3111"/>
      <c r="O124" s="3111"/>
      <c r="P124" s="3111"/>
      <c r="Q124" s="3111"/>
      <c r="R124" s="3111"/>
      <c r="S124" s="3111"/>
      <c r="T124" s="3111"/>
      <c r="U124" s="3111"/>
    </row>
    <row r="125" spans="1:21" s="890" customFormat="1" ht="14.25" customHeight="1">
      <c r="A125" s="3075" t="s">
        <v>1152</v>
      </c>
      <c r="B125" s="1135" t="s">
        <v>2761</v>
      </c>
      <c r="C125" s="1135">
        <v>12860</v>
      </c>
      <c r="D125" s="1135">
        <v>12790</v>
      </c>
      <c r="E125" s="1135">
        <v>15370</v>
      </c>
      <c r="F125" s="3086">
        <v>2280</v>
      </c>
      <c r="G125" s="3093">
        <v>8450</v>
      </c>
      <c r="I125" s="903"/>
      <c r="J125" s="3111"/>
      <c r="K125" s="3111"/>
      <c r="L125" s="3111"/>
      <c r="M125" s="3111"/>
      <c r="N125" s="3111"/>
      <c r="O125" s="3111"/>
      <c r="P125" s="3111"/>
      <c r="Q125" s="3111"/>
      <c r="R125" s="3111"/>
      <c r="S125" s="3111"/>
      <c r="T125" s="3111"/>
      <c r="U125" s="3111"/>
    </row>
    <row r="126" spans="1:21" s="890" customFormat="1" ht="14.25" customHeight="1" thickBot="1">
      <c r="A126" s="3090" t="s">
        <v>1152</v>
      </c>
      <c r="B126" s="3078" t="s">
        <v>2762</v>
      </c>
      <c r="C126" s="3078">
        <v>12960</v>
      </c>
      <c r="D126" s="3078">
        <v>12890</v>
      </c>
      <c r="E126" s="3078">
        <v>15530</v>
      </c>
      <c r="F126" s="3079">
        <v>2910</v>
      </c>
      <c r="G126" s="3094">
        <v>8520</v>
      </c>
      <c r="I126" s="903"/>
      <c r="J126" s="3111"/>
      <c r="K126" s="3111"/>
      <c r="L126" s="3111"/>
      <c r="M126" s="3111"/>
      <c r="N126" s="3111"/>
      <c r="O126" s="3111"/>
      <c r="P126" s="3111"/>
      <c r="Q126" s="3111"/>
      <c r="R126" s="3111"/>
      <c r="S126" s="3111"/>
      <c r="T126" s="3111"/>
      <c r="U126" s="3111"/>
    </row>
    <row r="127" spans="1:21" s="890" customFormat="1" ht="14.25" customHeight="1">
      <c r="A127" s="3089" t="s">
        <v>1153</v>
      </c>
      <c r="B127" s="1137" t="s">
        <v>2763</v>
      </c>
      <c r="C127" s="1137">
        <v>12280</v>
      </c>
      <c r="D127" s="1137">
        <v>12250</v>
      </c>
      <c r="E127" s="1137">
        <v>15130</v>
      </c>
      <c r="F127" s="3076">
        <v>2710</v>
      </c>
      <c r="G127" s="3092">
        <v>7870</v>
      </c>
      <c r="I127" s="903"/>
      <c r="J127" s="3111"/>
      <c r="K127" s="3111"/>
      <c r="L127" s="3111"/>
      <c r="M127" s="3111"/>
      <c r="N127" s="3111"/>
      <c r="O127" s="3111"/>
      <c r="P127" s="3111"/>
      <c r="Q127" s="3111"/>
      <c r="R127" s="3111"/>
      <c r="S127" s="3111"/>
      <c r="T127" s="3111"/>
      <c r="U127" s="3111"/>
    </row>
    <row r="128" spans="1:21" s="890" customFormat="1" ht="14.25" customHeight="1">
      <c r="A128" s="3075" t="s">
        <v>1153</v>
      </c>
      <c r="B128" s="3075" t="s">
        <v>977</v>
      </c>
      <c r="C128" s="3075">
        <v>13180</v>
      </c>
      <c r="D128" s="3075">
        <v>13150</v>
      </c>
      <c r="E128" s="3075">
        <v>16190</v>
      </c>
      <c r="F128" s="3081">
        <v>2820</v>
      </c>
      <c r="G128" s="3083">
        <v>8460</v>
      </c>
      <c r="I128" s="903"/>
      <c r="J128" s="3111"/>
      <c r="K128" s="3111"/>
      <c r="L128" s="3111"/>
      <c r="M128" s="3111"/>
      <c r="N128" s="3111"/>
      <c r="O128" s="3111"/>
      <c r="P128" s="3111"/>
      <c r="Q128" s="3111"/>
      <c r="R128" s="3111"/>
      <c r="S128" s="3111"/>
      <c r="T128" s="3111"/>
      <c r="U128" s="3111"/>
    </row>
    <row r="129" spans="1:21" s="890" customFormat="1" ht="14.25" customHeight="1">
      <c r="A129" s="3075" t="s">
        <v>1153</v>
      </c>
      <c r="B129" s="3075" t="s">
        <v>987</v>
      </c>
      <c r="C129" s="3075">
        <v>10950</v>
      </c>
      <c r="D129" s="3075">
        <v>10920</v>
      </c>
      <c r="E129" s="3075">
        <v>13820</v>
      </c>
      <c r="F129" s="3081">
        <v>2500</v>
      </c>
      <c r="G129" s="3083">
        <v>7020</v>
      </c>
      <c r="I129" s="903"/>
      <c r="J129" s="3111"/>
      <c r="K129" s="3111"/>
      <c r="L129" s="3111"/>
      <c r="M129" s="3111"/>
      <c r="N129" s="3111"/>
      <c r="O129" s="3111"/>
      <c r="P129" s="3111"/>
      <c r="Q129" s="3111"/>
      <c r="R129" s="3111"/>
      <c r="S129" s="3111"/>
      <c r="T129" s="3111"/>
      <c r="U129" s="3111"/>
    </row>
    <row r="130" spans="1:21" s="890" customFormat="1" ht="14.25" customHeight="1">
      <c r="A130" s="3075" t="s">
        <v>1153</v>
      </c>
      <c r="B130" s="3075" t="s">
        <v>996</v>
      </c>
      <c r="C130" s="3075">
        <v>10910</v>
      </c>
      <c r="D130" s="3075">
        <v>10860</v>
      </c>
      <c r="E130" s="3075">
        <v>13730</v>
      </c>
      <c r="F130" s="3081">
        <v>2760</v>
      </c>
      <c r="G130" s="3083">
        <v>6990</v>
      </c>
      <c r="I130" s="903"/>
      <c r="J130" s="3111"/>
      <c r="K130" s="3111"/>
      <c r="L130" s="3111"/>
      <c r="M130" s="3111"/>
      <c r="N130" s="3111"/>
      <c r="O130" s="3111"/>
      <c r="P130" s="3111"/>
      <c r="Q130" s="3111"/>
      <c r="R130" s="3111"/>
      <c r="S130" s="3111"/>
      <c r="T130" s="3111"/>
      <c r="U130" s="3111"/>
    </row>
    <row r="131" spans="1:21" s="890" customFormat="1" ht="14.25" customHeight="1">
      <c r="A131" s="3075" t="s">
        <v>1153</v>
      </c>
      <c r="B131" s="3075" t="s">
        <v>1006</v>
      </c>
      <c r="C131" s="3075">
        <v>12910</v>
      </c>
      <c r="D131" s="3075">
        <v>12870</v>
      </c>
      <c r="E131" s="3075">
        <v>15720</v>
      </c>
      <c r="F131" s="3081">
        <v>2750</v>
      </c>
      <c r="G131" s="3083">
        <v>8280</v>
      </c>
      <c r="I131" s="903"/>
      <c r="J131" s="3111"/>
      <c r="K131" s="3111"/>
      <c r="L131" s="3111"/>
      <c r="M131" s="3111"/>
      <c r="N131" s="3111"/>
      <c r="O131" s="3111"/>
      <c r="P131" s="3111"/>
      <c r="Q131" s="3111"/>
      <c r="R131" s="3111"/>
      <c r="S131" s="3111"/>
      <c r="T131" s="3111"/>
      <c r="U131" s="3111"/>
    </row>
    <row r="132" spans="1:21" s="890" customFormat="1" ht="14.25" customHeight="1">
      <c r="A132" s="3075" t="s">
        <v>1153</v>
      </c>
      <c r="B132" s="3075" t="s">
        <v>1013</v>
      </c>
      <c r="C132" s="3075">
        <v>11910</v>
      </c>
      <c r="D132" s="3075">
        <v>11860</v>
      </c>
      <c r="E132" s="3075">
        <v>14730</v>
      </c>
      <c r="F132" s="3081">
        <v>2360</v>
      </c>
      <c r="G132" s="3083">
        <v>7630</v>
      </c>
      <c r="I132" s="903"/>
      <c r="J132" s="3111"/>
      <c r="K132" s="3111"/>
      <c r="L132" s="3111"/>
      <c r="M132" s="3111"/>
      <c r="N132" s="3111"/>
      <c r="O132" s="3111"/>
      <c r="P132" s="3111"/>
      <c r="Q132" s="3111"/>
      <c r="R132" s="3111"/>
      <c r="S132" s="3111"/>
      <c r="T132" s="3111"/>
      <c r="U132" s="3111"/>
    </row>
    <row r="133" spans="1:21" s="890" customFormat="1" ht="14.25" customHeight="1">
      <c r="A133" s="3075" t="s">
        <v>1153</v>
      </c>
      <c r="B133" s="3075" t="s">
        <v>1019</v>
      </c>
      <c r="C133" s="3075">
        <v>12270</v>
      </c>
      <c r="D133" s="3075">
        <v>12210</v>
      </c>
      <c r="E133" s="3075">
        <v>15010</v>
      </c>
      <c r="F133" s="3081">
        <v>2580</v>
      </c>
      <c r="G133" s="3083">
        <v>7860</v>
      </c>
      <c r="I133" s="903"/>
      <c r="J133" s="3111"/>
      <c r="K133" s="3111"/>
      <c r="L133" s="3111"/>
      <c r="M133" s="3111"/>
      <c r="N133" s="3111"/>
      <c r="O133" s="3111"/>
      <c r="P133" s="3111"/>
      <c r="Q133" s="3111"/>
      <c r="R133" s="3111"/>
      <c r="S133" s="3111"/>
      <c r="T133" s="3111"/>
      <c r="U133" s="3111"/>
    </row>
    <row r="134" spans="1:21" s="890" customFormat="1" ht="14.25" customHeight="1">
      <c r="A134" s="3075" t="s">
        <v>1153</v>
      </c>
      <c r="B134" s="3075" t="s">
        <v>1026</v>
      </c>
      <c r="C134" s="3075">
        <v>10800</v>
      </c>
      <c r="D134" s="3075">
        <v>10780</v>
      </c>
      <c r="E134" s="3075">
        <v>13640</v>
      </c>
      <c r="F134" s="3081">
        <v>2110</v>
      </c>
      <c r="G134" s="3081">
        <v>6930</v>
      </c>
      <c r="I134" s="903"/>
      <c r="J134" s="3111"/>
      <c r="K134" s="3111"/>
      <c r="L134" s="3111"/>
      <c r="M134" s="3111"/>
      <c r="N134" s="3111"/>
      <c r="O134" s="3111"/>
      <c r="P134" s="3111"/>
      <c r="Q134" s="3111"/>
      <c r="R134" s="3111"/>
      <c r="S134" s="3111"/>
      <c r="T134" s="3111"/>
      <c r="U134" s="3111"/>
    </row>
    <row r="135" spans="1:21" s="890" customFormat="1" ht="14.25" customHeight="1">
      <c r="A135" s="3075" t="s">
        <v>1153</v>
      </c>
      <c r="B135" s="3075" t="s">
        <v>1036</v>
      </c>
      <c r="C135" s="3075">
        <v>10430</v>
      </c>
      <c r="D135" s="3075">
        <v>10390</v>
      </c>
      <c r="E135" s="3075">
        <v>13140</v>
      </c>
      <c r="F135" s="3081">
        <v>2240</v>
      </c>
      <c r="G135" s="3083">
        <v>6680</v>
      </c>
      <c r="I135" s="903"/>
      <c r="J135" s="3111"/>
      <c r="K135" s="3111"/>
      <c r="L135" s="3111"/>
      <c r="M135" s="3111"/>
      <c r="N135" s="3111"/>
      <c r="O135" s="3111"/>
      <c r="P135" s="3111"/>
      <c r="Q135" s="3111"/>
      <c r="R135" s="3111"/>
      <c r="S135" s="3111"/>
      <c r="T135" s="3111"/>
      <c r="U135" s="3111"/>
    </row>
    <row r="136" spans="1:21" s="890" customFormat="1" ht="14.25" customHeight="1">
      <c r="A136" s="3075" t="s">
        <v>1153</v>
      </c>
      <c r="B136" s="3075" t="s">
        <v>1045</v>
      </c>
      <c r="C136" s="3075">
        <v>11930</v>
      </c>
      <c r="D136" s="3075">
        <v>11880</v>
      </c>
      <c r="E136" s="3075">
        <v>14770</v>
      </c>
      <c r="F136" s="3081">
        <v>1970</v>
      </c>
      <c r="G136" s="3083">
        <v>7640</v>
      </c>
      <c r="I136" s="903"/>
      <c r="J136" s="3111"/>
      <c r="K136" s="3111"/>
      <c r="L136" s="3111"/>
      <c r="M136" s="3111"/>
      <c r="N136" s="3111"/>
      <c r="O136" s="3111"/>
      <c r="P136" s="3111"/>
      <c r="Q136" s="3111"/>
      <c r="R136" s="3111"/>
      <c r="S136" s="3111"/>
      <c r="T136" s="3111"/>
      <c r="U136" s="3111"/>
    </row>
    <row r="137" spans="1:21" s="890" customFormat="1" ht="14.25" customHeight="1">
      <c r="A137" s="3075" t="s">
        <v>1153</v>
      </c>
      <c r="B137" s="3075" t="s">
        <v>1052</v>
      </c>
      <c r="C137" s="3075">
        <v>10470</v>
      </c>
      <c r="D137" s="3075">
        <v>10430</v>
      </c>
      <c r="E137" s="3075">
        <v>13190</v>
      </c>
      <c r="F137" s="3081">
        <v>1990</v>
      </c>
      <c r="G137" s="3083">
        <v>6710</v>
      </c>
      <c r="I137" s="903"/>
      <c r="J137" s="3111"/>
      <c r="K137" s="3111"/>
      <c r="L137" s="3111"/>
      <c r="M137" s="3111"/>
      <c r="N137" s="3111"/>
      <c r="O137" s="3111"/>
      <c r="P137" s="3111"/>
      <c r="Q137" s="3111"/>
      <c r="R137" s="3111"/>
      <c r="S137" s="3111"/>
      <c r="T137" s="3111"/>
      <c r="U137" s="3111"/>
    </row>
    <row r="138" spans="1:21" s="890" customFormat="1" ht="14.25" customHeight="1">
      <c r="A138" s="3075" t="s">
        <v>1153</v>
      </c>
      <c r="B138" s="3075" t="s">
        <v>1059</v>
      </c>
      <c r="C138" s="3075">
        <v>10410</v>
      </c>
      <c r="D138" s="3075">
        <v>10380</v>
      </c>
      <c r="E138" s="3075">
        <v>13130</v>
      </c>
      <c r="F138" s="3081">
        <v>2030</v>
      </c>
      <c r="G138" s="3083">
        <v>6680</v>
      </c>
      <c r="I138" s="903"/>
      <c r="J138" s="3111"/>
      <c r="K138" s="3111"/>
      <c r="L138" s="3111"/>
      <c r="M138" s="3111"/>
      <c r="N138" s="3111"/>
      <c r="O138" s="3111"/>
      <c r="P138" s="3111"/>
      <c r="Q138" s="3111"/>
      <c r="R138" s="3111"/>
      <c r="S138" s="3111"/>
      <c r="T138" s="3111"/>
      <c r="U138" s="3111"/>
    </row>
    <row r="139" spans="1:21" s="890" customFormat="1" ht="14.25" customHeight="1">
      <c r="A139" s="3075" t="s">
        <v>1153</v>
      </c>
      <c r="B139" s="3075" t="s">
        <v>1066</v>
      </c>
      <c r="C139" s="3075">
        <v>9460</v>
      </c>
      <c r="D139" s="3075">
        <v>9410</v>
      </c>
      <c r="E139" s="3075">
        <v>12050</v>
      </c>
      <c r="F139" s="3081">
        <v>2140</v>
      </c>
      <c r="G139" s="3081">
        <v>6050</v>
      </c>
      <c r="I139" s="903"/>
      <c r="J139" s="3111"/>
      <c r="K139" s="3111"/>
      <c r="L139" s="3111"/>
      <c r="M139" s="3111"/>
      <c r="N139" s="3111"/>
      <c r="O139" s="3111"/>
      <c r="P139" s="3111"/>
      <c r="Q139" s="3111"/>
      <c r="R139" s="3111"/>
      <c r="S139" s="3111"/>
      <c r="T139" s="3111"/>
      <c r="U139" s="3111"/>
    </row>
    <row r="140" spans="1:21" s="890" customFormat="1" ht="14.25" customHeight="1">
      <c r="A140" s="3075" t="s">
        <v>1153</v>
      </c>
      <c r="B140" s="3075" t="s">
        <v>1074</v>
      </c>
      <c r="C140" s="3075">
        <v>11030</v>
      </c>
      <c r="D140" s="3075">
        <v>10980</v>
      </c>
      <c r="E140" s="3075">
        <v>13880</v>
      </c>
      <c r="F140" s="3081">
        <v>2210</v>
      </c>
      <c r="G140" s="3081">
        <v>7060</v>
      </c>
      <c r="I140" s="903"/>
      <c r="J140" s="3111"/>
      <c r="K140" s="3111"/>
      <c r="L140" s="3111"/>
      <c r="M140" s="3111"/>
      <c r="N140" s="3111"/>
      <c r="O140" s="3111"/>
      <c r="P140" s="3111"/>
      <c r="Q140" s="3111"/>
      <c r="R140" s="3111"/>
      <c r="S140" s="3111"/>
      <c r="T140" s="3111"/>
      <c r="U140" s="3111"/>
    </row>
    <row r="141" spans="1:21" s="890" customFormat="1" ht="14.25" customHeight="1">
      <c r="A141" s="3075" t="s">
        <v>1153</v>
      </c>
      <c r="B141" s="3075" t="s">
        <v>1082</v>
      </c>
      <c r="C141" s="3075">
        <v>11200</v>
      </c>
      <c r="D141" s="3075">
        <v>11150</v>
      </c>
      <c r="E141" s="3075">
        <v>14100</v>
      </c>
      <c r="F141" s="3081">
        <v>2470</v>
      </c>
      <c r="G141" s="3083">
        <v>7170</v>
      </c>
      <c r="I141" s="903"/>
      <c r="J141" s="3111"/>
      <c r="K141" s="3111"/>
      <c r="L141" s="3111"/>
      <c r="M141" s="3111"/>
      <c r="N141" s="3111"/>
      <c r="O141" s="3111"/>
      <c r="P141" s="3111"/>
      <c r="Q141" s="3111"/>
      <c r="R141" s="3111"/>
      <c r="S141" s="3111"/>
      <c r="T141" s="3111"/>
      <c r="U141" s="3111"/>
    </row>
    <row r="142" spans="1:21" s="890" customFormat="1" ht="14.25" customHeight="1">
      <c r="A142" s="3075" t="s">
        <v>1153</v>
      </c>
      <c r="B142" s="3075" t="s">
        <v>1087</v>
      </c>
      <c r="C142" s="3075">
        <v>10780</v>
      </c>
      <c r="D142" s="3075">
        <v>10730</v>
      </c>
      <c r="E142" s="3075">
        <v>13540</v>
      </c>
      <c r="F142" s="3081">
        <v>2280</v>
      </c>
      <c r="G142" s="3083">
        <v>6900</v>
      </c>
      <c r="I142" s="903"/>
      <c r="J142" s="3111"/>
      <c r="K142" s="3111"/>
      <c r="L142" s="3111"/>
      <c r="M142" s="3111"/>
      <c r="N142" s="3111"/>
      <c r="O142" s="3111"/>
      <c r="P142" s="3111"/>
      <c r="Q142" s="3111"/>
      <c r="R142" s="3111"/>
      <c r="S142" s="3111"/>
      <c r="T142" s="3111"/>
      <c r="U142" s="3111"/>
    </row>
    <row r="143" spans="1:21" s="890" customFormat="1" ht="14.25" customHeight="1">
      <c r="A143" s="3075" t="s">
        <v>1153</v>
      </c>
      <c r="B143" s="3075" t="s">
        <v>1096</v>
      </c>
      <c r="C143" s="3075">
        <v>11550</v>
      </c>
      <c r="D143" s="3075">
        <v>11490</v>
      </c>
      <c r="E143" s="3075">
        <v>14480</v>
      </c>
      <c r="F143" s="3081">
        <v>2070</v>
      </c>
      <c r="G143" s="3083">
        <v>7390</v>
      </c>
      <c r="I143" s="903"/>
      <c r="J143" s="3111"/>
      <c r="K143" s="3111"/>
      <c r="L143" s="3111"/>
      <c r="M143" s="3111"/>
      <c r="N143" s="3111"/>
      <c r="O143" s="3111"/>
      <c r="P143" s="3111"/>
      <c r="Q143" s="3111"/>
      <c r="R143" s="3111"/>
      <c r="S143" s="3111"/>
      <c r="T143" s="3111"/>
      <c r="U143" s="3111"/>
    </row>
    <row r="144" spans="1:21" s="890" customFormat="1" ht="14.25" customHeight="1">
      <c r="A144" s="3075" t="s">
        <v>1153</v>
      </c>
      <c r="B144" s="3075" t="s">
        <v>1103</v>
      </c>
      <c r="C144" s="3075">
        <v>10720</v>
      </c>
      <c r="D144" s="3075">
        <v>10680</v>
      </c>
      <c r="E144" s="3075">
        <v>13480</v>
      </c>
      <c r="F144" s="3081">
        <v>2440</v>
      </c>
      <c r="G144" s="3083">
        <v>6870</v>
      </c>
      <c r="I144" s="903"/>
      <c r="J144" s="3111"/>
      <c r="K144" s="3111"/>
      <c r="L144" s="3111"/>
      <c r="M144" s="3111"/>
      <c r="N144" s="3111"/>
      <c r="O144" s="3111"/>
      <c r="P144" s="3111"/>
      <c r="Q144" s="3111"/>
      <c r="R144" s="3111"/>
      <c r="S144" s="3111"/>
      <c r="T144" s="3111"/>
      <c r="U144" s="3111"/>
    </row>
    <row r="145" spans="1:21" s="890" customFormat="1" ht="14.25" customHeight="1">
      <c r="A145" s="3075" t="s">
        <v>1153</v>
      </c>
      <c r="B145" s="3075" t="s">
        <v>1111</v>
      </c>
      <c r="C145" s="3075">
        <v>10340</v>
      </c>
      <c r="D145" s="3075">
        <v>10290</v>
      </c>
      <c r="E145" s="3075">
        <v>12880</v>
      </c>
      <c r="F145" s="3081">
        <v>2650</v>
      </c>
      <c r="G145" s="3081">
        <v>6620</v>
      </c>
      <c r="I145" s="903"/>
      <c r="J145" s="3111"/>
      <c r="K145" s="3111"/>
      <c r="L145" s="3111"/>
      <c r="M145" s="3111"/>
      <c r="N145" s="3111"/>
      <c r="O145" s="3111"/>
      <c r="P145" s="3111"/>
      <c r="Q145" s="3111"/>
      <c r="R145" s="3111"/>
      <c r="S145" s="3111"/>
      <c r="T145" s="3111"/>
      <c r="U145" s="3111"/>
    </row>
    <row r="146" spans="1:21" s="890" customFormat="1" ht="14.25" customHeight="1">
      <c r="A146" s="3075" t="s">
        <v>1153</v>
      </c>
      <c r="B146" s="3075" t="s">
        <v>1118</v>
      </c>
      <c r="C146" s="3075">
        <v>11890</v>
      </c>
      <c r="D146" s="3075">
        <v>11830</v>
      </c>
      <c r="E146" s="3075">
        <v>14670</v>
      </c>
      <c r="F146" s="3081"/>
      <c r="G146" s="3081">
        <v>7610</v>
      </c>
      <c r="I146" s="903"/>
      <c r="J146" s="3111"/>
      <c r="K146" s="3111"/>
      <c r="L146" s="3111"/>
      <c r="M146" s="3111"/>
      <c r="N146" s="3111"/>
      <c r="O146" s="3111"/>
      <c r="P146" s="3111"/>
      <c r="Q146" s="3111"/>
      <c r="R146" s="3111"/>
      <c r="S146" s="3111"/>
      <c r="T146" s="3111"/>
      <c r="U146" s="3111"/>
    </row>
    <row r="147" spans="1:21" s="890" customFormat="1" ht="14.25" customHeight="1">
      <c r="A147" s="3075" t="s">
        <v>1153</v>
      </c>
      <c r="B147" s="3075" t="s">
        <v>1122</v>
      </c>
      <c r="C147" s="3075">
        <v>12650</v>
      </c>
      <c r="D147" s="3075">
        <v>12600</v>
      </c>
      <c r="E147" s="3075">
        <v>15440</v>
      </c>
      <c r="F147" s="3081"/>
      <c r="G147" s="3081">
        <v>8110</v>
      </c>
      <c r="I147" s="903"/>
      <c r="J147" s="3111"/>
      <c r="K147" s="3111"/>
      <c r="L147" s="3111"/>
      <c r="M147" s="3111"/>
      <c r="N147" s="3111"/>
      <c r="O147" s="3111"/>
      <c r="P147" s="3111"/>
      <c r="Q147" s="3111"/>
      <c r="R147" s="3111"/>
      <c r="S147" s="3111"/>
      <c r="T147" s="3111"/>
      <c r="U147" s="3111"/>
    </row>
    <row r="148" spans="1:21" s="890" customFormat="1" ht="14.25" customHeight="1">
      <c r="A148" s="3075" t="s">
        <v>1153</v>
      </c>
      <c r="B148" s="3075" t="s">
        <v>2764</v>
      </c>
      <c r="C148" s="3075">
        <v>10370</v>
      </c>
      <c r="D148" s="3075">
        <v>10310</v>
      </c>
      <c r="E148" s="3075">
        <v>12970</v>
      </c>
      <c r="F148" s="3081"/>
      <c r="G148" s="3081">
        <v>6630</v>
      </c>
      <c r="I148" s="903"/>
      <c r="J148" s="3111"/>
      <c r="K148" s="3111"/>
      <c r="L148" s="3111"/>
      <c r="M148" s="3111"/>
      <c r="N148" s="3111"/>
      <c r="O148" s="3111"/>
      <c r="P148" s="3111"/>
      <c r="Q148" s="3111"/>
      <c r="R148" s="3111"/>
      <c r="S148" s="3111"/>
      <c r="T148" s="3111"/>
      <c r="U148" s="3111"/>
    </row>
    <row r="149" spans="1:21" s="890" customFormat="1" ht="14.25" customHeight="1">
      <c r="A149" s="3075" t="s">
        <v>1153</v>
      </c>
      <c r="B149" s="3075" t="s">
        <v>2765</v>
      </c>
      <c r="C149" s="3075">
        <v>11600</v>
      </c>
      <c r="D149" s="3075">
        <v>11560</v>
      </c>
      <c r="E149" s="3075">
        <v>14540</v>
      </c>
      <c r="F149" s="3081">
        <v>2390</v>
      </c>
      <c r="G149" s="3081">
        <v>7430</v>
      </c>
      <c r="I149" s="903"/>
      <c r="J149" s="3111"/>
      <c r="K149" s="3111"/>
      <c r="L149" s="3111"/>
      <c r="M149" s="3111"/>
      <c r="N149" s="3111"/>
      <c r="O149" s="3111"/>
      <c r="P149" s="3111"/>
      <c r="Q149" s="3111"/>
      <c r="R149" s="3111"/>
      <c r="S149" s="3111"/>
      <c r="T149" s="3111"/>
      <c r="U149" s="3111"/>
    </row>
    <row r="150" spans="1:21" s="890" customFormat="1" ht="14.25" customHeight="1">
      <c r="A150" s="3075" t="s">
        <v>1153</v>
      </c>
      <c r="B150" s="3075" t="s">
        <v>1141</v>
      </c>
      <c r="C150" s="3075">
        <v>9950</v>
      </c>
      <c r="D150" s="3075">
        <v>9890</v>
      </c>
      <c r="E150" s="3075">
        <v>12590</v>
      </c>
      <c r="F150" s="3081">
        <v>1970</v>
      </c>
      <c r="G150" s="3081">
        <v>6360</v>
      </c>
      <c r="I150" s="903"/>
      <c r="J150" s="3111"/>
      <c r="K150" s="3111"/>
      <c r="L150" s="3111"/>
      <c r="M150" s="3111"/>
      <c r="N150" s="3111"/>
      <c r="O150" s="3111"/>
      <c r="P150" s="3111"/>
      <c r="Q150" s="3111"/>
      <c r="R150" s="3111"/>
      <c r="S150" s="3111"/>
      <c r="T150" s="3111"/>
      <c r="U150" s="3111"/>
    </row>
    <row r="151" spans="1:21" s="890" customFormat="1" ht="14.25" customHeight="1">
      <c r="A151" s="3075" t="s">
        <v>1153</v>
      </c>
      <c r="B151" s="3075" t="s">
        <v>1143</v>
      </c>
      <c r="C151" s="3075">
        <v>10700</v>
      </c>
      <c r="D151" s="3075">
        <v>10650</v>
      </c>
      <c r="E151" s="3075">
        <v>13420</v>
      </c>
      <c r="F151" s="3081">
        <v>2020</v>
      </c>
      <c r="G151" s="3081">
        <v>6850</v>
      </c>
      <c r="I151" s="903"/>
      <c r="J151" s="3111"/>
      <c r="K151" s="3111"/>
      <c r="L151" s="3111"/>
      <c r="M151" s="3111"/>
      <c r="N151" s="3111"/>
      <c r="O151" s="3111"/>
      <c r="P151" s="3111"/>
      <c r="Q151" s="3111"/>
      <c r="R151" s="3111"/>
      <c r="S151" s="3111"/>
      <c r="T151" s="3111"/>
      <c r="U151" s="3111"/>
    </row>
    <row r="152" spans="1:21" s="890" customFormat="1" ht="14.25" customHeight="1">
      <c r="A152" s="3075" t="s">
        <v>1153</v>
      </c>
      <c r="B152" s="3075" t="s">
        <v>1146</v>
      </c>
      <c r="C152" s="3075">
        <v>10310</v>
      </c>
      <c r="D152" s="3075">
        <v>10260</v>
      </c>
      <c r="E152" s="3075">
        <v>12820</v>
      </c>
      <c r="F152" s="3081">
        <v>1980</v>
      </c>
      <c r="G152" s="3081">
        <v>6600</v>
      </c>
      <c r="I152" s="903"/>
      <c r="J152" s="3111"/>
      <c r="K152" s="3111"/>
      <c r="L152" s="3111"/>
      <c r="M152" s="3111"/>
      <c r="N152" s="3111"/>
      <c r="O152" s="3111"/>
      <c r="P152" s="3111"/>
      <c r="Q152" s="3111"/>
      <c r="R152" s="3111"/>
      <c r="S152" s="3111"/>
      <c r="T152" s="3111"/>
      <c r="U152" s="3111"/>
    </row>
    <row r="153" spans="1:21" s="890" customFormat="1" ht="14.25" customHeight="1">
      <c r="A153" s="3075" t="s">
        <v>1153</v>
      </c>
      <c r="B153" s="3075" t="s">
        <v>2766</v>
      </c>
      <c r="C153" s="3075">
        <v>10880</v>
      </c>
      <c r="D153" s="3075">
        <v>10820</v>
      </c>
      <c r="E153" s="3075">
        <v>13660</v>
      </c>
      <c r="F153" s="3081">
        <v>2260</v>
      </c>
      <c r="G153" s="3081">
        <v>6970</v>
      </c>
      <c r="I153" s="903"/>
      <c r="J153" s="3111"/>
      <c r="K153" s="3111"/>
      <c r="L153" s="3111"/>
      <c r="M153" s="3111"/>
      <c r="N153" s="3111"/>
      <c r="O153" s="3111"/>
      <c r="P153" s="3111"/>
      <c r="Q153" s="3111"/>
      <c r="R153" s="3111"/>
      <c r="S153" s="3111"/>
      <c r="T153" s="3111"/>
      <c r="U153" s="3111"/>
    </row>
    <row r="154" spans="1:21" s="890" customFormat="1" ht="14.25" customHeight="1">
      <c r="A154" s="3075" t="s">
        <v>1153</v>
      </c>
      <c r="B154" s="3075" t="s">
        <v>2767</v>
      </c>
      <c r="C154" s="3075">
        <v>11220</v>
      </c>
      <c r="D154" s="3075">
        <v>11160</v>
      </c>
      <c r="E154" s="3075">
        <v>14130</v>
      </c>
      <c r="F154" s="3081">
        <v>2230</v>
      </c>
      <c r="G154" s="3081">
        <v>7180</v>
      </c>
      <c r="I154" s="903"/>
      <c r="J154" s="3111"/>
      <c r="K154" s="3111"/>
      <c r="L154" s="3111"/>
      <c r="M154" s="3111"/>
      <c r="N154" s="3111"/>
      <c r="O154" s="3111"/>
      <c r="P154" s="3111"/>
      <c r="Q154" s="3111"/>
      <c r="R154" s="3111"/>
      <c r="S154" s="3111"/>
      <c r="T154" s="3111"/>
      <c r="U154" s="3111"/>
    </row>
    <row r="155" spans="1:21" s="890" customFormat="1" ht="14.25" customHeight="1">
      <c r="A155" s="3075" t="s">
        <v>1153</v>
      </c>
      <c r="B155" s="3075" t="s">
        <v>2768</v>
      </c>
      <c r="C155" s="3075">
        <v>10430</v>
      </c>
      <c r="D155" s="3075">
        <v>10380</v>
      </c>
      <c r="E155" s="3075">
        <v>13140</v>
      </c>
      <c r="F155" s="3081">
        <v>2080</v>
      </c>
      <c r="G155" s="3081">
        <v>6650</v>
      </c>
      <c r="I155" s="903"/>
      <c r="J155" s="3111"/>
      <c r="K155" s="3111"/>
      <c r="L155" s="3111"/>
      <c r="M155" s="3111"/>
      <c r="N155" s="3111"/>
      <c r="O155" s="3111"/>
      <c r="P155" s="3111"/>
      <c r="Q155" s="3111"/>
      <c r="R155" s="3111"/>
      <c r="S155" s="3111"/>
      <c r="T155" s="3111"/>
      <c r="U155" s="3111"/>
    </row>
    <row r="156" spans="1:21" s="890" customFormat="1" ht="14.25" customHeight="1">
      <c r="A156" s="3075" t="s">
        <v>1153</v>
      </c>
      <c r="B156" s="3075" t="s">
        <v>2769</v>
      </c>
      <c r="C156" s="3075">
        <v>10440</v>
      </c>
      <c r="D156" s="3075">
        <v>10400</v>
      </c>
      <c r="E156" s="3075">
        <v>13150</v>
      </c>
      <c r="F156" s="3081">
        <v>2490</v>
      </c>
      <c r="G156" s="3081">
        <v>6690</v>
      </c>
      <c r="I156" s="903"/>
      <c r="J156" s="3111"/>
      <c r="K156" s="3111"/>
      <c r="L156" s="3111"/>
      <c r="M156" s="3111"/>
      <c r="N156" s="3111"/>
      <c r="O156" s="3111"/>
      <c r="P156" s="3111"/>
      <c r="Q156" s="3111"/>
      <c r="R156" s="3111"/>
      <c r="S156" s="3111"/>
      <c r="T156" s="3111"/>
      <c r="U156" s="3111"/>
    </row>
    <row r="157" spans="1:21" s="890" customFormat="1" ht="14.25" customHeight="1">
      <c r="A157" s="3075" t="s">
        <v>1153</v>
      </c>
      <c r="B157" s="3075" t="s">
        <v>1149</v>
      </c>
      <c r="C157" s="3075">
        <v>10970</v>
      </c>
      <c r="D157" s="3075">
        <v>10920</v>
      </c>
      <c r="E157" s="3075">
        <v>13840</v>
      </c>
      <c r="F157" s="3081">
        <v>2420</v>
      </c>
      <c r="G157" s="3088">
        <v>7020</v>
      </c>
      <c r="I157" s="903"/>
      <c r="J157" s="3111"/>
      <c r="K157" s="3111"/>
      <c r="L157" s="3111"/>
      <c r="M157" s="3111"/>
      <c r="N157" s="3111"/>
      <c r="O157" s="3111"/>
      <c r="P157" s="3111"/>
      <c r="Q157" s="3111"/>
      <c r="R157" s="3111"/>
      <c r="S157" s="3111"/>
      <c r="T157" s="3111"/>
      <c r="U157" s="3111"/>
    </row>
    <row r="158" spans="1:21" s="890" customFormat="1" ht="14.25" customHeight="1">
      <c r="A158" s="1137" t="s">
        <v>1153</v>
      </c>
      <c r="B158" s="1137" t="s">
        <v>1150</v>
      </c>
      <c r="C158" s="1137">
        <v>9590</v>
      </c>
      <c r="D158" s="1137">
        <v>9540</v>
      </c>
      <c r="E158" s="1137">
        <v>12210</v>
      </c>
      <c r="F158" s="3076">
        <v>2100</v>
      </c>
      <c r="G158" s="3076">
        <v>6130</v>
      </c>
      <c r="I158" s="903"/>
      <c r="J158" s="3111"/>
      <c r="K158" s="3111"/>
      <c r="L158" s="3111"/>
      <c r="M158" s="3111"/>
      <c r="N158" s="3111"/>
      <c r="O158" s="3111"/>
      <c r="P158" s="3111"/>
      <c r="Q158" s="3111"/>
      <c r="R158" s="3111"/>
      <c r="S158" s="3111"/>
      <c r="T158" s="3111"/>
      <c r="U158" s="3111"/>
    </row>
    <row r="159" spans="1:21" s="890" customFormat="1" ht="14.25" customHeight="1">
      <c r="A159" s="3075" t="s">
        <v>1153</v>
      </c>
      <c r="B159" s="3075" t="s">
        <v>1151</v>
      </c>
      <c r="C159" s="3075">
        <v>11190</v>
      </c>
      <c r="D159" s="3075">
        <v>11140</v>
      </c>
      <c r="E159" s="3075">
        <v>14090</v>
      </c>
      <c r="F159" s="3081">
        <v>2470</v>
      </c>
      <c r="G159" s="3081">
        <v>7170</v>
      </c>
      <c r="I159" s="903"/>
      <c r="J159" s="3111"/>
      <c r="K159" s="3111"/>
      <c r="L159" s="3111"/>
      <c r="M159" s="3111"/>
      <c r="N159" s="3111"/>
      <c r="O159" s="3111"/>
      <c r="P159" s="3111"/>
      <c r="Q159" s="3111"/>
      <c r="R159" s="3111"/>
      <c r="S159" s="3111"/>
      <c r="T159" s="3111"/>
      <c r="U159" s="3111"/>
    </row>
    <row r="160" spans="1:21" s="890" customFormat="1" ht="14.25" customHeight="1">
      <c r="A160" s="3075" t="s">
        <v>1153</v>
      </c>
      <c r="B160" s="3075" t="s">
        <v>2770</v>
      </c>
      <c r="C160" s="3075">
        <v>11180</v>
      </c>
      <c r="D160" s="3075">
        <v>11140</v>
      </c>
      <c r="E160" s="3075">
        <v>14050</v>
      </c>
      <c r="F160" s="3081">
        <v>2270</v>
      </c>
      <c r="G160" s="3081">
        <v>7170</v>
      </c>
      <c r="I160" s="903"/>
      <c r="J160" s="3111"/>
      <c r="K160" s="3111"/>
      <c r="L160" s="3111"/>
      <c r="M160" s="3111"/>
      <c r="N160" s="3111"/>
      <c r="O160" s="3111"/>
      <c r="P160" s="3111"/>
      <c r="Q160" s="3111"/>
      <c r="R160" s="3111"/>
      <c r="S160" s="3111"/>
      <c r="T160" s="3111"/>
      <c r="U160" s="3111"/>
    </row>
    <row r="161" spans="1:21" s="890" customFormat="1" ht="14.25" customHeight="1">
      <c r="A161" s="3075" t="s">
        <v>1153</v>
      </c>
      <c r="B161" s="3075" t="s">
        <v>2771</v>
      </c>
      <c r="C161" s="3075">
        <v>11160</v>
      </c>
      <c r="D161" s="3075">
        <v>11120</v>
      </c>
      <c r="E161" s="3075">
        <v>14020</v>
      </c>
      <c r="F161" s="3081">
        <v>2150</v>
      </c>
      <c r="G161" s="3081">
        <v>7160</v>
      </c>
      <c r="I161" s="903"/>
      <c r="J161" s="3111"/>
      <c r="K161" s="3111"/>
      <c r="L161" s="3111"/>
      <c r="M161" s="3111"/>
      <c r="N161" s="3111"/>
      <c r="O161" s="3111"/>
      <c r="P161" s="3111"/>
      <c r="Q161" s="3111"/>
      <c r="R161" s="3111"/>
      <c r="S161" s="3111"/>
      <c r="T161" s="3111"/>
      <c r="U161" s="3111"/>
    </row>
    <row r="162" spans="1:21" s="890" customFormat="1" ht="14.25" customHeight="1">
      <c r="A162" s="3075" t="s">
        <v>1153</v>
      </c>
      <c r="B162" s="3075" t="s">
        <v>2772</v>
      </c>
      <c r="C162" s="3075">
        <v>9620</v>
      </c>
      <c r="D162" s="3075">
        <v>9570</v>
      </c>
      <c r="E162" s="3075">
        <v>12320</v>
      </c>
      <c r="F162" s="3081">
        <v>2010</v>
      </c>
      <c r="G162" s="3081">
        <v>6160</v>
      </c>
      <c r="I162" s="903"/>
      <c r="J162" s="3111"/>
      <c r="K162" s="3111"/>
      <c r="L162" s="3111"/>
      <c r="M162" s="3111"/>
      <c r="N162" s="3111"/>
      <c r="O162" s="3111"/>
      <c r="P162" s="3111"/>
      <c r="Q162" s="3111"/>
      <c r="R162" s="3111"/>
      <c r="S162" s="3111"/>
      <c r="T162" s="3111"/>
      <c r="U162" s="3111"/>
    </row>
    <row r="163" spans="1:21" s="890" customFormat="1" ht="14.25" customHeight="1">
      <c r="A163" s="3075" t="s">
        <v>1153</v>
      </c>
      <c r="B163" s="3075" t="s">
        <v>2773</v>
      </c>
      <c r="C163" s="3075">
        <v>9320</v>
      </c>
      <c r="D163" s="3075">
        <v>9270</v>
      </c>
      <c r="E163" s="3075">
        <v>11790</v>
      </c>
      <c r="F163" s="3081">
        <v>1920</v>
      </c>
      <c r="G163" s="3081">
        <v>5960</v>
      </c>
      <c r="I163" s="903"/>
      <c r="J163" s="3111"/>
      <c r="K163" s="3111"/>
      <c r="L163" s="3111"/>
      <c r="M163" s="3111"/>
      <c r="N163" s="3111"/>
      <c r="O163" s="3111"/>
      <c r="P163" s="3111"/>
      <c r="Q163" s="3111"/>
      <c r="R163" s="3111"/>
      <c r="S163" s="3111"/>
      <c r="T163" s="3111"/>
      <c r="U163" s="3111"/>
    </row>
    <row r="164" spans="1:21" s="890" customFormat="1" ht="14.25" customHeight="1">
      <c r="A164" s="3075" t="s">
        <v>1153</v>
      </c>
      <c r="B164" s="3075" t="s">
        <v>2774</v>
      </c>
      <c r="C164" s="3075"/>
      <c r="D164" s="3075"/>
      <c r="E164" s="3075"/>
      <c r="F164" s="3081">
        <v>1980</v>
      </c>
      <c r="G164" s="3081"/>
      <c r="I164" s="903"/>
      <c r="J164" s="3111"/>
      <c r="K164" s="3111"/>
      <c r="L164" s="3111"/>
      <c r="M164" s="3111"/>
      <c r="N164" s="3111"/>
      <c r="O164" s="3111"/>
      <c r="P164" s="3111"/>
      <c r="Q164" s="3111"/>
      <c r="R164" s="3111"/>
      <c r="S164" s="3111"/>
      <c r="T164" s="3111"/>
      <c r="U164" s="3111"/>
    </row>
    <row r="165" spans="1:21" s="890" customFormat="1" ht="14.25" customHeight="1">
      <c r="A165" s="3075" t="s">
        <v>1153</v>
      </c>
      <c r="B165" s="3075" t="s">
        <v>2775</v>
      </c>
      <c r="C165" s="3075">
        <v>11060</v>
      </c>
      <c r="D165" s="3075">
        <v>11030</v>
      </c>
      <c r="E165" s="3075">
        <v>13850</v>
      </c>
      <c r="F165" s="3081">
        <v>2170</v>
      </c>
      <c r="G165" s="3081">
        <v>7090</v>
      </c>
      <c r="I165" s="903"/>
      <c r="J165" s="3111"/>
      <c r="K165" s="3111"/>
      <c r="L165" s="3111"/>
      <c r="M165" s="3111"/>
      <c r="N165" s="3111"/>
      <c r="O165" s="3111"/>
      <c r="P165" s="3111"/>
      <c r="Q165" s="3111"/>
      <c r="R165" s="3111"/>
      <c r="S165" s="3111"/>
      <c r="T165" s="3111"/>
      <c r="U165" s="3111"/>
    </row>
    <row r="166" spans="1:21" s="890" customFormat="1" ht="14.25" customHeight="1">
      <c r="A166" s="3075" t="s">
        <v>1153</v>
      </c>
      <c r="B166" s="3075" t="s">
        <v>2776</v>
      </c>
      <c r="C166" s="3075">
        <v>11050</v>
      </c>
      <c r="D166" s="3075">
        <v>11010</v>
      </c>
      <c r="E166" s="3075">
        <v>13920</v>
      </c>
      <c r="F166" s="3081">
        <v>2140</v>
      </c>
      <c r="G166" s="3081">
        <v>7080</v>
      </c>
      <c r="I166" s="903"/>
      <c r="J166" s="3111"/>
      <c r="K166" s="3111"/>
      <c r="L166" s="3111"/>
      <c r="M166" s="3111"/>
      <c r="N166" s="3111"/>
      <c r="O166" s="3111"/>
      <c r="P166" s="3111"/>
      <c r="Q166" s="3111"/>
      <c r="R166" s="3111"/>
      <c r="S166" s="3111"/>
      <c r="T166" s="3111"/>
      <c r="U166" s="3111"/>
    </row>
    <row r="167" spans="1:21" s="890" customFormat="1" ht="14.25" customHeight="1">
      <c r="A167" s="3075" t="s">
        <v>1153</v>
      </c>
      <c r="B167" s="3075" t="s">
        <v>2777</v>
      </c>
      <c r="C167" s="3075">
        <v>10930</v>
      </c>
      <c r="D167" s="3075">
        <v>10890</v>
      </c>
      <c r="E167" s="3075">
        <v>13790</v>
      </c>
      <c r="F167" s="3081">
        <v>2010</v>
      </c>
      <c r="G167" s="3083">
        <v>7000</v>
      </c>
      <c r="I167" s="903"/>
      <c r="J167" s="3111"/>
      <c r="K167" s="3111"/>
      <c r="L167" s="3111"/>
      <c r="M167" s="3111"/>
      <c r="N167" s="3111"/>
      <c r="O167" s="3111"/>
      <c r="P167" s="3111"/>
      <c r="Q167" s="3111"/>
      <c r="R167" s="3111"/>
      <c r="S167" s="3111"/>
      <c r="T167" s="3111"/>
      <c r="U167" s="3111"/>
    </row>
    <row r="168" spans="1:21" s="890" customFormat="1" ht="14.25" customHeight="1">
      <c r="A168" s="3075" t="s">
        <v>1153</v>
      </c>
      <c r="B168" s="3075" t="s">
        <v>2778</v>
      </c>
      <c r="C168" s="3075">
        <v>9420</v>
      </c>
      <c r="D168" s="3075">
        <v>9380</v>
      </c>
      <c r="E168" s="3075">
        <v>11970</v>
      </c>
      <c r="F168" s="3081"/>
      <c r="G168" s="3083">
        <v>6040</v>
      </c>
      <c r="I168" s="903"/>
      <c r="J168" s="3111"/>
      <c r="K168" s="3111"/>
      <c r="L168" s="3111"/>
      <c r="M168" s="3111"/>
      <c r="N168" s="3111"/>
      <c r="O168" s="3111"/>
      <c r="P168" s="3111"/>
      <c r="Q168" s="3111"/>
      <c r="R168" s="3111"/>
      <c r="S168" s="3111"/>
      <c r="T168" s="3111"/>
      <c r="U168" s="3111"/>
    </row>
    <row r="169" spans="1:21" s="890" customFormat="1" ht="14.25" customHeight="1">
      <c r="A169" s="3075" t="s">
        <v>1153</v>
      </c>
      <c r="B169" s="3075" t="s">
        <v>2779</v>
      </c>
      <c r="C169" s="3075"/>
      <c r="D169" s="3075"/>
      <c r="E169" s="3075"/>
      <c r="F169" s="3081">
        <v>2880</v>
      </c>
      <c r="G169" s="3083"/>
      <c r="I169" s="903"/>
      <c r="J169" s="3111"/>
      <c r="K169" s="3111"/>
      <c r="L169" s="3111"/>
      <c r="M169" s="3111"/>
      <c r="N169" s="3111"/>
      <c r="O169" s="3111"/>
      <c r="P169" s="3111"/>
      <c r="Q169" s="3111"/>
      <c r="R169" s="3111"/>
      <c r="S169" s="3111"/>
      <c r="T169" s="3111"/>
      <c r="U169" s="3111"/>
    </row>
    <row r="170" spans="1:21" s="890" customFormat="1" ht="14.25" customHeight="1">
      <c r="A170" s="3075" t="s">
        <v>1153</v>
      </c>
      <c r="B170" s="3075" t="s">
        <v>2780</v>
      </c>
      <c r="C170" s="3075"/>
      <c r="D170" s="3075"/>
      <c r="E170" s="3075"/>
      <c r="F170" s="3081">
        <v>2880</v>
      </c>
      <c r="G170" s="3083"/>
      <c r="I170" s="903"/>
      <c r="J170" s="3111"/>
      <c r="K170" s="3111"/>
      <c r="L170" s="3111"/>
      <c r="M170" s="3111"/>
      <c r="N170" s="3111"/>
      <c r="O170" s="3111"/>
      <c r="P170" s="3111"/>
      <c r="Q170" s="3111"/>
      <c r="R170" s="3111"/>
      <c r="S170" s="3111"/>
      <c r="T170" s="3111"/>
      <c r="U170" s="3111"/>
    </row>
    <row r="171" spans="1:21" s="890" customFormat="1" ht="14.25" customHeight="1">
      <c r="A171" s="3075" t="s">
        <v>1153</v>
      </c>
      <c r="B171" s="3075" t="s">
        <v>2781</v>
      </c>
      <c r="C171" s="3075"/>
      <c r="D171" s="3075"/>
      <c r="E171" s="3075"/>
      <c r="F171" s="3081">
        <v>2880</v>
      </c>
      <c r="G171" s="3081"/>
      <c r="I171" s="903"/>
      <c r="J171" s="3111"/>
      <c r="K171" s="3111"/>
      <c r="L171" s="3111"/>
      <c r="M171" s="3111"/>
      <c r="N171" s="3111"/>
      <c r="O171" s="3111"/>
      <c r="P171" s="3111"/>
      <c r="Q171" s="3111"/>
      <c r="R171" s="3111"/>
      <c r="S171" s="3111"/>
      <c r="T171" s="3111"/>
      <c r="U171" s="3111"/>
    </row>
    <row r="172" spans="1:21" s="890" customFormat="1" ht="14.25" customHeight="1">
      <c r="A172" s="3075" t="s">
        <v>1153</v>
      </c>
      <c r="B172" s="3075" t="s">
        <v>2782</v>
      </c>
      <c r="C172" s="3075"/>
      <c r="D172" s="3075"/>
      <c r="E172" s="3075"/>
      <c r="F172" s="3081">
        <v>2880</v>
      </c>
      <c r="G172" s="3083"/>
      <c r="I172" s="903"/>
      <c r="J172" s="3111"/>
      <c r="K172" s="3111"/>
      <c r="L172" s="3111"/>
      <c r="M172" s="3111"/>
      <c r="N172" s="3111"/>
      <c r="O172" s="3111"/>
      <c r="P172" s="3111"/>
      <c r="Q172" s="3111"/>
      <c r="R172" s="3111"/>
      <c r="S172" s="3111"/>
      <c r="T172" s="3111"/>
      <c r="U172" s="3111"/>
    </row>
    <row r="173" spans="1:21" s="890" customFormat="1" ht="14.25" customHeight="1">
      <c r="A173" s="3075" t="s">
        <v>1153</v>
      </c>
      <c r="B173" s="3075" t="s">
        <v>2783</v>
      </c>
      <c r="C173" s="3075"/>
      <c r="D173" s="3075"/>
      <c r="E173" s="3075"/>
      <c r="F173" s="3081">
        <v>2150</v>
      </c>
      <c r="G173" s="3083"/>
      <c r="I173" s="903"/>
      <c r="J173" s="3111"/>
      <c r="K173" s="3111"/>
      <c r="L173" s="3111"/>
      <c r="M173" s="3111"/>
      <c r="N173" s="3111"/>
      <c r="O173" s="3111"/>
      <c r="P173" s="3111"/>
      <c r="Q173" s="3111"/>
      <c r="R173" s="3111"/>
      <c r="S173" s="3111"/>
      <c r="T173" s="3111"/>
      <c r="U173" s="3111"/>
    </row>
    <row r="174" spans="1:21" s="890" customFormat="1" ht="14.25" customHeight="1">
      <c r="A174" s="3075" t="s">
        <v>1153</v>
      </c>
      <c r="B174" s="3075" t="s">
        <v>2784</v>
      </c>
      <c r="C174" s="3075"/>
      <c r="D174" s="3075"/>
      <c r="E174" s="3075"/>
      <c r="F174" s="3081">
        <v>2030</v>
      </c>
      <c r="G174" s="3081"/>
      <c r="I174" s="903"/>
      <c r="J174" s="3111"/>
      <c r="K174" s="3111"/>
      <c r="L174" s="3111"/>
      <c r="M174" s="3111"/>
      <c r="N174" s="3111"/>
      <c r="O174" s="3111"/>
      <c r="P174" s="3111"/>
      <c r="Q174" s="3111"/>
      <c r="R174" s="3111"/>
      <c r="S174" s="3111"/>
      <c r="T174" s="3111"/>
      <c r="U174" s="3111"/>
    </row>
    <row r="175" spans="1:21" s="890" customFormat="1" ht="14.25" customHeight="1">
      <c r="A175" s="3075" t="s">
        <v>1153</v>
      </c>
      <c r="B175" s="3075" t="s">
        <v>2785</v>
      </c>
      <c r="C175" s="3075"/>
      <c r="D175" s="3075"/>
      <c r="E175" s="3075"/>
      <c r="F175" s="3081">
        <v>2780</v>
      </c>
      <c r="G175" s="3081"/>
      <c r="I175" s="903"/>
      <c r="J175" s="3111"/>
      <c r="K175" s="3111"/>
      <c r="L175" s="3111"/>
      <c r="M175" s="3111"/>
      <c r="N175" s="3111"/>
      <c r="O175" s="3111"/>
      <c r="P175" s="3111"/>
      <c r="Q175" s="3111"/>
      <c r="R175" s="3111"/>
      <c r="S175" s="3111"/>
      <c r="T175" s="3111"/>
      <c r="U175" s="3111"/>
    </row>
    <row r="176" spans="1:21" s="890" customFormat="1" ht="14.25" customHeight="1">
      <c r="A176" s="3075" t="s">
        <v>1153</v>
      </c>
      <c r="B176" s="3075" t="s">
        <v>2786</v>
      </c>
      <c r="C176" s="3075"/>
      <c r="D176" s="3075"/>
      <c r="E176" s="3075"/>
      <c r="F176" s="3081">
        <v>2780</v>
      </c>
      <c r="G176" s="3081"/>
      <c r="I176" s="903"/>
      <c r="J176" s="3111"/>
      <c r="K176" s="3111"/>
      <c r="L176" s="3111"/>
      <c r="M176" s="3111"/>
      <c r="N176" s="3111"/>
      <c r="O176" s="3111"/>
      <c r="P176" s="3111"/>
      <c r="Q176" s="3111"/>
      <c r="R176" s="3111"/>
      <c r="S176" s="3111"/>
      <c r="T176" s="3111"/>
      <c r="U176" s="3111"/>
    </row>
    <row r="177" spans="1:21" s="890" customFormat="1" ht="14.25" customHeight="1">
      <c r="A177" s="3075" t="s">
        <v>1153</v>
      </c>
      <c r="B177" s="3075" t="s">
        <v>2787</v>
      </c>
      <c r="C177" s="3075"/>
      <c r="D177" s="3075"/>
      <c r="E177" s="3075"/>
      <c r="F177" s="3081">
        <v>2780</v>
      </c>
      <c r="G177" s="3081"/>
      <c r="I177" s="903"/>
      <c r="J177" s="3111"/>
      <c r="K177" s="3111"/>
      <c r="L177" s="3111"/>
      <c r="M177" s="3111"/>
      <c r="N177" s="3111"/>
      <c r="O177" s="3111"/>
      <c r="P177" s="3111"/>
      <c r="Q177" s="3111"/>
      <c r="R177" s="3111"/>
      <c r="S177" s="3111"/>
      <c r="T177" s="3111"/>
      <c r="U177" s="3111"/>
    </row>
    <row r="178" spans="1:21" s="890" customFormat="1" ht="14.25" customHeight="1">
      <c r="A178" s="3075" t="s">
        <v>1153</v>
      </c>
      <c r="B178" s="3075" t="s">
        <v>2788</v>
      </c>
      <c r="C178" s="3075"/>
      <c r="D178" s="3075"/>
      <c r="E178" s="3075"/>
      <c r="F178" s="3081">
        <v>2060</v>
      </c>
      <c r="G178" s="3081"/>
      <c r="I178" s="903"/>
      <c r="J178" s="3111"/>
      <c r="K178" s="3111"/>
      <c r="L178" s="3111"/>
      <c r="M178" s="3111"/>
      <c r="N178" s="3111"/>
      <c r="O178" s="3111"/>
      <c r="P178" s="3111"/>
      <c r="Q178" s="3111"/>
      <c r="R178" s="3111"/>
      <c r="S178" s="3111"/>
      <c r="T178" s="3111"/>
      <c r="U178" s="3111"/>
    </row>
    <row r="179" spans="1:21" s="890" customFormat="1" ht="14.25" customHeight="1">
      <c r="A179" s="3075" t="s">
        <v>1153</v>
      </c>
      <c r="B179" s="3075" t="s">
        <v>2789</v>
      </c>
      <c r="C179" s="3075"/>
      <c r="D179" s="3075"/>
      <c r="E179" s="3075"/>
      <c r="F179" s="3081">
        <v>2120</v>
      </c>
      <c r="G179" s="3083"/>
      <c r="I179" s="903"/>
      <c r="J179" s="3111"/>
      <c r="K179" s="3111"/>
      <c r="L179" s="3111"/>
      <c r="M179" s="3111"/>
      <c r="N179" s="3111"/>
      <c r="O179" s="3111"/>
      <c r="P179" s="3111"/>
      <c r="Q179" s="3111"/>
      <c r="R179" s="3111"/>
      <c r="S179" s="3111"/>
      <c r="T179" s="3111"/>
      <c r="U179" s="3111"/>
    </row>
    <row r="180" spans="1:21" s="890" customFormat="1" ht="14.25" customHeight="1">
      <c r="A180" s="3075" t="s">
        <v>1153</v>
      </c>
      <c r="B180" s="3075" t="s">
        <v>2790</v>
      </c>
      <c r="C180" s="3075"/>
      <c r="D180" s="3075"/>
      <c r="E180" s="3075"/>
      <c r="F180" s="3081">
        <v>2340</v>
      </c>
      <c r="G180" s="3081"/>
      <c r="I180" s="903"/>
      <c r="J180" s="3111"/>
      <c r="K180" s="3111"/>
      <c r="L180" s="3111"/>
      <c r="M180" s="3111"/>
      <c r="N180" s="3111"/>
      <c r="O180" s="3111"/>
      <c r="P180" s="3111"/>
      <c r="Q180" s="3111"/>
      <c r="R180" s="3111"/>
      <c r="S180" s="3111"/>
      <c r="T180" s="3111"/>
      <c r="U180" s="3111"/>
    </row>
    <row r="181" spans="1:21" s="890" customFormat="1" ht="14.25" customHeight="1">
      <c r="A181" s="3075" t="s">
        <v>1153</v>
      </c>
      <c r="B181" s="3075" t="s">
        <v>2791</v>
      </c>
      <c r="C181" s="3075"/>
      <c r="D181" s="3075"/>
      <c r="E181" s="3075"/>
      <c r="F181" s="3081">
        <v>2340</v>
      </c>
      <c r="G181" s="3081"/>
      <c r="I181" s="903"/>
      <c r="J181" s="3111"/>
      <c r="K181" s="3111"/>
      <c r="L181" s="3111"/>
      <c r="M181" s="3111"/>
      <c r="N181" s="3111"/>
      <c r="O181" s="3111"/>
      <c r="P181" s="3111"/>
      <c r="Q181" s="3111"/>
      <c r="R181" s="3111"/>
      <c r="S181" s="3111"/>
      <c r="T181" s="3111"/>
      <c r="U181" s="3111"/>
    </row>
    <row r="182" spans="1:21" s="890" customFormat="1" ht="14.25" customHeight="1">
      <c r="A182" s="3075" t="s">
        <v>1153</v>
      </c>
      <c r="B182" s="3075" t="s">
        <v>2792</v>
      </c>
      <c r="C182" s="3075"/>
      <c r="D182" s="3075"/>
      <c r="E182" s="3075"/>
      <c r="F182" s="3081">
        <v>2340</v>
      </c>
      <c r="G182" s="3081"/>
      <c r="I182" s="903"/>
      <c r="J182" s="3111"/>
      <c r="K182" s="3111"/>
      <c r="L182" s="3111"/>
      <c r="M182" s="3111"/>
      <c r="N182" s="3111"/>
      <c r="O182" s="3111"/>
      <c r="P182" s="3111"/>
      <c r="Q182" s="3111"/>
      <c r="R182" s="3111"/>
      <c r="S182" s="3111"/>
      <c r="T182" s="3111"/>
      <c r="U182" s="3111"/>
    </row>
    <row r="183" spans="1:21" s="890" customFormat="1" ht="14.25" customHeight="1">
      <c r="A183" s="3075" t="s">
        <v>1153</v>
      </c>
      <c r="B183" s="3075" t="s">
        <v>2793</v>
      </c>
      <c r="C183" s="3075"/>
      <c r="D183" s="3075"/>
      <c r="E183" s="3075"/>
      <c r="F183" s="3081">
        <v>2340</v>
      </c>
      <c r="G183" s="3083"/>
      <c r="I183" s="903"/>
      <c r="J183" s="3111"/>
      <c r="K183" s="3111"/>
      <c r="L183" s="3111"/>
      <c r="M183" s="3111"/>
      <c r="N183" s="3111"/>
      <c r="O183" s="3111"/>
      <c r="P183" s="3111"/>
      <c r="Q183" s="3111"/>
      <c r="R183" s="3111"/>
      <c r="S183" s="3111"/>
      <c r="T183" s="3111"/>
      <c r="U183" s="3111"/>
    </row>
    <row r="184" spans="1:21" s="890" customFormat="1" ht="14.25" customHeight="1">
      <c r="A184" s="3075" t="s">
        <v>1153</v>
      </c>
      <c r="B184" s="3075" t="s">
        <v>2794</v>
      </c>
      <c r="C184" s="3075"/>
      <c r="D184" s="3075"/>
      <c r="E184" s="3075"/>
      <c r="F184" s="3081">
        <v>2340</v>
      </c>
      <c r="G184" s="3083"/>
      <c r="I184" s="903"/>
      <c r="J184" s="3111"/>
      <c r="K184" s="3111"/>
      <c r="L184" s="3111"/>
      <c r="M184" s="3111"/>
      <c r="N184" s="3111"/>
      <c r="O184" s="3111"/>
      <c r="P184" s="3111"/>
      <c r="Q184" s="3111"/>
      <c r="R184" s="3111"/>
      <c r="S184" s="3111"/>
      <c r="T184" s="3111"/>
      <c r="U184" s="3111"/>
    </row>
    <row r="185" spans="1:21" s="890" customFormat="1" ht="14.25" customHeight="1">
      <c r="A185" s="3075" t="s">
        <v>1153</v>
      </c>
      <c r="B185" s="3075" t="s">
        <v>2795</v>
      </c>
      <c r="C185" s="3075"/>
      <c r="D185" s="3075"/>
      <c r="E185" s="3075"/>
      <c r="F185" s="3081">
        <v>2530</v>
      </c>
      <c r="G185" s="3081"/>
      <c r="I185" s="903"/>
      <c r="J185" s="3111"/>
      <c r="K185" s="3111"/>
      <c r="L185" s="3111"/>
      <c r="M185" s="3111"/>
      <c r="N185" s="3111"/>
      <c r="O185" s="3111"/>
      <c r="P185" s="3111"/>
      <c r="Q185" s="3111"/>
      <c r="R185" s="3111"/>
      <c r="S185" s="3111"/>
      <c r="T185" s="3111"/>
      <c r="U185" s="3111"/>
    </row>
    <row r="186" spans="1:21" s="890" customFormat="1" ht="14.25" customHeight="1">
      <c r="A186" s="3075" t="s">
        <v>1153</v>
      </c>
      <c r="B186" s="3075" t="s">
        <v>2796</v>
      </c>
      <c r="C186" s="3075"/>
      <c r="D186" s="3075"/>
      <c r="E186" s="3075"/>
      <c r="F186" s="3081">
        <v>2550</v>
      </c>
      <c r="G186" s="3081"/>
      <c r="I186" s="903"/>
      <c r="J186" s="3111"/>
      <c r="K186" s="3111"/>
      <c r="L186" s="3111"/>
      <c r="M186" s="3111"/>
      <c r="N186" s="3111"/>
      <c r="O186" s="3111"/>
      <c r="P186" s="3111"/>
      <c r="Q186" s="3111"/>
      <c r="R186" s="3111"/>
      <c r="S186" s="3111"/>
      <c r="T186" s="3111"/>
      <c r="U186" s="3111"/>
    </row>
    <row r="187" spans="1:21" s="890" customFormat="1" ht="14.25" customHeight="1">
      <c r="A187" s="3075" t="s">
        <v>1153</v>
      </c>
      <c r="B187" s="3075" t="s">
        <v>2797</v>
      </c>
      <c r="C187" s="3075"/>
      <c r="D187" s="3075"/>
      <c r="E187" s="3075"/>
      <c r="F187" s="3081">
        <v>2070</v>
      </c>
      <c r="G187" s="3081"/>
      <c r="I187" s="903"/>
      <c r="J187" s="3111"/>
      <c r="K187" s="3111"/>
      <c r="L187" s="3111"/>
      <c r="M187" s="3111"/>
      <c r="N187" s="3111"/>
      <c r="O187" s="3111"/>
      <c r="P187" s="3111"/>
      <c r="Q187" s="3111"/>
      <c r="R187" s="3111"/>
      <c r="S187" s="3111"/>
      <c r="T187" s="3111"/>
      <c r="U187" s="3111"/>
    </row>
    <row r="188" spans="1:21" s="890" customFormat="1" ht="14.25" customHeight="1">
      <c r="A188" s="3075" t="s">
        <v>1153</v>
      </c>
      <c r="B188" s="3075" t="s">
        <v>2798</v>
      </c>
      <c r="C188" s="3075"/>
      <c r="D188" s="3075"/>
      <c r="E188" s="3075"/>
      <c r="F188" s="3081">
        <v>2340</v>
      </c>
      <c r="G188" s="3081"/>
      <c r="I188" s="903"/>
      <c r="J188" s="3111"/>
      <c r="K188" s="3111"/>
      <c r="L188" s="3111"/>
      <c r="M188" s="3111"/>
      <c r="N188" s="3111"/>
      <c r="O188" s="3111"/>
      <c r="P188" s="3111"/>
      <c r="Q188" s="3111"/>
      <c r="R188" s="3111"/>
      <c r="S188" s="3111"/>
      <c r="T188" s="3111"/>
      <c r="U188" s="3111"/>
    </row>
    <row r="189" spans="1:21" s="890" customFormat="1" ht="14.25" customHeight="1" thickBot="1">
      <c r="A189" s="3090" t="s">
        <v>1153</v>
      </c>
      <c r="B189" s="3078" t="s">
        <v>2799</v>
      </c>
      <c r="C189" s="3078"/>
      <c r="D189" s="3078"/>
      <c r="E189" s="3078"/>
      <c r="F189" s="3079">
        <v>2050</v>
      </c>
      <c r="G189" s="3091"/>
      <c r="I189" s="903"/>
      <c r="J189" s="3111"/>
      <c r="K189" s="3111"/>
      <c r="L189" s="3111"/>
      <c r="M189" s="3111"/>
      <c r="N189" s="3111"/>
      <c r="O189" s="3111"/>
      <c r="P189" s="3111"/>
      <c r="Q189" s="3111"/>
      <c r="R189" s="3111"/>
      <c r="S189" s="3111"/>
      <c r="T189" s="3111"/>
      <c r="U189" s="3111"/>
    </row>
    <row r="190" spans="1:21" s="890" customFormat="1" ht="14.25" customHeight="1">
      <c r="A190" s="3089" t="s">
        <v>1154</v>
      </c>
      <c r="B190" s="1137" t="s">
        <v>2800</v>
      </c>
      <c r="C190" s="1137">
        <v>8830</v>
      </c>
      <c r="D190" s="1137">
        <v>8790</v>
      </c>
      <c r="E190" s="1137">
        <v>11630</v>
      </c>
      <c r="F190" s="3076">
        <v>1790</v>
      </c>
      <c r="G190" s="3076">
        <v>5550</v>
      </c>
      <c r="I190" s="903"/>
      <c r="J190" s="3111"/>
      <c r="K190" s="3111"/>
      <c r="L190" s="3111"/>
      <c r="M190" s="3111"/>
      <c r="N190" s="3111"/>
      <c r="O190" s="3111"/>
      <c r="P190" s="3111"/>
      <c r="Q190" s="3111"/>
      <c r="R190" s="3111"/>
      <c r="S190" s="3111"/>
      <c r="T190" s="3111"/>
      <c r="U190" s="3111"/>
    </row>
    <row r="191" spans="1:21" s="890" customFormat="1" ht="14.25" customHeight="1">
      <c r="A191" s="3075" t="s">
        <v>1154</v>
      </c>
      <c r="B191" s="3075" t="s">
        <v>978</v>
      </c>
      <c r="C191" s="3075">
        <v>9780</v>
      </c>
      <c r="D191" s="3075">
        <v>9710</v>
      </c>
      <c r="E191" s="3075">
        <v>12550</v>
      </c>
      <c r="F191" s="3081">
        <v>1980</v>
      </c>
      <c r="G191" s="3081">
        <v>6130</v>
      </c>
      <c r="I191" s="903"/>
      <c r="J191" s="3111"/>
      <c r="K191" s="3111"/>
      <c r="L191" s="3111"/>
      <c r="M191" s="3111"/>
      <c r="N191" s="3111"/>
      <c r="O191" s="3111"/>
      <c r="P191" s="3111"/>
      <c r="Q191" s="3111"/>
      <c r="R191" s="3111"/>
      <c r="S191" s="3111"/>
      <c r="T191" s="3111"/>
      <c r="U191" s="3111"/>
    </row>
    <row r="192" spans="1:21" s="890" customFormat="1" ht="14.25" customHeight="1">
      <c r="A192" s="3075" t="s">
        <v>1154</v>
      </c>
      <c r="B192" s="3075" t="s">
        <v>988</v>
      </c>
      <c r="C192" s="3075">
        <v>8180</v>
      </c>
      <c r="D192" s="3075">
        <v>8140</v>
      </c>
      <c r="E192" s="3075">
        <v>10870</v>
      </c>
      <c r="F192" s="3081">
        <v>1690</v>
      </c>
      <c r="G192" s="3081">
        <v>5140</v>
      </c>
      <c r="I192" s="903"/>
      <c r="J192" s="3111"/>
      <c r="K192" s="3111"/>
      <c r="L192" s="3111"/>
      <c r="M192" s="3111"/>
      <c r="N192" s="3111"/>
      <c r="O192" s="3111"/>
      <c r="P192" s="3111"/>
      <c r="Q192" s="3111"/>
      <c r="R192" s="3111"/>
      <c r="S192" s="3111"/>
      <c r="T192" s="3111"/>
      <c r="U192" s="3111"/>
    </row>
    <row r="193" spans="1:21" s="890" customFormat="1" ht="14.25" customHeight="1">
      <c r="A193" s="3075" t="s">
        <v>1154</v>
      </c>
      <c r="B193" s="3075" t="s">
        <v>997</v>
      </c>
      <c r="C193" s="3075">
        <v>8440</v>
      </c>
      <c r="D193" s="3075">
        <v>8390</v>
      </c>
      <c r="E193" s="3075">
        <v>11210</v>
      </c>
      <c r="F193" s="3081">
        <v>1600</v>
      </c>
      <c r="G193" s="3081">
        <v>5300</v>
      </c>
      <c r="I193" s="903"/>
      <c r="J193" s="3111"/>
      <c r="K193" s="3111"/>
      <c r="L193" s="3111"/>
      <c r="M193" s="3111"/>
      <c r="N193" s="3111"/>
      <c r="O193" s="3111"/>
      <c r="P193" s="3111"/>
      <c r="Q193" s="3111"/>
      <c r="R193" s="3111"/>
      <c r="S193" s="3111"/>
      <c r="T193" s="3111"/>
      <c r="U193" s="3111"/>
    </row>
    <row r="194" spans="1:21" s="890" customFormat="1" ht="14.25" customHeight="1">
      <c r="A194" s="3075" t="s">
        <v>1154</v>
      </c>
      <c r="B194" s="3075" t="s">
        <v>1007</v>
      </c>
      <c r="C194" s="3075">
        <v>8780</v>
      </c>
      <c r="D194" s="3075">
        <v>8730</v>
      </c>
      <c r="E194" s="3075">
        <v>11550</v>
      </c>
      <c r="F194" s="3081">
        <v>1660</v>
      </c>
      <c r="G194" s="3081">
        <v>5520</v>
      </c>
      <c r="I194" s="903"/>
      <c r="J194" s="3111"/>
      <c r="K194" s="3111"/>
      <c r="L194" s="3111"/>
      <c r="M194" s="3111"/>
      <c r="N194" s="3111"/>
      <c r="O194" s="3111"/>
      <c r="P194" s="3111"/>
      <c r="Q194" s="3111"/>
      <c r="R194" s="3111"/>
      <c r="S194" s="3111"/>
      <c r="T194" s="3111"/>
      <c r="U194" s="3111"/>
    </row>
    <row r="195" spans="1:21" s="890" customFormat="1" ht="14.25" customHeight="1">
      <c r="A195" s="3075" t="s">
        <v>1154</v>
      </c>
      <c r="B195" s="3075" t="s">
        <v>1014</v>
      </c>
      <c r="C195" s="3075">
        <v>8720</v>
      </c>
      <c r="D195" s="3075">
        <v>8670</v>
      </c>
      <c r="E195" s="3075">
        <v>11450</v>
      </c>
      <c r="F195" s="3081">
        <v>1720</v>
      </c>
      <c r="G195" s="3081">
        <v>5480</v>
      </c>
      <c r="I195" s="903"/>
      <c r="J195" s="3111"/>
      <c r="K195" s="3111"/>
      <c r="L195" s="3111"/>
      <c r="M195" s="3111"/>
      <c r="N195" s="3111"/>
      <c r="O195" s="3111"/>
      <c r="P195" s="3111"/>
      <c r="Q195" s="3111"/>
      <c r="R195" s="3111"/>
      <c r="S195" s="3111"/>
      <c r="T195" s="3111"/>
      <c r="U195" s="3111"/>
    </row>
    <row r="196" spans="1:21" s="890" customFormat="1" ht="14.25" customHeight="1">
      <c r="A196" s="3075" t="s">
        <v>1154</v>
      </c>
      <c r="B196" s="3075" t="s">
        <v>1020</v>
      </c>
      <c r="C196" s="3075">
        <v>8460</v>
      </c>
      <c r="D196" s="3075">
        <v>8410</v>
      </c>
      <c r="E196" s="3075">
        <v>11230</v>
      </c>
      <c r="F196" s="3081">
        <v>1730</v>
      </c>
      <c r="G196" s="3081">
        <v>5310</v>
      </c>
      <c r="I196" s="903"/>
      <c r="J196" s="3111"/>
      <c r="K196" s="3111"/>
      <c r="L196" s="3111"/>
      <c r="M196" s="3111"/>
      <c r="N196" s="3111"/>
      <c r="O196" s="3111"/>
      <c r="P196" s="3111"/>
      <c r="Q196" s="3111"/>
      <c r="R196" s="3111"/>
      <c r="S196" s="3111"/>
      <c r="T196" s="3111"/>
      <c r="U196" s="3111"/>
    </row>
    <row r="197" spans="1:21" s="890" customFormat="1" ht="14.25" customHeight="1">
      <c r="A197" s="3075" t="s">
        <v>1154</v>
      </c>
      <c r="B197" s="3075" t="s">
        <v>1027</v>
      </c>
      <c r="C197" s="3075">
        <v>8790</v>
      </c>
      <c r="D197" s="3075">
        <v>8730</v>
      </c>
      <c r="E197" s="3075">
        <v>11560</v>
      </c>
      <c r="F197" s="3081">
        <v>1750</v>
      </c>
      <c r="G197" s="3081">
        <v>5520</v>
      </c>
      <c r="I197" s="903"/>
      <c r="J197" s="3111"/>
      <c r="K197" s="3111"/>
      <c r="L197" s="3111"/>
      <c r="M197" s="3111"/>
      <c r="N197" s="3111"/>
      <c r="O197" s="3111"/>
      <c r="P197" s="3111"/>
      <c r="Q197" s="3111"/>
      <c r="R197" s="3111"/>
      <c r="S197" s="3111"/>
      <c r="T197" s="3111"/>
      <c r="U197" s="3111"/>
    </row>
    <row r="198" spans="1:21" s="890" customFormat="1" ht="14.25" customHeight="1">
      <c r="A198" s="3075" t="s">
        <v>1154</v>
      </c>
      <c r="B198" s="3075" t="s">
        <v>1037</v>
      </c>
      <c r="C198" s="3075">
        <v>8720</v>
      </c>
      <c r="D198" s="3075">
        <v>8680</v>
      </c>
      <c r="E198" s="3075">
        <v>11470</v>
      </c>
      <c r="F198" s="3081"/>
      <c r="G198" s="3081">
        <v>5480</v>
      </c>
      <c r="I198" s="903"/>
      <c r="J198" s="3111"/>
      <c r="K198" s="3111"/>
      <c r="L198" s="3111"/>
      <c r="M198" s="3111"/>
      <c r="N198" s="3111"/>
      <c r="O198" s="3111"/>
      <c r="P198" s="3111"/>
      <c r="Q198" s="3111"/>
      <c r="R198" s="3111"/>
      <c r="S198" s="3111"/>
      <c r="T198" s="3111"/>
      <c r="U198" s="3111"/>
    </row>
    <row r="199" spans="1:21" s="890" customFormat="1" ht="14.25" customHeight="1">
      <c r="A199" s="3075" t="s">
        <v>1154</v>
      </c>
      <c r="B199" s="3075" t="s">
        <v>2801</v>
      </c>
      <c r="C199" s="3075">
        <v>8690</v>
      </c>
      <c r="D199" s="3075">
        <v>8630</v>
      </c>
      <c r="E199" s="3075">
        <v>11350</v>
      </c>
      <c r="F199" s="3081">
        <v>1600</v>
      </c>
      <c r="G199" s="3081">
        <v>5450</v>
      </c>
      <c r="I199" s="903"/>
      <c r="J199" s="3111"/>
      <c r="K199" s="3111"/>
      <c r="L199" s="3111"/>
      <c r="M199" s="3111"/>
      <c r="N199" s="3111"/>
      <c r="O199" s="3111"/>
      <c r="P199" s="3111"/>
      <c r="Q199" s="3111"/>
      <c r="R199" s="3111"/>
      <c r="S199" s="3111"/>
      <c r="T199" s="3111"/>
      <c r="U199" s="3111"/>
    </row>
    <row r="200" spans="1:21" s="890" customFormat="1" ht="14.25" customHeight="1">
      <c r="A200" s="3075" t="s">
        <v>1154</v>
      </c>
      <c r="B200" s="3075" t="s">
        <v>2802</v>
      </c>
      <c r="C200" s="3075"/>
      <c r="D200" s="3075"/>
      <c r="E200" s="3075"/>
      <c r="F200" s="3081">
        <v>1510</v>
      </c>
      <c r="G200" s="3081"/>
      <c r="I200" s="903"/>
      <c r="J200" s="3111"/>
      <c r="K200" s="3111"/>
      <c r="L200" s="3111"/>
      <c r="M200" s="3111"/>
      <c r="N200" s="3111"/>
      <c r="O200" s="3111"/>
      <c r="P200" s="3111"/>
      <c r="Q200" s="3111"/>
      <c r="R200" s="3111"/>
      <c r="S200" s="3111"/>
      <c r="T200" s="3111"/>
      <c r="U200" s="3111"/>
    </row>
    <row r="201" spans="1:21" s="890" customFormat="1" ht="14.25" customHeight="1">
      <c r="A201" s="3075" t="s">
        <v>1154</v>
      </c>
      <c r="B201" s="3075" t="s">
        <v>2803</v>
      </c>
      <c r="C201" s="3075">
        <v>8440</v>
      </c>
      <c r="D201" s="3075">
        <v>8390</v>
      </c>
      <c r="E201" s="3075">
        <v>10930</v>
      </c>
      <c r="F201" s="3081">
        <v>1500</v>
      </c>
      <c r="G201" s="3081">
        <v>5300</v>
      </c>
      <c r="I201" s="903"/>
      <c r="J201" s="3111"/>
      <c r="K201" s="3111"/>
      <c r="L201" s="3111"/>
      <c r="M201" s="3111"/>
      <c r="N201" s="3111"/>
      <c r="O201" s="3111"/>
      <c r="P201" s="3111"/>
      <c r="Q201" s="3111"/>
      <c r="R201" s="3111"/>
      <c r="S201" s="3111"/>
      <c r="T201" s="3111"/>
      <c r="U201" s="3111"/>
    </row>
    <row r="202" spans="1:21" s="890" customFormat="1" ht="14.25" customHeight="1">
      <c r="A202" s="3075" t="s">
        <v>1154</v>
      </c>
      <c r="B202" s="3075" t="s">
        <v>1088</v>
      </c>
      <c r="C202" s="3075">
        <v>8530</v>
      </c>
      <c r="D202" s="3075">
        <v>8490</v>
      </c>
      <c r="E202" s="3075">
        <v>11160</v>
      </c>
      <c r="F202" s="3081">
        <v>1580</v>
      </c>
      <c r="G202" s="3081">
        <v>5360</v>
      </c>
      <c r="I202" s="903"/>
      <c r="J202" s="3111"/>
      <c r="K202" s="3111"/>
      <c r="L202" s="3111"/>
      <c r="M202" s="3111"/>
      <c r="N202" s="3111"/>
      <c r="O202" s="3111"/>
      <c r="P202" s="3111"/>
      <c r="Q202" s="3111"/>
      <c r="R202" s="3111"/>
      <c r="S202" s="3111"/>
      <c r="T202" s="3111"/>
      <c r="U202" s="3111"/>
    </row>
    <row r="203" spans="1:21" s="890" customFormat="1" ht="14.25" customHeight="1">
      <c r="A203" s="3075" t="s">
        <v>1154</v>
      </c>
      <c r="B203" s="3075" t="s">
        <v>2804</v>
      </c>
      <c r="C203" s="3075">
        <v>8130</v>
      </c>
      <c r="D203" s="3075">
        <v>8070</v>
      </c>
      <c r="E203" s="3075">
        <v>10820</v>
      </c>
      <c r="F203" s="3081">
        <v>1690</v>
      </c>
      <c r="G203" s="3081">
        <v>5100</v>
      </c>
      <c r="I203" s="903"/>
      <c r="J203" s="3111"/>
      <c r="K203" s="3111"/>
      <c r="L203" s="3111"/>
      <c r="M203" s="3111"/>
      <c r="N203" s="3111"/>
      <c r="O203" s="3111"/>
      <c r="P203" s="3111"/>
      <c r="Q203" s="3111"/>
      <c r="R203" s="3111"/>
      <c r="S203" s="3111"/>
      <c r="T203" s="3111"/>
      <c r="U203" s="3111"/>
    </row>
    <row r="204" spans="1:21" s="890" customFormat="1" ht="14.25" customHeight="1">
      <c r="A204" s="3075" t="s">
        <v>1154</v>
      </c>
      <c r="B204" s="3075" t="s">
        <v>2805</v>
      </c>
      <c r="C204" s="3075">
        <v>8350</v>
      </c>
      <c r="D204" s="3075">
        <v>8290</v>
      </c>
      <c r="E204" s="3075">
        <v>11080</v>
      </c>
      <c r="F204" s="3081">
        <v>1450</v>
      </c>
      <c r="G204" s="3081">
        <v>5240</v>
      </c>
      <c r="I204" s="903"/>
      <c r="J204" s="3111"/>
      <c r="K204" s="3111"/>
      <c r="L204" s="3111"/>
      <c r="M204" s="3111"/>
      <c r="N204" s="3111"/>
      <c r="O204" s="3111"/>
      <c r="P204" s="3111"/>
      <c r="Q204" s="3111"/>
      <c r="R204" s="3111"/>
      <c r="S204" s="3111"/>
      <c r="T204" s="3111"/>
      <c r="U204" s="3111"/>
    </row>
    <row r="205" spans="1:21" s="890" customFormat="1" ht="14.25" customHeight="1">
      <c r="A205" s="3075" t="s">
        <v>1154</v>
      </c>
      <c r="B205" s="3075" t="s">
        <v>2806</v>
      </c>
      <c r="C205" s="3075">
        <v>7190</v>
      </c>
      <c r="D205" s="3075">
        <v>7130</v>
      </c>
      <c r="E205" s="3075">
        <v>9490</v>
      </c>
      <c r="F205" s="3081">
        <v>1470</v>
      </c>
      <c r="G205" s="3088">
        <v>4510</v>
      </c>
      <c r="I205" s="903"/>
      <c r="J205" s="3111"/>
      <c r="K205" s="3111"/>
      <c r="L205" s="3111"/>
      <c r="M205" s="3111"/>
      <c r="N205" s="3111"/>
      <c r="O205" s="3111"/>
      <c r="P205" s="3111"/>
      <c r="Q205" s="3111"/>
      <c r="R205" s="3111"/>
      <c r="S205" s="3111"/>
      <c r="T205" s="3111"/>
      <c r="U205" s="3111"/>
    </row>
    <row r="206" spans="1:21" s="890" customFormat="1" ht="14.25" customHeight="1">
      <c r="A206" s="1137" t="s">
        <v>1154</v>
      </c>
      <c r="B206" s="1137" t="s">
        <v>2807</v>
      </c>
      <c r="C206" s="1137">
        <v>7000</v>
      </c>
      <c r="D206" s="1137">
        <v>6950</v>
      </c>
      <c r="E206" s="1137">
        <v>9170</v>
      </c>
      <c r="F206" s="3076">
        <v>1400</v>
      </c>
      <c r="G206" s="3076">
        <v>4380</v>
      </c>
      <c r="I206" s="903"/>
      <c r="J206" s="3111"/>
      <c r="K206" s="3111"/>
      <c r="L206" s="3111"/>
      <c r="M206" s="3111"/>
      <c r="N206" s="3111"/>
      <c r="O206" s="3111"/>
      <c r="P206" s="3111"/>
      <c r="Q206" s="3111"/>
      <c r="R206" s="3111"/>
      <c r="S206" s="3111"/>
      <c r="T206" s="3111"/>
      <c r="U206" s="3111"/>
    </row>
    <row r="207" spans="1:21" s="890" customFormat="1" ht="14.25" customHeight="1">
      <c r="A207" s="3075" t="s">
        <v>1154</v>
      </c>
      <c r="B207" s="3075" t="s">
        <v>2808</v>
      </c>
      <c r="C207" s="3075">
        <v>6950</v>
      </c>
      <c r="D207" s="3075">
        <v>6900</v>
      </c>
      <c r="E207" s="3075">
        <v>9110</v>
      </c>
      <c r="F207" s="3081">
        <v>1790</v>
      </c>
      <c r="G207" s="3081">
        <v>4360</v>
      </c>
      <c r="I207" s="903"/>
      <c r="J207" s="3111"/>
      <c r="K207" s="3111"/>
      <c r="L207" s="3111"/>
      <c r="M207" s="3111"/>
      <c r="N207" s="3111"/>
      <c r="O207" s="3111"/>
      <c r="P207" s="3111"/>
      <c r="Q207" s="3111"/>
      <c r="R207" s="3111"/>
      <c r="S207" s="3111"/>
      <c r="T207" s="3111"/>
      <c r="U207" s="3111"/>
    </row>
    <row r="208" spans="1:21" s="890" customFormat="1" ht="14.25" customHeight="1">
      <c r="A208" s="3075" t="s">
        <v>1154</v>
      </c>
      <c r="B208" s="3075" t="s">
        <v>2809</v>
      </c>
      <c r="C208" s="3075">
        <v>9470</v>
      </c>
      <c r="D208" s="3075">
        <v>9410</v>
      </c>
      <c r="E208" s="3075">
        <v>12330</v>
      </c>
      <c r="F208" s="3081">
        <v>1770</v>
      </c>
      <c r="G208" s="3081">
        <v>5940</v>
      </c>
      <c r="I208" s="903"/>
      <c r="J208" s="3111"/>
      <c r="K208" s="3111"/>
      <c r="L208" s="3111"/>
      <c r="M208" s="3111"/>
      <c r="N208" s="3111"/>
      <c r="O208" s="3111"/>
      <c r="P208" s="3111"/>
      <c r="Q208" s="3111"/>
      <c r="R208" s="3111"/>
      <c r="S208" s="3111"/>
      <c r="T208" s="3111"/>
      <c r="U208" s="3111"/>
    </row>
    <row r="209" spans="1:21" s="890" customFormat="1" ht="14.25" customHeight="1">
      <c r="A209" s="3075" t="s">
        <v>1154</v>
      </c>
      <c r="B209" s="3075" t="s">
        <v>1112</v>
      </c>
      <c r="C209" s="3075">
        <v>8740</v>
      </c>
      <c r="D209" s="3075">
        <v>8700</v>
      </c>
      <c r="E209" s="3075">
        <v>11500</v>
      </c>
      <c r="F209" s="3081">
        <v>1730</v>
      </c>
      <c r="G209" s="3081">
        <v>5490</v>
      </c>
      <c r="I209" s="903"/>
      <c r="J209" s="3111"/>
      <c r="K209" s="3111"/>
      <c r="L209" s="3111"/>
      <c r="M209" s="3111"/>
      <c r="N209" s="3111"/>
      <c r="O209" s="3111"/>
      <c r="P209" s="3111"/>
      <c r="Q209" s="3111"/>
      <c r="R209" s="3111"/>
      <c r="S209" s="3111"/>
      <c r="T209" s="3111"/>
      <c r="U209" s="3111"/>
    </row>
    <row r="210" spans="1:21" s="890" customFormat="1" ht="14.25" customHeight="1">
      <c r="A210" s="3075" t="s">
        <v>1154</v>
      </c>
      <c r="B210" s="3075" t="s">
        <v>2810</v>
      </c>
      <c r="C210" s="3075">
        <v>8710</v>
      </c>
      <c r="D210" s="3075">
        <v>8660</v>
      </c>
      <c r="E210" s="3075">
        <v>11440</v>
      </c>
      <c r="F210" s="3081">
        <v>1740</v>
      </c>
      <c r="G210" s="3081">
        <v>5470</v>
      </c>
      <c r="I210" s="903"/>
      <c r="J210" s="3111"/>
      <c r="K210" s="3111"/>
      <c r="L210" s="3111"/>
      <c r="M210" s="3111"/>
      <c r="N210" s="3111"/>
      <c r="O210" s="3111"/>
      <c r="P210" s="3111"/>
      <c r="Q210" s="3111"/>
      <c r="R210" s="3111"/>
      <c r="S210" s="3111"/>
      <c r="T210" s="3111"/>
      <c r="U210" s="3111"/>
    </row>
    <row r="211" spans="1:21" s="890" customFormat="1" ht="14.25" customHeight="1">
      <c r="A211" s="3075" t="s">
        <v>1154</v>
      </c>
      <c r="B211" s="3075" t="s">
        <v>2811</v>
      </c>
      <c r="C211" s="3075">
        <v>9480</v>
      </c>
      <c r="D211" s="3075">
        <v>9430</v>
      </c>
      <c r="E211" s="3075">
        <v>12360</v>
      </c>
      <c r="F211" s="3081">
        <v>1820</v>
      </c>
      <c r="G211" s="3081">
        <v>5950</v>
      </c>
      <c r="I211" s="903"/>
      <c r="J211" s="3111"/>
      <c r="K211" s="3111"/>
      <c r="L211" s="3111"/>
      <c r="M211" s="3111"/>
      <c r="N211" s="3111"/>
      <c r="O211" s="3111"/>
      <c r="P211" s="3111"/>
      <c r="Q211" s="3111"/>
      <c r="R211" s="3111"/>
      <c r="S211" s="3111"/>
      <c r="T211" s="3111"/>
      <c r="U211" s="3111"/>
    </row>
    <row r="212" spans="1:21" s="890" customFormat="1" ht="14.25" customHeight="1">
      <c r="A212" s="3075" t="s">
        <v>1154</v>
      </c>
      <c r="B212" s="3075" t="s">
        <v>1134</v>
      </c>
      <c r="C212" s="3075">
        <v>9070</v>
      </c>
      <c r="D212" s="3075">
        <v>9020</v>
      </c>
      <c r="E212" s="3075">
        <v>11720</v>
      </c>
      <c r="F212" s="3081">
        <v>1850</v>
      </c>
      <c r="G212" s="3081">
        <v>5700</v>
      </c>
      <c r="I212" s="903"/>
      <c r="J212" s="3111"/>
      <c r="K212" s="3111"/>
      <c r="L212" s="3111"/>
      <c r="M212" s="3111"/>
      <c r="N212" s="3111"/>
      <c r="O212" s="3111"/>
      <c r="P212" s="3111"/>
      <c r="Q212" s="3111"/>
      <c r="R212" s="3111"/>
      <c r="S212" s="3111"/>
      <c r="T212" s="3111"/>
      <c r="U212" s="3111"/>
    </row>
    <row r="213" spans="1:21" s="890" customFormat="1" ht="14.25" customHeight="1">
      <c r="A213" s="3075" t="s">
        <v>1154</v>
      </c>
      <c r="B213" s="3075" t="s">
        <v>1137</v>
      </c>
      <c r="C213" s="3075">
        <v>9030</v>
      </c>
      <c r="D213" s="3075">
        <v>8980</v>
      </c>
      <c r="E213" s="3075">
        <v>11670</v>
      </c>
      <c r="F213" s="3081">
        <v>1690</v>
      </c>
      <c r="G213" s="3081">
        <v>5670</v>
      </c>
      <c r="I213" s="903"/>
      <c r="J213" s="3111"/>
      <c r="K213" s="3111"/>
      <c r="L213" s="3111"/>
      <c r="M213" s="3111"/>
      <c r="N213" s="3111"/>
      <c r="O213" s="3111"/>
      <c r="P213" s="3111"/>
      <c r="Q213" s="3111"/>
      <c r="R213" s="3111"/>
      <c r="S213" s="3111"/>
      <c r="T213" s="3111"/>
      <c r="U213" s="3111"/>
    </row>
    <row r="214" spans="1:21" s="890" customFormat="1" ht="14.25" customHeight="1">
      <c r="A214" s="3075" t="s">
        <v>1154</v>
      </c>
      <c r="B214" s="3075" t="s">
        <v>2812</v>
      </c>
      <c r="C214" s="3075">
        <v>8090</v>
      </c>
      <c r="D214" s="3075">
        <v>8030</v>
      </c>
      <c r="E214" s="3075">
        <v>10780</v>
      </c>
      <c r="F214" s="3081">
        <v>1570</v>
      </c>
      <c r="G214" s="3083">
        <v>5070</v>
      </c>
      <c r="I214" s="903"/>
      <c r="J214" s="3111"/>
      <c r="K214" s="3111"/>
      <c r="L214" s="3111"/>
      <c r="M214" s="3111"/>
      <c r="N214" s="3111"/>
      <c r="O214" s="3111"/>
      <c r="P214" s="3111"/>
      <c r="Q214" s="3111"/>
      <c r="R214" s="3111"/>
      <c r="S214" s="3111"/>
      <c r="T214" s="3111"/>
      <c r="U214" s="3111"/>
    </row>
    <row r="215" spans="1:21" s="890" customFormat="1" ht="14.25" customHeight="1">
      <c r="A215" s="3075" t="s">
        <v>1154</v>
      </c>
      <c r="B215" s="3075" t="s">
        <v>1123</v>
      </c>
      <c r="C215" s="3075">
        <v>7950</v>
      </c>
      <c r="D215" s="3075">
        <v>7900</v>
      </c>
      <c r="E215" s="3075">
        <v>10560</v>
      </c>
      <c r="F215" s="3081">
        <v>1630</v>
      </c>
      <c r="G215" s="3081">
        <v>4990</v>
      </c>
      <c r="I215" s="903"/>
      <c r="J215" s="3111"/>
      <c r="K215" s="3111"/>
      <c r="L215" s="3111"/>
      <c r="M215" s="3111"/>
      <c r="N215" s="3111"/>
      <c r="O215" s="3111"/>
      <c r="P215" s="3111"/>
      <c r="Q215" s="3111"/>
      <c r="R215" s="3111"/>
      <c r="S215" s="3111"/>
      <c r="T215" s="3111"/>
      <c r="U215" s="3111"/>
    </row>
    <row r="216" spans="1:21" s="890" customFormat="1" ht="14.25" customHeight="1">
      <c r="A216" s="3075" t="s">
        <v>1154</v>
      </c>
      <c r="B216" s="3075" t="s">
        <v>2813</v>
      </c>
      <c r="C216" s="3075">
        <v>8490</v>
      </c>
      <c r="D216" s="3075">
        <v>8440</v>
      </c>
      <c r="E216" s="3075">
        <v>11260</v>
      </c>
      <c r="F216" s="3081">
        <v>1690</v>
      </c>
      <c r="G216" s="3081">
        <v>5330</v>
      </c>
      <c r="I216" s="903"/>
      <c r="J216" s="3111"/>
      <c r="K216" s="3111"/>
      <c r="L216" s="3111"/>
      <c r="M216" s="3111"/>
      <c r="N216" s="3111"/>
      <c r="O216" s="3111"/>
      <c r="P216" s="3111"/>
      <c r="Q216" s="3111"/>
      <c r="R216" s="3111"/>
      <c r="S216" s="3111"/>
      <c r="T216" s="3111"/>
      <c r="U216" s="3111"/>
    </row>
    <row r="217" spans="1:21" s="890" customFormat="1" ht="14.25" customHeight="1">
      <c r="A217" s="3075" t="s">
        <v>1154</v>
      </c>
      <c r="B217" s="3075" t="s">
        <v>2814</v>
      </c>
      <c r="C217" s="3075">
        <v>8200</v>
      </c>
      <c r="D217" s="3075">
        <v>8150</v>
      </c>
      <c r="E217" s="3075">
        <v>10910</v>
      </c>
      <c r="F217" s="3081">
        <v>1670</v>
      </c>
      <c r="G217" s="3081">
        <v>5150</v>
      </c>
      <c r="I217" s="903"/>
      <c r="J217" s="3111"/>
      <c r="K217" s="3111"/>
      <c r="L217" s="3111"/>
      <c r="M217" s="3111"/>
      <c r="N217" s="3111"/>
      <c r="O217" s="3111"/>
      <c r="P217" s="3111"/>
      <c r="Q217" s="3111"/>
      <c r="R217" s="3111"/>
      <c r="S217" s="3111"/>
      <c r="T217" s="3111"/>
      <c r="U217" s="3111"/>
    </row>
    <row r="218" spans="1:21" s="890" customFormat="1" ht="14.25" customHeight="1">
      <c r="A218" s="3075" t="s">
        <v>1154</v>
      </c>
      <c r="B218" s="3075" t="s">
        <v>2815</v>
      </c>
      <c r="C218" s="3075"/>
      <c r="D218" s="3075"/>
      <c r="E218" s="3075"/>
      <c r="F218" s="3081">
        <v>2040</v>
      </c>
      <c r="G218" s="3081"/>
      <c r="I218" s="903"/>
      <c r="J218" s="3111"/>
      <c r="K218" s="3111"/>
      <c r="L218" s="3111"/>
      <c r="M218" s="3111"/>
      <c r="N218" s="3111"/>
      <c r="O218" s="3111"/>
      <c r="P218" s="3111"/>
      <c r="Q218" s="3111"/>
      <c r="R218" s="3111"/>
      <c r="S218" s="3111"/>
      <c r="T218" s="3111"/>
      <c r="U218" s="3111"/>
    </row>
    <row r="219" spans="1:21" s="890" customFormat="1" ht="14.25" customHeight="1">
      <c r="A219" s="3075" t="s">
        <v>1154</v>
      </c>
      <c r="B219" s="3075" t="s">
        <v>2816</v>
      </c>
      <c r="C219" s="3075"/>
      <c r="D219" s="3075"/>
      <c r="E219" s="3075"/>
      <c r="F219" s="3081">
        <v>2040</v>
      </c>
      <c r="G219" s="3081"/>
      <c r="I219" s="903"/>
      <c r="J219" s="3111"/>
      <c r="K219" s="3111"/>
      <c r="L219" s="3111"/>
      <c r="M219" s="3111"/>
      <c r="N219" s="3111"/>
      <c r="O219" s="3111"/>
      <c r="P219" s="3111"/>
      <c r="Q219" s="3111"/>
      <c r="R219" s="3111"/>
      <c r="S219" s="3111"/>
      <c r="T219" s="3111"/>
      <c r="U219" s="3111"/>
    </row>
    <row r="220" spans="1:21" s="890" customFormat="1" ht="14.25" customHeight="1">
      <c r="A220" s="3075" t="s">
        <v>1154</v>
      </c>
      <c r="B220" s="3075" t="s">
        <v>2817</v>
      </c>
      <c r="C220" s="3075"/>
      <c r="D220" s="3075"/>
      <c r="E220" s="3075"/>
      <c r="F220" s="3081">
        <v>2040</v>
      </c>
      <c r="G220" s="3081"/>
      <c r="I220" s="903"/>
      <c r="J220" s="3111"/>
      <c r="K220" s="3111"/>
      <c r="L220" s="3111"/>
      <c r="M220" s="3111"/>
      <c r="N220" s="3111"/>
      <c r="O220" s="3111"/>
      <c r="P220" s="3111"/>
      <c r="Q220" s="3111"/>
      <c r="R220" s="3111"/>
      <c r="S220" s="3111"/>
      <c r="T220" s="3111"/>
      <c r="U220" s="3111"/>
    </row>
    <row r="221" spans="1:21" s="890" customFormat="1" ht="14.25" customHeight="1">
      <c r="A221" s="3075" t="s">
        <v>1154</v>
      </c>
      <c r="B221" s="3075" t="s">
        <v>2818</v>
      </c>
      <c r="C221" s="3084"/>
      <c r="D221" s="3084"/>
      <c r="E221" s="3084"/>
      <c r="F221" s="3083">
        <v>2040</v>
      </c>
      <c r="G221" s="3081"/>
      <c r="I221" s="903"/>
      <c r="J221" s="3111"/>
      <c r="K221" s="3111"/>
      <c r="L221" s="3111"/>
      <c r="M221" s="3111"/>
      <c r="N221" s="3111"/>
      <c r="O221" s="3111"/>
      <c r="P221" s="3111"/>
      <c r="Q221" s="3111"/>
      <c r="R221" s="3111"/>
      <c r="S221" s="3111"/>
      <c r="T221" s="3111"/>
      <c r="U221" s="3111"/>
    </row>
    <row r="222" spans="1:21" s="890" customFormat="1" ht="14.25" customHeight="1">
      <c r="A222" s="3075" t="s">
        <v>1154</v>
      </c>
      <c r="B222" s="3075" t="s">
        <v>2819</v>
      </c>
      <c r="C222" s="3084"/>
      <c r="D222" s="3084"/>
      <c r="E222" s="3084"/>
      <c r="F222" s="3083">
        <v>2040</v>
      </c>
      <c r="G222" s="3081"/>
      <c r="I222" s="903"/>
      <c r="J222" s="3111"/>
      <c r="K222" s="3111"/>
      <c r="L222" s="3111"/>
      <c r="M222" s="3111"/>
      <c r="N222" s="3111"/>
      <c r="O222" s="3111"/>
      <c r="P222" s="3111"/>
      <c r="Q222" s="3111"/>
      <c r="R222" s="3111"/>
      <c r="S222" s="3111"/>
      <c r="T222" s="3111"/>
      <c r="U222" s="3111"/>
    </row>
    <row r="223" spans="1:21" s="890" customFormat="1" ht="14.25" customHeight="1">
      <c r="A223" s="3075" t="s">
        <v>1154</v>
      </c>
      <c r="B223" s="3075" t="s">
        <v>2820</v>
      </c>
      <c r="C223" s="3084"/>
      <c r="D223" s="3084"/>
      <c r="E223" s="3084"/>
      <c r="F223" s="3083">
        <v>1930</v>
      </c>
      <c r="G223" s="3081"/>
      <c r="I223" s="903"/>
      <c r="J223" s="3111"/>
      <c r="K223" s="3111"/>
      <c r="L223" s="3111"/>
      <c r="M223" s="3111"/>
      <c r="N223" s="3111"/>
      <c r="O223" s="3111"/>
      <c r="P223" s="3111"/>
      <c r="Q223" s="3111"/>
      <c r="R223" s="3111"/>
      <c r="S223" s="3111"/>
      <c r="T223" s="3111"/>
      <c r="U223" s="3111"/>
    </row>
    <row r="224" spans="1:21" s="890" customFormat="1" ht="14.25" customHeight="1">
      <c r="A224" s="3075" t="s">
        <v>1154</v>
      </c>
      <c r="B224" s="3075" t="s">
        <v>2821</v>
      </c>
      <c r="C224" s="3084"/>
      <c r="D224" s="3084"/>
      <c r="E224" s="3084"/>
      <c r="F224" s="3083">
        <v>1930</v>
      </c>
      <c r="G224" s="3081"/>
      <c r="I224" s="903"/>
      <c r="J224" s="3111"/>
      <c r="K224" s="3111"/>
      <c r="L224" s="3111"/>
      <c r="M224" s="3111"/>
      <c r="N224" s="3111"/>
      <c r="O224" s="3111"/>
      <c r="P224" s="3111"/>
      <c r="Q224" s="3111"/>
      <c r="R224" s="3111"/>
      <c r="S224" s="3111"/>
      <c r="T224" s="3111"/>
      <c r="U224" s="3111"/>
    </row>
    <row r="225" spans="1:21" s="890" customFormat="1" ht="14.25" customHeight="1">
      <c r="A225" s="3075" t="s">
        <v>1154</v>
      </c>
      <c r="B225" s="3075" t="s">
        <v>2822</v>
      </c>
      <c r="C225" s="3075"/>
      <c r="D225" s="3075"/>
      <c r="E225" s="3075"/>
      <c r="F225" s="3081">
        <v>1930</v>
      </c>
      <c r="G225" s="3081"/>
      <c r="I225" s="903"/>
      <c r="J225" s="3111"/>
      <c r="K225" s="3111"/>
      <c r="L225" s="3111"/>
      <c r="M225" s="3111"/>
      <c r="N225" s="3111"/>
      <c r="O225" s="3111"/>
      <c r="P225" s="3111"/>
      <c r="Q225" s="3111"/>
      <c r="R225" s="3111"/>
      <c r="S225" s="3111"/>
      <c r="T225" s="3111"/>
      <c r="U225" s="3111"/>
    </row>
    <row r="226" spans="1:21" s="890" customFormat="1" ht="14.25" customHeight="1">
      <c r="A226" s="3075" t="s">
        <v>1154</v>
      </c>
      <c r="B226" s="3075" t="s">
        <v>2823</v>
      </c>
      <c r="C226" s="3075"/>
      <c r="D226" s="3075"/>
      <c r="E226" s="3075"/>
      <c r="F226" s="3081">
        <v>1700</v>
      </c>
      <c r="G226" s="3081"/>
      <c r="I226" s="903"/>
      <c r="J226" s="3111"/>
      <c r="K226" s="3111"/>
      <c r="L226" s="3111"/>
      <c r="M226" s="3111"/>
      <c r="N226" s="3111"/>
      <c r="O226" s="3111"/>
      <c r="P226" s="3111"/>
      <c r="Q226" s="3111"/>
      <c r="R226" s="3111"/>
      <c r="S226" s="3111"/>
      <c r="T226" s="3111"/>
      <c r="U226" s="3111"/>
    </row>
    <row r="227" spans="1:21" s="890" customFormat="1" ht="14.25" customHeight="1">
      <c r="A227" s="3075" t="s">
        <v>1154</v>
      </c>
      <c r="B227" s="3075" t="s">
        <v>2824</v>
      </c>
      <c r="C227" s="3075"/>
      <c r="D227" s="3075"/>
      <c r="E227" s="3075"/>
      <c r="F227" s="3081">
        <v>1520</v>
      </c>
      <c r="G227" s="3081"/>
      <c r="I227" s="903"/>
      <c r="J227" s="3111"/>
      <c r="K227" s="3111"/>
      <c r="L227" s="3111"/>
      <c r="M227" s="3111"/>
      <c r="N227" s="3111"/>
      <c r="O227" s="3111"/>
      <c r="P227" s="3111"/>
      <c r="Q227" s="3111"/>
      <c r="R227" s="3111"/>
      <c r="S227" s="3111"/>
      <c r="T227" s="3111"/>
      <c r="U227" s="3111"/>
    </row>
    <row r="228" spans="1:21" s="890" customFormat="1" ht="14.25" customHeight="1">
      <c r="A228" s="3075" t="s">
        <v>1154</v>
      </c>
      <c r="B228" s="3075" t="s">
        <v>2825</v>
      </c>
      <c r="C228" s="3075"/>
      <c r="D228" s="3075"/>
      <c r="E228" s="3075"/>
      <c r="F228" s="3081">
        <v>1520</v>
      </c>
      <c r="G228" s="3081"/>
      <c r="I228" s="903"/>
      <c r="J228" s="3111"/>
      <c r="K228" s="3111"/>
      <c r="L228" s="3111"/>
      <c r="M228" s="3111"/>
      <c r="N228" s="3111"/>
      <c r="O228" s="3111"/>
      <c r="P228" s="3111"/>
      <c r="Q228" s="3111"/>
      <c r="R228" s="3111"/>
      <c r="S228" s="3111"/>
      <c r="T228" s="3111"/>
      <c r="U228" s="3111"/>
    </row>
    <row r="229" spans="1:21" s="890" customFormat="1" ht="14.25" customHeight="1">
      <c r="A229" s="3075" t="s">
        <v>1154</v>
      </c>
      <c r="B229" s="3075" t="s">
        <v>2826</v>
      </c>
      <c r="C229" s="3075"/>
      <c r="D229" s="3075"/>
      <c r="E229" s="3075"/>
      <c r="F229" s="3081">
        <v>1520</v>
      </c>
      <c r="G229" s="3083"/>
      <c r="I229" s="903"/>
      <c r="J229" s="3111"/>
      <c r="K229" s="3111"/>
      <c r="L229" s="3111"/>
      <c r="M229" s="3111"/>
      <c r="N229" s="3111"/>
      <c r="O229" s="3111"/>
      <c r="P229" s="3111"/>
      <c r="Q229" s="3111"/>
      <c r="R229" s="3111"/>
      <c r="S229" s="3111"/>
      <c r="T229" s="3111"/>
      <c r="U229" s="3111"/>
    </row>
    <row r="230" spans="1:21" s="890" customFormat="1" ht="14.25" customHeight="1">
      <c r="A230" s="3075" t="s">
        <v>1154</v>
      </c>
      <c r="B230" s="3075" t="s">
        <v>2827</v>
      </c>
      <c r="C230" s="3075"/>
      <c r="D230" s="3075"/>
      <c r="E230" s="3075"/>
      <c r="F230" s="3081">
        <v>1820</v>
      </c>
      <c r="G230" s="3083"/>
      <c r="I230" s="903"/>
      <c r="J230" s="3111"/>
      <c r="K230" s="3111"/>
      <c r="L230" s="3111"/>
      <c r="M230" s="3111"/>
      <c r="N230" s="3111"/>
      <c r="O230" s="3111"/>
      <c r="P230" s="3111"/>
      <c r="Q230" s="3111"/>
      <c r="R230" s="3111"/>
      <c r="S230" s="3111"/>
      <c r="T230" s="3111"/>
      <c r="U230" s="3111"/>
    </row>
    <row r="231" spans="1:21" s="890" customFormat="1" ht="14.25" customHeight="1">
      <c r="A231" s="3075" t="s">
        <v>1154</v>
      </c>
      <c r="B231" s="3075" t="s">
        <v>2828</v>
      </c>
      <c r="C231" s="3075"/>
      <c r="D231" s="3075"/>
      <c r="E231" s="3075"/>
      <c r="F231" s="3081">
        <v>1760</v>
      </c>
      <c r="G231" s="3083"/>
      <c r="I231" s="903"/>
      <c r="J231" s="3111"/>
      <c r="K231" s="3111"/>
      <c r="L231" s="3111"/>
      <c r="M231" s="3111"/>
      <c r="N231" s="3111"/>
      <c r="O231" s="3111"/>
      <c r="P231" s="3111"/>
      <c r="Q231" s="3111"/>
      <c r="R231" s="3111"/>
      <c r="S231" s="3111"/>
      <c r="T231" s="3111"/>
      <c r="U231" s="3111"/>
    </row>
    <row r="232" spans="1:21" s="890" customFormat="1" ht="14.25" customHeight="1">
      <c r="A232" s="3075" t="s">
        <v>1154</v>
      </c>
      <c r="B232" s="3075" t="s">
        <v>2829</v>
      </c>
      <c r="C232" s="3075"/>
      <c r="D232" s="3075"/>
      <c r="E232" s="3075"/>
      <c r="F232" s="3081">
        <v>1840</v>
      </c>
      <c r="G232" s="3081"/>
      <c r="I232" s="903"/>
      <c r="J232" s="3111"/>
      <c r="K232" s="3111"/>
      <c r="L232" s="3111"/>
      <c r="M232" s="3111"/>
      <c r="N232" s="3111"/>
      <c r="O232" s="3111"/>
      <c r="P232" s="3111"/>
      <c r="Q232" s="3111"/>
      <c r="R232" s="3111"/>
      <c r="S232" s="3111"/>
      <c r="T232" s="3111"/>
      <c r="U232" s="3111"/>
    </row>
    <row r="233" spans="1:21" s="890" customFormat="1" ht="14.25" customHeight="1" thickBot="1">
      <c r="A233" s="3090" t="s">
        <v>1154</v>
      </c>
      <c r="B233" s="3078" t="s">
        <v>2830</v>
      </c>
      <c r="C233" s="3078"/>
      <c r="D233" s="3078"/>
      <c r="E233" s="3078"/>
      <c r="F233" s="3079">
        <v>1770</v>
      </c>
      <c r="G233" s="3094"/>
      <c r="I233" s="903"/>
      <c r="J233" s="3111"/>
      <c r="K233" s="3111"/>
      <c r="L233" s="3111"/>
      <c r="M233" s="3111"/>
      <c r="N233" s="3111"/>
      <c r="O233" s="3111"/>
      <c r="P233" s="3111"/>
      <c r="Q233" s="3111"/>
      <c r="R233" s="3111"/>
      <c r="S233" s="3111"/>
      <c r="T233" s="3111"/>
      <c r="U233" s="3111"/>
    </row>
    <row r="234" spans="1:21" s="890" customFormat="1" ht="14.25" customHeight="1">
      <c r="A234" s="3089" t="s">
        <v>1155</v>
      </c>
      <c r="B234" s="1137" t="s">
        <v>2831</v>
      </c>
      <c r="C234" s="1137">
        <v>6980</v>
      </c>
      <c r="D234" s="1137">
        <v>6970</v>
      </c>
      <c r="E234" s="1137">
        <v>8720</v>
      </c>
      <c r="F234" s="3076">
        <v>1350</v>
      </c>
      <c r="G234" s="3092">
        <v>4280</v>
      </c>
      <c r="I234" s="903"/>
      <c r="J234" s="3111"/>
      <c r="K234" s="3111"/>
      <c r="L234" s="3111"/>
      <c r="M234" s="3111"/>
      <c r="N234" s="3111"/>
      <c r="O234" s="3111"/>
      <c r="P234" s="3111"/>
      <c r="Q234" s="3111"/>
      <c r="R234" s="3111"/>
      <c r="S234" s="3111"/>
      <c r="T234" s="3111"/>
      <c r="U234" s="3111"/>
    </row>
    <row r="235" spans="1:21" s="890" customFormat="1" ht="14.25" customHeight="1">
      <c r="A235" s="3075" t="s">
        <v>1155</v>
      </c>
      <c r="B235" s="3075" t="s">
        <v>979</v>
      </c>
      <c r="C235" s="3075">
        <v>7620</v>
      </c>
      <c r="D235" s="3075">
        <v>7580</v>
      </c>
      <c r="E235" s="3075">
        <v>9360</v>
      </c>
      <c r="F235" s="3081">
        <v>1490</v>
      </c>
      <c r="G235" s="3081">
        <v>4650</v>
      </c>
      <c r="I235" s="903"/>
      <c r="J235" s="3111"/>
      <c r="K235" s="3111"/>
      <c r="L235" s="3111"/>
      <c r="M235" s="3111"/>
      <c r="N235" s="3111"/>
      <c r="O235" s="3111"/>
      <c r="P235" s="3111"/>
      <c r="Q235" s="3111"/>
      <c r="R235" s="3111"/>
      <c r="S235" s="3111"/>
      <c r="T235" s="3111"/>
      <c r="U235" s="3111"/>
    </row>
    <row r="236" spans="1:21" s="890" customFormat="1" ht="14.25" customHeight="1">
      <c r="A236" s="3075" t="s">
        <v>1155</v>
      </c>
      <c r="B236" s="3075" t="s">
        <v>989</v>
      </c>
      <c r="C236" s="3075">
        <v>6650</v>
      </c>
      <c r="D236" s="3075">
        <v>6630</v>
      </c>
      <c r="E236" s="3075">
        <v>8330</v>
      </c>
      <c r="F236" s="3081">
        <v>1250</v>
      </c>
      <c r="G236" s="3081">
        <v>4070</v>
      </c>
      <c r="I236" s="903"/>
      <c r="J236" s="3111"/>
      <c r="K236" s="3111"/>
      <c r="L236" s="3111"/>
      <c r="M236" s="3111"/>
      <c r="N236" s="3111"/>
      <c r="O236" s="3111"/>
      <c r="P236" s="3111"/>
      <c r="Q236" s="3111"/>
      <c r="R236" s="3111"/>
      <c r="S236" s="3111"/>
      <c r="T236" s="3111"/>
      <c r="U236" s="3111"/>
    </row>
    <row r="237" spans="1:21" s="890" customFormat="1" ht="14.25" customHeight="1">
      <c r="A237" s="3075" t="s">
        <v>1155</v>
      </c>
      <c r="B237" s="3075" t="s">
        <v>998</v>
      </c>
      <c r="C237" s="3075">
        <v>5850</v>
      </c>
      <c r="D237" s="3075">
        <v>5820</v>
      </c>
      <c r="E237" s="3075">
        <v>7260</v>
      </c>
      <c r="F237" s="3081">
        <v>1140</v>
      </c>
      <c r="G237" s="3081">
        <v>3570</v>
      </c>
      <c r="I237" s="903"/>
      <c r="J237" s="3111"/>
      <c r="K237" s="3111"/>
      <c r="L237" s="3111"/>
      <c r="M237" s="3111"/>
      <c r="N237" s="3111"/>
      <c r="O237" s="3111"/>
      <c r="P237" s="3111"/>
      <c r="Q237" s="3111"/>
      <c r="R237" s="3111"/>
      <c r="S237" s="3111"/>
      <c r="T237" s="3111"/>
      <c r="U237" s="3111"/>
    </row>
    <row r="238" spans="1:21" s="890" customFormat="1" ht="14.25" customHeight="1">
      <c r="A238" s="3075" t="s">
        <v>1155</v>
      </c>
      <c r="B238" s="3075" t="s">
        <v>2832</v>
      </c>
      <c r="C238" s="3075">
        <v>6920</v>
      </c>
      <c r="D238" s="3075">
        <v>6890</v>
      </c>
      <c r="E238" s="3075">
        <v>8640</v>
      </c>
      <c r="F238" s="3081">
        <v>1310</v>
      </c>
      <c r="G238" s="3081">
        <v>4230</v>
      </c>
      <c r="I238" s="903"/>
      <c r="J238" s="3111"/>
      <c r="K238" s="3111"/>
      <c r="L238" s="3111"/>
      <c r="M238" s="3111"/>
      <c r="N238" s="3111"/>
      <c r="O238" s="3111"/>
      <c r="P238" s="3111"/>
      <c r="Q238" s="3111"/>
      <c r="R238" s="3111"/>
      <c r="S238" s="3111"/>
      <c r="T238" s="3111"/>
      <c r="U238" s="3111"/>
    </row>
    <row r="239" spans="1:21" s="890" customFormat="1" ht="14.25" customHeight="1">
      <c r="A239" s="3075" t="s">
        <v>1155</v>
      </c>
      <c r="B239" s="3075" t="s">
        <v>2833</v>
      </c>
      <c r="C239" s="3075">
        <v>6780</v>
      </c>
      <c r="D239" s="3075">
        <v>6750</v>
      </c>
      <c r="E239" s="3075">
        <v>8440</v>
      </c>
      <c r="F239" s="3081">
        <v>1160</v>
      </c>
      <c r="G239" s="3081">
        <v>4140</v>
      </c>
      <c r="I239" s="903"/>
      <c r="J239" s="3111"/>
      <c r="K239" s="3111"/>
      <c r="L239" s="3111"/>
      <c r="M239" s="3111"/>
      <c r="N239" s="3111"/>
      <c r="O239" s="3111"/>
      <c r="P239" s="3111"/>
      <c r="Q239" s="3111"/>
      <c r="R239" s="3111"/>
      <c r="S239" s="3111"/>
      <c r="T239" s="3111"/>
      <c r="U239" s="3111"/>
    </row>
    <row r="240" spans="1:21" s="890" customFormat="1" ht="14.25" customHeight="1">
      <c r="A240" s="3075" t="s">
        <v>1155</v>
      </c>
      <c r="B240" s="3075" t="s">
        <v>2834</v>
      </c>
      <c r="C240" s="3075">
        <v>5420</v>
      </c>
      <c r="D240" s="3075">
        <v>5380</v>
      </c>
      <c r="E240" s="3075">
        <v>6640</v>
      </c>
      <c r="F240" s="3081">
        <v>1020</v>
      </c>
      <c r="G240" s="3081">
        <v>3300</v>
      </c>
      <c r="I240" s="903"/>
      <c r="J240" s="3111"/>
      <c r="K240" s="3111"/>
      <c r="L240" s="3111"/>
      <c r="M240" s="3111"/>
      <c r="N240" s="3111"/>
      <c r="O240" s="3111"/>
      <c r="P240" s="3111"/>
      <c r="Q240" s="3111"/>
      <c r="R240" s="3111"/>
      <c r="S240" s="3111"/>
      <c r="T240" s="3111"/>
      <c r="U240" s="3111"/>
    </row>
    <row r="241" spans="1:21" s="890" customFormat="1" ht="14.25" customHeight="1">
      <c r="A241" s="3075" t="s">
        <v>1155</v>
      </c>
      <c r="B241" s="3075" t="s">
        <v>2835</v>
      </c>
      <c r="C241" s="3075">
        <v>6660</v>
      </c>
      <c r="D241" s="3075">
        <v>6640</v>
      </c>
      <c r="E241" s="3075">
        <v>8340</v>
      </c>
      <c r="F241" s="3081">
        <v>1130</v>
      </c>
      <c r="G241" s="3081">
        <v>4080</v>
      </c>
      <c r="I241" s="903"/>
      <c r="J241" s="3111"/>
      <c r="K241" s="3111"/>
      <c r="L241" s="3111"/>
      <c r="M241" s="3111"/>
      <c r="N241" s="3111"/>
      <c r="O241" s="3111"/>
      <c r="P241" s="3111"/>
      <c r="Q241" s="3111"/>
      <c r="R241" s="3111"/>
      <c r="S241" s="3111"/>
      <c r="T241" s="3111"/>
      <c r="U241" s="3111"/>
    </row>
    <row r="242" spans="1:21" s="890" customFormat="1" ht="14.25" customHeight="1">
      <c r="A242" s="3075" t="s">
        <v>1155</v>
      </c>
      <c r="B242" s="3075" t="s">
        <v>1028</v>
      </c>
      <c r="C242" s="3075">
        <v>6580</v>
      </c>
      <c r="D242" s="3075">
        <v>6550</v>
      </c>
      <c r="E242" s="3075">
        <v>8090</v>
      </c>
      <c r="F242" s="3081">
        <v>1240</v>
      </c>
      <c r="G242" s="3081">
        <v>4020</v>
      </c>
      <c r="I242" s="903"/>
      <c r="J242" s="3111"/>
      <c r="K242" s="3111"/>
      <c r="L242" s="3111"/>
      <c r="M242" s="3111"/>
      <c r="N242" s="3111"/>
      <c r="O242" s="3111"/>
      <c r="P242" s="3111"/>
      <c r="Q242" s="3111"/>
      <c r="R242" s="3111"/>
      <c r="S242" s="3111"/>
      <c r="T242" s="3111"/>
      <c r="U242" s="3111"/>
    </row>
    <row r="243" spans="1:21" s="890" customFormat="1" ht="14.25" customHeight="1">
      <c r="A243" s="3075" t="s">
        <v>1155</v>
      </c>
      <c r="B243" s="3075" t="s">
        <v>1038</v>
      </c>
      <c r="C243" s="3075">
        <v>6000</v>
      </c>
      <c r="D243" s="3075">
        <v>5970</v>
      </c>
      <c r="E243" s="3075">
        <v>7370</v>
      </c>
      <c r="F243" s="3081">
        <v>1070</v>
      </c>
      <c r="G243" s="3081">
        <v>3670</v>
      </c>
      <c r="I243" s="903"/>
      <c r="J243" s="3111"/>
      <c r="K243" s="3111"/>
      <c r="L243" s="3111"/>
      <c r="M243" s="3111"/>
      <c r="N243" s="3111"/>
      <c r="O243" s="3111"/>
      <c r="P243" s="3111"/>
      <c r="Q243" s="3111"/>
      <c r="R243" s="3111"/>
      <c r="S243" s="3111"/>
      <c r="T243" s="3111"/>
      <c r="U243" s="3111"/>
    </row>
    <row r="244" spans="1:21" s="890" customFormat="1" ht="14.25" customHeight="1">
      <c r="A244" s="3075" t="s">
        <v>1155</v>
      </c>
      <c r="B244" s="3075" t="s">
        <v>2836</v>
      </c>
      <c r="C244" s="3075">
        <v>5840</v>
      </c>
      <c r="D244" s="3075">
        <v>5810</v>
      </c>
      <c r="E244" s="3075">
        <v>7240</v>
      </c>
      <c r="F244" s="3081">
        <v>1100</v>
      </c>
      <c r="G244" s="3088">
        <v>3560</v>
      </c>
      <c r="I244" s="903"/>
      <c r="J244" s="3111"/>
      <c r="K244" s="3111"/>
      <c r="L244" s="3111"/>
      <c r="M244" s="3111"/>
      <c r="N244" s="3111"/>
      <c r="O244" s="3111"/>
      <c r="P244" s="3111"/>
      <c r="Q244" s="3111"/>
      <c r="R244" s="3111"/>
      <c r="S244" s="3111"/>
      <c r="T244" s="3111"/>
      <c r="U244" s="3111"/>
    </row>
    <row r="245" spans="1:21" s="890" customFormat="1" ht="14.25" customHeight="1">
      <c r="A245" s="1137" t="s">
        <v>1155</v>
      </c>
      <c r="B245" s="1137" t="s">
        <v>1053</v>
      </c>
      <c r="C245" s="1137">
        <v>6040</v>
      </c>
      <c r="D245" s="1137">
        <v>6000</v>
      </c>
      <c r="E245" s="1137">
        <v>7420</v>
      </c>
      <c r="F245" s="3076">
        <v>1140</v>
      </c>
      <c r="G245" s="3076">
        <v>3690</v>
      </c>
      <c r="I245" s="903"/>
      <c r="J245" s="3111"/>
      <c r="K245" s="3111"/>
      <c r="L245" s="3111"/>
      <c r="M245" s="3111"/>
      <c r="N245" s="3111"/>
      <c r="O245" s="3111"/>
      <c r="P245" s="3111"/>
      <c r="Q245" s="3111"/>
      <c r="R245" s="3111"/>
      <c r="S245" s="3111"/>
      <c r="T245" s="3111"/>
      <c r="U245" s="3111"/>
    </row>
    <row r="246" spans="1:21" s="890" customFormat="1" ht="14.25" customHeight="1">
      <c r="A246" s="3075" t="s">
        <v>1155</v>
      </c>
      <c r="B246" s="3075" t="s">
        <v>1060</v>
      </c>
      <c r="C246" s="3075">
        <v>5890</v>
      </c>
      <c r="D246" s="3075">
        <v>5860</v>
      </c>
      <c r="E246" s="3075">
        <v>7300</v>
      </c>
      <c r="F246" s="3081">
        <v>1110</v>
      </c>
      <c r="G246" s="3081">
        <v>3590</v>
      </c>
      <c r="I246" s="903"/>
      <c r="J246" s="3111"/>
      <c r="K246" s="3111"/>
      <c r="L246" s="3111"/>
      <c r="M246" s="3111"/>
      <c r="N246" s="3111"/>
      <c r="O246" s="3111"/>
      <c r="P246" s="3111"/>
      <c r="Q246" s="3111"/>
      <c r="R246" s="3111"/>
      <c r="S246" s="3111"/>
      <c r="T246" s="3111"/>
      <c r="U246" s="3111"/>
    </row>
    <row r="247" spans="1:21" s="890" customFormat="1" ht="14.25" customHeight="1">
      <c r="A247" s="3075" t="s">
        <v>1155</v>
      </c>
      <c r="B247" s="3075" t="s">
        <v>2837</v>
      </c>
      <c r="C247" s="3075">
        <v>6480</v>
      </c>
      <c r="D247" s="3075">
        <v>6450</v>
      </c>
      <c r="E247" s="3075">
        <v>8010</v>
      </c>
      <c r="F247" s="3081">
        <v>1170</v>
      </c>
      <c r="G247" s="3081">
        <v>3960</v>
      </c>
      <c r="I247" s="903"/>
      <c r="J247" s="3111"/>
      <c r="K247" s="3111"/>
      <c r="L247" s="3111"/>
      <c r="M247" s="3111"/>
      <c r="N247" s="3111"/>
      <c r="O247" s="3111"/>
      <c r="P247" s="3111"/>
      <c r="Q247" s="3111"/>
      <c r="R247" s="3111"/>
      <c r="S247" s="3111"/>
      <c r="T247" s="3111"/>
      <c r="U247" s="3111"/>
    </row>
    <row r="248" spans="1:21" s="890" customFormat="1" ht="14.25" customHeight="1">
      <c r="A248" s="3075" t="s">
        <v>1155</v>
      </c>
      <c r="B248" s="3075" t="s">
        <v>1075</v>
      </c>
      <c r="C248" s="3075">
        <v>6860</v>
      </c>
      <c r="D248" s="3075">
        <v>6840</v>
      </c>
      <c r="E248" s="3075">
        <v>8520</v>
      </c>
      <c r="F248" s="3081">
        <v>1240</v>
      </c>
      <c r="G248" s="3081">
        <v>4200</v>
      </c>
      <c r="I248" s="903"/>
      <c r="J248" s="3111"/>
      <c r="K248" s="3111"/>
      <c r="L248" s="3111"/>
      <c r="M248" s="3111"/>
      <c r="N248" s="3111"/>
      <c r="O248" s="3111"/>
      <c r="P248" s="3111"/>
      <c r="Q248" s="3111"/>
      <c r="R248" s="3111"/>
      <c r="S248" s="3111"/>
      <c r="T248" s="3111"/>
      <c r="U248" s="3111"/>
    </row>
    <row r="249" spans="1:21" s="890" customFormat="1" ht="14.25" customHeight="1">
      <c r="A249" s="3075" t="s">
        <v>1155</v>
      </c>
      <c r="B249" s="3075" t="s">
        <v>2838</v>
      </c>
      <c r="C249" s="3075">
        <v>7180</v>
      </c>
      <c r="D249" s="3075">
        <v>7140</v>
      </c>
      <c r="E249" s="3075">
        <v>8900</v>
      </c>
      <c r="F249" s="3081">
        <v>1350</v>
      </c>
      <c r="G249" s="3081">
        <v>4380</v>
      </c>
      <c r="I249" s="903"/>
      <c r="J249" s="3111"/>
      <c r="K249" s="3111"/>
      <c r="L249" s="3111"/>
      <c r="M249" s="3111"/>
      <c r="N249" s="3111"/>
      <c r="O249" s="3111"/>
      <c r="P249" s="3111"/>
      <c r="Q249" s="3111"/>
      <c r="R249" s="3111"/>
      <c r="S249" s="3111"/>
      <c r="T249" s="3111"/>
      <c r="U249" s="3111"/>
    </row>
    <row r="250" spans="1:21" s="890" customFormat="1" ht="14.25" customHeight="1">
      <c r="A250" s="3075" t="s">
        <v>1155</v>
      </c>
      <c r="B250" s="3075" t="s">
        <v>1089</v>
      </c>
      <c r="C250" s="3075">
        <v>6880</v>
      </c>
      <c r="D250" s="3075">
        <v>6860</v>
      </c>
      <c r="E250" s="3075">
        <v>8550</v>
      </c>
      <c r="F250" s="3081">
        <v>1220</v>
      </c>
      <c r="G250" s="3081">
        <v>4210</v>
      </c>
      <c r="I250" s="903"/>
      <c r="J250" s="3111"/>
      <c r="K250" s="3111"/>
      <c r="L250" s="3111"/>
      <c r="M250" s="3111"/>
      <c r="N250" s="3111"/>
      <c r="O250" s="3111"/>
      <c r="P250" s="3111"/>
      <c r="Q250" s="3111"/>
      <c r="R250" s="3111"/>
      <c r="S250" s="3111"/>
      <c r="T250" s="3111"/>
      <c r="U250" s="3111"/>
    </row>
    <row r="251" spans="1:21" s="890" customFormat="1" ht="14.25" customHeight="1">
      <c r="A251" s="3075" t="s">
        <v>1155</v>
      </c>
      <c r="B251" s="3075" t="s">
        <v>1097</v>
      </c>
      <c r="C251" s="3075"/>
      <c r="D251" s="3075"/>
      <c r="E251" s="3075"/>
      <c r="F251" s="3081">
        <v>1100</v>
      </c>
      <c r="G251" s="3081"/>
      <c r="I251" s="903"/>
      <c r="J251" s="3111"/>
      <c r="K251" s="3111"/>
      <c r="L251" s="3111"/>
      <c r="M251" s="3111"/>
      <c r="N251" s="3111"/>
      <c r="O251" s="3111"/>
      <c r="P251" s="3111"/>
      <c r="Q251" s="3111"/>
      <c r="R251" s="3111"/>
      <c r="S251" s="3111"/>
      <c r="T251" s="3111"/>
      <c r="U251" s="3111"/>
    </row>
    <row r="252" spans="1:21" s="890" customFormat="1" ht="14.25" customHeight="1">
      <c r="A252" s="3075" t="s">
        <v>1155</v>
      </c>
      <c r="B252" s="3075" t="s">
        <v>2839</v>
      </c>
      <c r="C252" s="3075">
        <v>7240</v>
      </c>
      <c r="D252" s="3075">
        <v>7200</v>
      </c>
      <c r="E252" s="3075">
        <v>9040</v>
      </c>
      <c r="F252" s="3081">
        <v>1380</v>
      </c>
      <c r="G252" s="3081">
        <v>4420</v>
      </c>
      <c r="I252" s="903"/>
      <c r="J252" s="3111"/>
      <c r="K252" s="3111"/>
      <c r="L252" s="3111"/>
      <c r="M252" s="3111"/>
      <c r="N252" s="3111"/>
      <c r="O252" s="3111"/>
      <c r="P252" s="3111"/>
      <c r="Q252" s="3111"/>
      <c r="R252" s="3111"/>
      <c r="S252" s="3111"/>
      <c r="T252" s="3111"/>
      <c r="U252" s="3111"/>
    </row>
    <row r="253" spans="1:21" s="890" customFormat="1" ht="14.25" customHeight="1">
      <c r="A253" s="3075" t="s">
        <v>1155</v>
      </c>
      <c r="B253" s="3075" t="s">
        <v>1132</v>
      </c>
      <c r="C253" s="3075">
        <v>6670</v>
      </c>
      <c r="D253" s="3075">
        <v>6650</v>
      </c>
      <c r="E253" s="3075">
        <v>8350</v>
      </c>
      <c r="F253" s="3081">
        <v>1260</v>
      </c>
      <c r="G253" s="3081">
        <v>4080</v>
      </c>
      <c r="I253" s="903"/>
      <c r="J253" s="3111"/>
      <c r="K253" s="3111"/>
      <c r="L253" s="3111"/>
      <c r="M253" s="3111"/>
      <c r="N253" s="3111"/>
      <c r="O253" s="3111"/>
      <c r="P253" s="3111"/>
      <c r="Q253" s="3111"/>
      <c r="R253" s="3111"/>
      <c r="S253" s="3111"/>
      <c r="T253" s="3111"/>
      <c r="U253" s="3111"/>
    </row>
    <row r="254" spans="1:21" s="890" customFormat="1" ht="14.25" customHeight="1">
      <c r="A254" s="3075" t="s">
        <v>1155</v>
      </c>
      <c r="B254" s="3075" t="s">
        <v>1135</v>
      </c>
      <c r="C254" s="3084">
        <v>7630</v>
      </c>
      <c r="D254" s="3084">
        <v>7590</v>
      </c>
      <c r="E254" s="3084">
        <v>9380</v>
      </c>
      <c r="F254" s="3083">
        <v>1320</v>
      </c>
      <c r="G254" s="3081">
        <v>4660</v>
      </c>
      <c r="I254" s="903"/>
      <c r="J254" s="3111"/>
      <c r="K254" s="3111"/>
      <c r="L254" s="3111"/>
      <c r="M254" s="3111"/>
      <c r="N254" s="3111"/>
      <c r="O254" s="3111"/>
      <c r="P254" s="3111"/>
      <c r="Q254" s="3111"/>
      <c r="R254" s="3111"/>
      <c r="S254" s="3111"/>
      <c r="T254" s="3111"/>
      <c r="U254" s="3111"/>
    </row>
    <row r="255" spans="1:21" s="890" customFormat="1" ht="14.25" customHeight="1">
      <c r="A255" s="3075" t="s">
        <v>1155</v>
      </c>
      <c r="B255" s="3075" t="s">
        <v>1138</v>
      </c>
      <c r="C255" s="3084">
        <v>6940</v>
      </c>
      <c r="D255" s="3084">
        <v>6890</v>
      </c>
      <c r="E255" s="3084">
        <v>8650</v>
      </c>
      <c r="F255" s="3083">
        <v>1210</v>
      </c>
      <c r="G255" s="3081">
        <v>4230</v>
      </c>
      <c r="I255" s="903"/>
      <c r="J255" s="3111"/>
      <c r="K255" s="3111"/>
      <c r="L255" s="3111"/>
      <c r="M255" s="3111"/>
      <c r="N255" s="3111"/>
      <c r="O255" s="3111"/>
      <c r="P255" s="3111"/>
      <c r="Q255" s="3111"/>
      <c r="R255" s="3111"/>
      <c r="S255" s="3111"/>
      <c r="T255" s="3111"/>
      <c r="U255" s="3111"/>
    </row>
    <row r="256" spans="1:21" s="890" customFormat="1" ht="14.25" customHeight="1">
      <c r="A256" s="3075" t="s">
        <v>1155</v>
      </c>
      <c r="B256" s="3075" t="s">
        <v>2840</v>
      </c>
      <c r="C256" s="3075">
        <v>7520</v>
      </c>
      <c r="D256" s="3075">
        <v>7490</v>
      </c>
      <c r="E256" s="3075">
        <v>9240</v>
      </c>
      <c r="F256" s="3081">
        <v>1270</v>
      </c>
      <c r="G256" s="3081">
        <v>4590</v>
      </c>
      <c r="I256" s="903"/>
      <c r="J256" s="3111"/>
      <c r="K256" s="3111"/>
      <c r="L256" s="3111"/>
      <c r="M256" s="3111"/>
      <c r="N256" s="3111"/>
      <c r="O256" s="3111"/>
      <c r="P256" s="3111"/>
      <c r="Q256" s="3111"/>
      <c r="R256" s="3111"/>
      <c r="S256" s="3111"/>
      <c r="T256" s="3111"/>
      <c r="U256" s="3111"/>
    </row>
    <row r="257" spans="1:21" s="890" customFormat="1" ht="14.25" customHeight="1">
      <c r="A257" s="3075" t="s">
        <v>1155</v>
      </c>
      <c r="B257" s="3075" t="s">
        <v>1124</v>
      </c>
      <c r="C257" s="3075">
        <v>6280</v>
      </c>
      <c r="D257" s="3075">
        <v>6230</v>
      </c>
      <c r="E257" s="3075">
        <v>7740</v>
      </c>
      <c r="F257" s="3081">
        <v>1080</v>
      </c>
      <c r="G257" s="3081">
        <v>3830</v>
      </c>
      <c r="I257" s="903"/>
      <c r="J257" s="3111"/>
      <c r="K257" s="3111"/>
      <c r="L257" s="3111"/>
      <c r="M257" s="3111"/>
      <c r="N257" s="3111"/>
      <c r="O257" s="3111"/>
      <c r="P257" s="3111"/>
      <c r="Q257" s="3111"/>
      <c r="R257" s="3111"/>
      <c r="S257" s="3111"/>
      <c r="T257" s="3111"/>
      <c r="U257" s="3111"/>
    </row>
    <row r="258" spans="1:21" s="890" customFormat="1" ht="14.25" customHeight="1">
      <c r="A258" s="3075" t="s">
        <v>1155</v>
      </c>
      <c r="B258" s="3075" t="s">
        <v>2841</v>
      </c>
      <c r="C258" s="3075">
        <v>6190</v>
      </c>
      <c r="D258" s="3075">
        <v>6160</v>
      </c>
      <c r="E258" s="3075">
        <v>7680</v>
      </c>
      <c r="F258" s="3081">
        <v>1170</v>
      </c>
      <c r="G258" s="3081">
        <v>3780</v>
      </c>
      <c r="I258" s="903"/>
      <c r="J258" s="3111"/>
      <c r="K258" s="3111"/>
      <c r="L258" s="3111"/>
      <c r="M258" s="3111"/>
      <c r="N258" s="3111"/>
      <c r="O258" s="3111"/>
      <c r="P258" s="3111"/>
      <c r="Q258" s="3111"/>
      <c r="R258" s="3111"/>
      <c r="S258" s="3111"/>
      <c r="T258" s="3111"/>
      <c r="U258" s="3111"/>
    </row>
    <row r="259" spans="1:21" s="890" customFormat="1" ht="14.25" customHeight="1">
      <c r="A259" s="3075" t="s">
        <v>1155</v>
      </c>
      <c r="B259" s="3075" t="s">
        <v>2842</v>
      </c>
      <c r="C259" s="3075">
        <v>7610</v>
      </c>
      <c r="D259" s="3075">
        <v>7570</v>
      </c>
      <c r="E259" s="3075">
        <v>9350</v>
      </c>
      <c r="F259" s="3081">
        <v>1350</v>
      </c>
      <c r="G259" s="3081">
        <v>4650</v>
      </c>
      <c r="I259" s="903"/>
      <c r="J259" s="3111"/>
      <c r="K259" s="3111"/>
      <c r="L259" s="3111"/>
      <c r="M259" s="3111"/>
      <c r="N259" s="3111"/>
      <c r="O259" s="3111"/>
      <c r="P259" s="3111"/>
      <c r="Q259" s="3111"/>
      <c r="R259" s="3111"/>
      <c r="S259" s="3111"/>
      <c r="T259" s="3111"/>
      <c r="U259" s="3111"/>
    </row>
    <row r="260" spans="1:21" s="890" customFormat="1" ht="14.25" customHeight="1">
      <c r="A260" s="3075" t="s">
        <v>1155</v>
      </c>
      <c r="B260" s="3075" t="s">
        <v>2843</v>
      </c>
      <c r="C260" s="3075">
        <v>6920</v>
      </c>
      <c r="D260" s="3075">
        <v>6880</v>
      </c>
      <c r="E260" s="3075">
        <v>8380</v>
      </c>
      <c r="F260" s="3081">
        <v>1160</v>
      </c>
      <c r="G260" s="3081">
        <v>4220</v>
      </c>
      <c r="I260" s="903"/>
      <c r="J260" s="3111"/>
      <c r="K260" s="3111"/>
      <c r="L260" s="3111"/>
      <c r="M260" s="3111"/>
      <c r="N260" s="3111"/>
      <c r="O260" s="3111"/>
      <c r="P260" s="3111"/>
      <c r="Q260" s="3111"/>
      <c r="R260" s="3111"/>
      <c r="S260" s="3111"/>
      <c r="T260" s="3111"/>
      <c r="U260" s="3111"/>
    </row>
    <row r="261" spans="1:21" s="890" customFormat="1" ht="14.25" customHeight="1">
      <c r="A261" s="3075" t="s">
        <v>1155</v>
      </c>
      <c r="B261" s="3075" t="s">
        <v>2844</v>
      </c>
      <c r="C261" s="3075">
        <v>6850</v>
      </c>
      <c r="D261" s="3075">
        <v>6810</v>
      </c>
      <c r="E261" s="3075">
        <v>8290</v>
      </c>
      <c r="F261" s="3081">
        <v>1130</v>
      </c>
      <c r="G261" s="3081">
        <v>4180</v>
      </c>
      <c r="I261" s="903"/>
      <c r="J261" s="3111"/>
      <c r="K261" s="3111"/>
      <c r="L261" s="3111"/>
      <c r="M261" s="3111"/>
      <c r="N261" s="3111"/>
      <c r="O261" s="3111"/>
      <c r="P261" s="3111"/>
      <c r="Q261" s="3111"/>
      <c r="R261" s="3111"/>
      <c r="S261" s="3111"/>
      <c r="T261" s="3111"/>
      <c r="U261" s="3111"/>
    </row>
    <row r="262" spans="1:21" s="890" customFormat="1" ht="14.25" customHeight="1">
      <c r="A262" s="3075" t="s">
        <v>1155</v>
      </c>
      <c r="B262" s="3075" t="s">
        <v>2845</v>
      </c>
      <c r="C262" s="3075">
        <v>5860</v>
      </c>
      <c r="D262" s="3075">
        <v>5820</v>
      </c>
      <c r="E262" s="3075">
        <v>7640</v>
      </c>
      <c r="F262" s="3081">
        <v>1070</v>
      </c>
      <c r="G262" s="3083">
        <v>3570</v>
      </c>
      <c r="I262" s="903"/>
      <c r="J262" s="3111"/>
      <c r="K262" s="3111"/>
      <c r="L262" s="3111"/>
      <c r="M262" s="3111"/>
      <c r="N262" s="3111"/>
      <c r="O262" s="3111"/>
      <c r="P262" s="3111"/>
      <c r="Q262" s="3111"/>
      <c r="R262" s="3111"/>
      <c r="S262" s="3111"/>
      <c r="T262" s="3111"/>
      <c r="U262" s="3111"/>
    </row>
    <row r="263" spans="1:21" s="890" customFormat="1" ht="14.25" customHeight="1">
      <c r="A263" s="3075" t="s">
        <v>1155</v>
      </c>
      <c r="B263" s="3075" t="s">
        <v>2846</v>
      </c>
      <c r="C263" s="3075">
        <v>5870</v>
      </c>
      <c r="D263" s="3075">
        <v>5840</v>
      </c>
      <c r="E263" s="3075">
        <v>7270</v>
      </c>
      <c r="F263" s="3081">
        <v>1190</v>
      </c>
      <c r="G263" s="3081">
        <v>3580</v>
      </c>
      <c r="I263" s="903"/>
      <c r="J263" s="3111"/>
      <c r="K263" s="3111"/>
      <c r="L263" s="3111"/>
      <c r="M263" s="3111"/>
      <c r="N263" s="3111"/>
      <c r="O263" s="3111"/>
      <c r="P263" s="3111"/>
      <c r="Q263" s="3111"/>
      <c r="R263" s="3111"/>
      <c r="S263" s="3111"/>
      <c r="T263" s="3111"/>
      <c r="U263" s="3111"/>
    </row>
    <row r="264" spans="1:21" s="890" customFormat="1" ht="14.25" customHeight="1">
      <c r="A264" s="3075" t="s">
        <v>1155</v>
      </c>
      <c r="B264" s="3075" t="s">
        <v>1148</v>
      </c>
      <c r="C264" s="3075">
        <v>6190</v>
      </c>
      <c r="D264" s="3075">
        <v>6150</v>
      </c>
      <c r="E264" s="3075">
        <v>7660</v>
      </c>
      <c r="F264" s="3081">
        <v>1160</v>
      </c>
      <c r="G264" s="3081">
        <v>3770</v>
      </c>
      <c r="I264" s="903"/>
      <c r="J264" s="3111"/>
      <c r="K264" s="3111"/>
      <c r="L264" s="3111"/>
      <c r="M264" s="3111"/>
      <c r="N264" s="3111"/>
      <c r="O264" s="3111"/>
      <c r="P264" s="3111"/>
      <c r="Q264" s="3111"/>
      <c r="R264" s="3111"/>
      <c r="S264" s="3111"/>
      <c r="T264" s="3111"/>
      <c r="U264" s="3111"/>
    </row>
    <row r="265" spans="1:21" s="890" customFormat="1" ht="14.25" customHeight="1">
      <c r="A265" s="3075" t="s">
        <v>1155</v>
      </c>
      <c r="B265" s="3075" t="s">
        <v>2847</v>
      </c>
      <c r="C265" s="3075"/>
      <c r="D265" s="3075"/>
      <c r="E265" s="3075"/>
      <c r="F265" s="3081">
        <v>1500</v>
      </c>
      <c r="G265" s="3081"/>
      <c r="I265" s="903"/>
      <c r="J265" s="3111"/>
      <c r="K265" s="3111"/>
      <c r="L265" s="3111"/>
      <c r="M265" s="3111"/>
      <c r="N265" s="3111"/>
      <c r="O265" s="3111"/>
      <c r="P265" s="3111"/>
      <c r="Q265" s="3111"/>
      <c r="R265" s="3111"/>
      <c r="S265" s="3111"/>
      <c r="T265" s="3111"/>
      <c r="U265" s="3111"/>
    </row>
    <row r="266" spans="1:21" s="890" customFormat="1" ht="14.25" customHeight="1">
      <c r="A266" s="3075" t="s">
        <v>1155</v>
      </c>
      <c r="B266" s="3075" t="s">
        <v>2848</v>
      </c>
      <c r="C266" s="3075"/>
      <c r="D266" s="3075"/>
      <c r="E266" s="3075"/>
      <c r="F266" s="3081">
        <v>1500</v>
      </c>
      <c r="G266" s="3081"/>
      <c r="I266" s="903"/>
      <c r="J266" s="3111"/>
      <c r="K266" s="3111"/>
      <c r="L266" s="3111"/>
      <c r="M266" s="3111"/>
      <c r="N266" s="3111"/>
      <c r="O266" s="3111"/>
      <c r="P266" s="3111"/>
      <c r="Q266" s="3111"/>
      <c r="R266" s="3111"/>
      <c r="S266" s="3111"/>
      <c r="T266" s="3111"/>
      <c r="U266" s="3111"/>
    </row>
    <row r="267" spans="1:21" s="890" customFormat="1" ht="14.25" customHeight="1">
      <c r="A267" s="3075" t="s">
        <v>1155</v>
      </c>
      <c r="B267" s="3075" t="s">
        <v>2849</v>
      </c>
      <c r="C267" s="3075"/>
      <c r="D267" s="3075"/>
      <c r="E267" s="3075"/>
      <c r="F267" s="3081">
        <v>1500</v>
      </c>
      <c r="G267" s="3083"/>
      <c r="I267" s="903"/>
      <c r="J267" s="3111"/>
      <c r="K267" s="3111"/>
      <c r="L267" s="3111"/>
      <c r="M267" s="3111"/>
      <c r="N267" s="3111"/>
      <c r="O267" s="3111"/>
      <c r="P267" s="3111"/>
      <c r="Q267" s="3111"/>
      <c r="R267" s="3111"/>
      <c r="S267" s="3111"/>
      <c r="T267" s="3111"/>
      <c r="U267" s="3111"/>
    </row>
    <row r="268" spans="1:21" s="890" customFormat="1" ht="14.25" customHeight="1">
      <c r="A268" s="3075" t="s">
        <v>1155</v>
      </c>
      <c r="B268" s="3075" t="s">
        <v>2850</v>
      </c>
      <c r="C268" s="3075"/>
      <c r="D268" s="3075"/>
      <c r="E268" s="3075"/>
      <c r="F268" s="3081">
        <v>1290</v>
      </c>
      <c r="G268" s="3081"/>
      <c r="I268" s="903"/>
      <c r="J268" s="3111"/>
      <c r="K268" s="3111"/>
      <c r="L268" s="3111"/>
      <c r="M268" s="3111"/>
      <c r="N268" s="3111"/>
      <c r="O268" s="3111"/>
      <c r="P268" s="3111"/>
      <c r="Q268" s="3111"/>
      <c r="R268" s="3111"/>
      <c r="S268" s="3111"/>
      <c r="T268" s="3111"/>
      <c r="U268" s="3111"/>
    </row>
    <row r="269" spans="1:21" s="890" customFormat="1" ht="14.25" customHeight="1">
      <c r="A269" s="3075" t="s">
        <v>1155</v>
      </c>
      <c r="B269" s="3075" t="s">
        <v>2851</v>
      </c>
      <c r="C269" s="3075"/>
      <c r="D269" s="3075"/>
      <c r="E269" s="3075"/>
      <c r="F269" s="3081">
        <v>1150</v>
      </c>
      <c r="G269" s="3081"/>
      <c r="I269" s="903"/>
      <c r="J269" s="3111"/>
      <c r="K269" s="3111"/>
      <c r="L269" s="3111"/>
      <c r="M269" s="3111"/>
      <c r="N269" s="3111"/>
      <c r="O269" s="3111"/>
      <c r="P269" s="3111"/>
      <c r="Q269" s="3111"/>
      <c r="R269" s="3111"/>
      <c r="S269" s="3111"/>
      <c r="T269" s="3111"/>
      <c r="U269" s="3111"/>
    </row>
    <row r="270" spans="1:21" s="890" customFormat="1" ht="14.25" customHeight="1">
      <c r="A270" s="3075" t="s">
        <v>1155</v>
      </c>
      <c r="B270" s="3075" t="s">
        <v>2852</v>
      </c>
      <c r="C270" s="3075"/>
      <c r="D270" s="3075"/>
      <c r="E270" s="3075"/>
      <c r="F270" s="3081">
        <v>1380</v>
      </c>
      <c r="G270" s="3081"/>
      <c r="I270" s="903"/>
      <c r="J270" s="3111"/>
      <c r="K270" s="3111"/>
      <c r="L270" s="3111"/>
      <c r="M270" s="3111"/>
      <c r="N270" s="3111"/>
      <c r="O270" s="3111"/>
      <c r="P270" s="3111"/>
      <c r="Q270" s="3111"/>
      <c r="R270" s="3111"/>
      <c r="S270" s="3111"/>
      <c r="T270" s="3111"/>
      <c r="U270" s="3111"/>
    </row>
    <row r="271" spans="1:21" s="890" customFormat="1" ht="14.25" customHeight="1">
      <c r="A271" s="3075" t="s">
        <v>1155</v>
      </c>
      <c r="B271" s="3075" t="s">
        <v>2853</v>
      </c>
      <c r="C271" s="3075"/>
      <c r="D271" s="3075"/>
      <c r="E271" s="3075"/>
      <c r="F271" s="3081">
        <v>1460</v>
      </c>
      <c r="G271" s="3081"/>
      <c r="I271" s="903"/>
      <c r="J271" s="3111"/>
      <c r="K271" s="3111"/>
      <c r="L271" s="3111"/>
      <c r="M271" s="3111"/>
      <c r="N271" s="3111"/>
      <c r="O271" s="3111"/>
      <c r="P271" s="3111"/>
      <c r="Q271" s="3111"/>
      <c r="R271" s="3111"/>
      <c r="S271" s="3111"/>
      <c r="T271" s="3111"/>
      <c r="U271" s="3111"/>
    </row>
    <row r="272" spans="1:21" s="890" customFormat="1" ht="14.25" customHeight="1">
      <c r="A272" s="3075" t="s">
        <v>1155</v>
      </c>
      <c r="B272" s="3075" t="s">
        <v>2854</v>
      </c>
      <c r="C272" s="3084"/>
      <c r="D272" s="3084"/>
      <c r="E272" s="3084"/>
      <c r="F272" s="3083">
        <v>1460</v>
      </c>
      <c r="G272" s="3081"/>
      <c r="I272" s="903"/>
      <c r="J272" s="3111"/>
      <c r="K272" s="3111"/>
      <c r="L272" s="3111"/>
      <c r="M272" s="3111"/>
      <c r="N272" s="3111"/>
      <c r="O272" s="3111"/>
      <c r="P272" s="3111"/>
      <c r="Q272" s="3111"/>
      <c r="R272" s="3111"/>
      <c r="S272" s="3111"/>
      <c r="T272" s="3111"/>
      <c r="U272" s="3111"/>
    </row>
    <row r="273" spans="1:21" s="890" customFormat="1" ht="14.25" customHeight="1">
      <c r="A273" s="3075" t="s">
        <v>1155</v>
      </c>
      <c r="B273" s="3075" t="s">
        <v>2855</v>
      </c>
      <c r="C273" s="3075"/>
      <c r="D273" s="3075"/>
      <c r="E273" s="3075"/>
      <c r="F273" s="3081">
        <v>1490</v>
      </c>
      <c r="G273" s="3081"/>
      <c r="I273" s="903"/>
      <c r="J273" s="3111"/>
      <c r="K273" s="3111"/>
      <c r="L273" s="3111"/>
      <c r="M273" s="3111"/>
      <c r="N273" s="3111"/>
      <c r="O273" s="3111"/>
      <c r="P273" s="3111"/>
      <c r="Q273" s="3111"/>
      <c r="R273" s="3111"/>
      <c r="S273" s="3111"/>
      <c r="T273" s="3111"/>
      <c r="U273" s="3111"/>
    </row>
    <row r="274" spans="1:21" s="890" customFormat="1" ht="14.25" customHeight="1">
      <c r="A274" s="3075" t="s">
        <v>1155</v>
      </c>
      <c r="B274" s="3075" t="s">
        <v>2856</v>
      </c>
      <c r="C274" s="3075"/>
      <c r="D274" s="3075"/>
      <c r="E274" s="3075"/>
      <c r="F274" s="3081">
        <v>1490</v>
      </c>
      <c r="G274" s="3081"/>
      <c r="I274" s="903"/>
      <c r="J274" s="3111"/>
      <c r="K274" s="3111"/>
      <c r="L274" s="3111"/>
      <c r="M274" s="3111"/>
      <c r="N274" s="3111"/>
      <c r="O274" s="3111"/>
      <c r="P274" s="3111"/>
      <c r="Q274" s="3111"/>
      <c r="R274" s="3111"/>
      <c r="S274" s="3111"/>
      <c r="T274" s="3111"/>
      <c r="U274" s="3111"/>
    </row>
    <row r="275" spans="1:21" s="890" customFormat="1" ht="14.25" customHeight="1">
      <c r="A275" s="3075" t="s">
        <v>1155</v>
      </c>
      <c r="B275" s="3075" t="s">
        <v>2857</v>
      </c>
      <c r="C275" s="3075"/>
      <c r="D275" s="3075"/>
      <c r="E275" s="3075"/>
      <c r="F275" s="3081">
        <v>1220</v>
      </c>
      <c r="G275" s="3081"/>
      <c r="I275" s="903"/>
      <c r="J275" s="3111"/>
      <c r="K275" s="3111"/>
      <c r="L275" s="3111"/>
      <c r="M275" s="3111"/>
      <c r="N275" s="3111"/>
      <c r="O275" s="3111"/>
      <c r="P275" s="3111"/>
      <c r="Q275" s="3111"/>
      <c r="R275" s="3111"/>
      <c r="S275" s="3111"/>
      <c r="T275" s="3111"/>
      <c r="U275" s="3111"/>
    </row>
    <row r="276" spans="1:21" s="890" customFormat="1" ht="14.25" customHeight="1" thickBot="1">
      <c r="A276" s="3090" t="s">
        <v>1155</v>
      </c>
      <c r="B276" s="3078" t="s">
        <v>2858</v>
      </c>
      <c r="C276" s="3078"/>
      <c r="D276" s="3078"/>
      <c r="E276" s="3078"/>
      <c r="F276" s="3079">
        <v>1380</v>
      </c>
      <c r="G276" s="3091"/>
      <c r="I276" s="903"/>
      <c r="J276" s="3111"/>
      <c r="K276" s="3111"/>
      <c r="L276" s="3111"/>
      <c r="M276" s="3111"/>
      <c r="N276" s="3111"/>
      <c r="O276" s="3111"/>
      <c r="P276" s="3111"/>
      <c r="Q276" s="3111"/>
      <c r="R276" s="3111"/>
      <c r="S276" s="3111"/>
      <c r="T276" s="3111"/>
      <c r="U276" s="3111"/>
    </row>
    <row r="277" spans="1:21" s="890" customFormat="1" ht="14.25" customHeight="1">
      <c r="A277" s="3089" t="s">
        <v>1156</v>
      </c>
      <c r="B277" s="1137" t="s">
        <v>2859</v>
      </c>
      <c r="C277" s="1137">
        <v>5790</v>
      </c>
      <c r="D277" s="1137">
        <v>5740</v>
      </c>
      <c r="E277" s="1137">
        <v>6730</v>
      </c>
      <c r="F277" s="3076">
        <v>1110</v>
      </c>
      <c r="G277" s="3076">
        <v>3460</v>
      </c>
      <c r="I277" s="903"/>
      <c r="J277" s="3111"/>
      <c r="K277" s="3111"/>
      <c r="L277" s="3111"/>
      <c r="M277" s="3111"/>
      <c r="N277" s="3111"/>
      <c r="O277" s="3111"/>
      <c r="P277" s="3111"/>
      <c r="Q277" s="3111"/>
      <c r="R277" s="3111"/>
      <c r="S277" s="3111"/>
      <c r="T277" s="3111"/>
      <c r="U277" s="3111"/>
    </row>
    <row r="278" spans="1:21" s="890" customFormat="1" ht="14.25" customHeight="1">
      <c r="A278" s="3075" t="s">
        <v>1156</v>
      </c>
      <c r="B278" s="3075" t="s">
        <v>980</v>
      </c>
      <c r="C278" s="3075">
        <v>5740</v>
      </c>
      <c r="D278" s="3075">
        <v>5670</v>
      </c>
      <c r="E278" s="3075">
        <v>6680</v>
      </c>
      <c r="F278" s="3081">
        <v>1070</v>
      </c>
      <c r="G278" s="3081">
        <v>3420</v>
      </c>
      <c r="I278" s="903"/>
      <c r="J278" s="3111"/>
      <c r="K278" s="3111"/>
      <c r="L278" s="3111"/>
      <c r="M278" s="3111"/>
      <c r="N278" s="3111"/>
      <c r="O278" s="3111"/>
      <c r="P278" s="3111"/>
      <c r="Q278" s="3111"/>
      <c r="R278" s="3111"/>
      <c r="S278" s="3111"/>
      <c r="T278" s="3111"/>
      <c r="U278" s="3111"/>
    </row>
    <row r="279" spans="1:21" s="890" customFormat="1" ht="14.25" customHeight="1">
      <c r="A279" s="3075" t="s">
        <v>1156</v>
      </c>
      <c r="B279" s="3075" t="s">
        <v>2860</v>
      </c>
      <c r="C279" s="3075">
        <v>4760</v>
      </c>
      <c r="D279" s="3075">
        <v>4720</v>
      </c>
      <c r="E279" s="3075">
        <v>5540</v>
      </c>
      <c r="F279" s="3081">
        <v>810</v>
      </c>
      <c r="G279" s="3081">
        <v>2850</v>
      </c>
      <c r="I279" s="903"/>
      <c r="J279" s="3111"/>
      <c r="K279" s="3111"/>
      <c r="L279" s="3111"/>
      <c r="M279" s="3111"/>
      <c r="N279" s="3111"/>
      <c r="O279" s="3111"/>
      <c r="P279" s="3111"/>
      <c r="Q279" s="3111"/>
      <c r="R279" s="3111"/>
      <c r="S279" s="3111"/>
      <c r="T279" s="3111"/>
      <c r="U279" s="3111"/>
    </row>
    <row r="280" spans="1:21" s="890" customFormat="1" ht="14.25" customHeight="1">
      <c r="A280" s="3075" t="s">
        <v>1156</v>
      </c>
      <c r="B280" s="3075" t="s">
        <v>2861</v>
      </c>
      <c r="C280" s="3075">
        <v>4010</v>
      </c>
      <c r="D280" s="3075">
        <v>3950</v>
      </c>
      <c r="E280" s="3075">
        <v>4710</v>
      </c>
      <c r="F280" s="3081">
        <v>800</v>
      </c>
      <c r="G280" s="3081">
        <v>2390</v>
      </c>
      <c r="I280" s="903"/>
      <c r="J280" s="3111"/>
      <c r="K280" s="3111"/>
      <c r="L280" s="3111"/>
      <c r="M280" s="3111"/>
      <c r="N280" s="3111"/>
      <c r="O280" s="3111"/>
      <c r="P280" s="3111"/>
      <c r="Q280" s="3111"/>
      <c r="R280" s="3111"/>
      <c r="S280" s="3111"/>
      <c r="T280" s="3111"/>
      <c r="U280" s="3111"/>
    </row>
    <row r="281" spans="1:21" s="890" customFormat="1" ht="14.25" customHeight="1">
      <c r="A281" s="3075" t="s">
        <v>1156</v>
      </c>
      <c r="B281" s="3075" t="s">
        <v>2862</v>
      </c>
      <c r="C281" s="3075">
        <v>4480</v>
      </c>
      <c r="D281" s="3075">
        <v>4420</v>
      </c>
      <c r="E281" s="3075">
        <v>5230</v>
      </c>
      <c r="F281" s="3081">
        <v>870</v>
      </c>
      <c r="G281" s="3081">
        <v>2660</v>
      </c>
      <c r="I281" s="903"/>
      <c r="J281" s="3111"/>
      <c r="K281" s="3111"/>
      <c r="L281" s="3111"/>
      <c r="M281" s="3111"/>
      <c r="N281" s="3111"/>
      <c r="O281" s="3111"/>
      <c r="P281" s="3111"/>
      <c r="Q281" s="3111"/>
      <c r="R281" s="3111"/>
      <c r="S281" s="3111"/>
      <c r="T281" s="3111"/>
      <c r="U281" s="3111"/>
    </row>
    <row r="282" spans="1:21" s="890" customFormat="1" ht="14.25" customHeight="1">
      <c r="A282" s="3075" t="s">
        <v>1156</v>
      </c>
      <c r="B282" s="3075" t="s">
        <v>2863</v>
      </c>
      <c r="C282" s="3075">
        <v>5360</v>
      </c>
      <c r="D282" s="3075">
        <v>5300</v>
      </c>
      <c r="E282" s="3075">
        <v>6190</v>
      </c>
      <c r="F282" s="3081">
        <v>950</v>
      </c>
      <c r="G282" s="3081">
        <v>3190</v>
      </c>
      <c r="I282" s="903"/>
      <c r="J282" s="3111"/>
      <c r="K282" s="3111"/>
      <c r="L282" s="3111"/>
      <c r="M282" s="3111"/>
      <c r="N282" s="3111"/>
      <c r="O282" s="3111"/>
      <c r="P282" s="3111"/>
      <c r="Q282" s="3111"/>
      <c r="R282" s="3111"/>
      <c r="S282" s="3111"/>
      <c r="T282" s="3111"/>
      <c r="U282" s="3111"/>
    </row>
    <row r="283" spans="1:21" s="890" customFormat="1" ht="14.25" customHeight="1">
      <c r="A283" s="3075" t="s">
        <v>1156</v>
      </c>
      <c r="B283" s="3075" t="s">
        <v>1021</v>
      </c>
      <c r="C283" s="3075">
        <v>4950</v>
      </c>
      <c r="D283" s="3075">
        <v>4900</v>
      </c>
      <c r="E283" s="3075">
        <v>5720</v>
      </c>
      <c r="F283" s="3081">
        <v>920</v>
      </c>
      <c r="G283" s="3081">
        <v>2950</v>
      </c>
      <c r="I283" s="903"/>
      <c r="J283" s="3111"/>
      <c r="K283" s="3111"/>
      <c r="L283" s="3111"/>
      <c r="M283" s="3111"/>
      <c r="N283" s="3111"/>
      <c r="O283" s="3111"/>
      <c r="P283" s="3111"/>
      <c r="Q283" s="3111"/>
      <c r="R283" s="3111"/>
      <c r="S283" s="3111"/>
      <c r="T283" s="3111"/>
      <c r="U283" s="3111"/>
    </row>
    <row r="284" spans="1:21" s="890" customFormat="1" ht="14.25" customHeight="1">
      <c r="A284" s="3075" t="s">
        <v>1156</v>
      </c>
      <c r="B284" s="3075" t="s">
        <v>1029</v>
      </c>
      <c r="C284" s="3075">
        <v>5610</v>
      </c>
      <c r="D284" s="3075">
        <v>5560</v>
      </c>
      <c r="E284" s="3075">
        <v>6520</v>
      </c>
      <c r="F284" s="3081">
        <v>1030</v>
      </c>
      <c r="G284" s="3081">
        <v>3360</v>
      </c>
      <c r="I284" s="903"/>
      <c r="J284" s="3111"/>
      <c r="K284" s="3111"/>
      <c r="L284" s="3111"/>
      <c r="M284" s="3111"/>
      <c r="N284" s="3111"/>
      <c r="O284" s="3111"/>
      <c r="P284" s="3111"/>
      <c r="Q284" s="3111"/>
      <c r="R284" s="3111"/>
      <c r="S284" s="3111"/>
      <c r="T284" s="3111"/>
      <c r="U284" s="3111"/>
    </row>
    <row r="285" spans="1:21" s="890" customFormat="1" ht="14.25" customHeight="1">
      <c r="A285" s="3075" t="s">
        <v>1156</v>
      </c>
      <c r="B285" s="3075" t="s">
        <v>1039</v>
      </c>
      <c r="C285" s="3075">
        <v>5340</v>
      </c>
      <c r="D285" s="3075">
        <v>5290</v>
      </c>
      <c r="E285" s="3075">
        <v>6170</v>
      </c>
      <c r="F285" s="3081">
        <v>1080</v>
      </c>
      <c r="G285" s="3081">
        <v>3180</v>
      </c>
      <c r="I285" s="903"/>
      <c r="J285" s="3111"/>
      <c r="K285" s="3111"/>
      <c r="L285" s="3111"/>
      <c r="M285" s="3111"/>
      <c r="N285" s="3111"/>
      <c r="O285" s="3111"/>
      <c r="P285" s="3111"/>
      <c r="Q285" s="3111"/>
      <c r="R285" s="3111"/>
      <c r="S285" s="3111"/>
      <c r="T285" s="3111"/>
      <c r="U285" s="3111"/>
    </row>
    <row r="286" spans="1:21" s="890" customFormat="1" ht="14.25" customHeight="1">
      <c r="A286" s="3075" t="s">
        <v>1156</v>
      </c>
      <c r="B286" s="3075" t="s">
        <v>1046</v>
      </c>
      <c r="C286" s="3075">
        <v>4890</v>
      </c>
      <c r="D286" s="3075">
        <v>4840</v>
      </c>
      <c r="E286" s="3075">
        <v>5640</v>
      </c>
      <c r="F286" s="3081">
        <v>960</v>
      </c>
      <c r="G286" s="3081">
        <v>2910</v>
      </c>
      <c r="I286" s="903"/>
      <c r="J286" s="3111"/>
      <c r="K286" s="3111"/>
      <c r="L286" s="3111"/>
      <c r="M286" s="3111"/>
      <c r="N286" s="3111"/>
      <c r="O286" s="3111"/>
      <c r="P286" s="3111"/>
      <c r="Q286" s="3111"/>
      <c r="R286" s="3111"/>
      <c r="S286" s="3111"/>
      <c r="T286" s="3111"/>
      <c r="U286" s="3111"/>
    </row>
    <row r="287" spans="1:21" s="890" customFormat="1" ht="14.25" customHeight="1">
      <c r="A287" s="3075" t="s">
        <v>1156</v>
      </c>
      <c r="B287" s="3075" t="s">
        <v>2864</v>
      </c>
      <c r="C287" s="3075">
        <v>4960</v>
      </c>
      <c r="D287" s="3075">
        <v>4920</v>
      </c>
      <c r="E287" s="3075">
        <v>5730</v>
      </c>
      <c r="F287" s="3081">
        <v>930</v>
      </c>
      <c r="G287" s="3081">
        <v>2960</v>
      </c>
      <c r="I287" s="903"/>
      <c r="J287" s="3111"/>
      <c r="K287" s="3111"/>
      <c r="L287" s="3111"/>
      <c r="M287" s="3111"/>
      <c r="N287" s="3111"/>
      <c r="O287" s="3111"/>
      <c r="P287" s="3111"/>
      <c r="Q287" s="3111"/>
      <c r="R287" s="3111"/>
      <c r="S287" s="3111"/>
      <c r="T287" s="3111"/>
      <c r="U287" s="3111"/>
    </row>
    <row r="288" spans="1:21" s="890" customFormat="1" ht="14.25" customHeight="1">
      <c r="A288" s="3075" t="s">
        <v>1156</v>
      </c>
      <c r="B288" s="3075" t="s">
        <v>1067</v>
      </c>
      <c r="C288" s="3075">
        <v>4350</v>
      </c>
      <c r="D288" s="3075">
        <v>4300</v>
      </c>
      <c r="E288" s="3075">
        <v>4900</v>
      </c>
      <c r="F288" s="3081">
        <v>820</v>
      </c>
      <c r="G288" s="3081">
        <v>2590</v>
      </c>
      <c r="I288" s="903"/>
      <c r="J288" s="3111"/>
      <c r="K288" s="3111"/>
      <c r="L288" s="3111"/>
      <c r="M288" s="3111"/>
      <c r="N288" s="3111"/>
      <c r="O288" s="3111"/>
      <c r="P288" s="3111"/>
      <c r="Q288" s="3111"/>
      <c r="R288" s="3111"/>
      <c r="S288" s="3111"/>
      <c r="T288" s="3111"/>
      <c r="U288" s="3111"/>
    </row>
    <row r="289" spans="1:21" s="890" customFormat="1" ht="14.25" customHeight="1">
      <c r="A289" s="3075" t="s">
        <v>1156</v>
      </c>
      <c r="B289" s="3075" t="s">
        <v>2865</v>
      </c>
      <c r="C289" s="3075">
        <v>5230</v>
      </c>
      <c r="D289" s="3075">
        <v>5170</v>
      </c>
      <c r="E289" s="3075">
        <v>6060</v>
      </c>
      <c r="F289" s="3075">
        <v>900</v>
      </c>
      <c r="G289" s="3075">
        <v>3120</v>
      </c>
      <c r="H289" s="3097"/>
      <c r="I289" s="903"/>
      <c r="J289" s="3111"/>
      <c r="K289" s="3111"/>
      <c r="L289" s="3111"/>
      <c r="M289" s="3111"/>
      <c r="N289" s="3111"/>
      <c r="O289" s="3111"/>
      <c r="P289" s="3111"/>
      <c r="Q289" s="3111"/>
      <c r="R289" s="3111"/>
      <c r="S289" s="3111"/>
      <c r="T289" s="3111"/>
      <c r="U289" s="3111"/>
    </row>
    <row r="290" spans="1:21" s="890" customFormat="1" ht="14.25" customHeight="1">
      <c r="A290" s="1137" t="s">
        <v>1156</v>
      </c>
      <c r="B290" s="1137" t="s">
        <v>1090</v>
      </c>
      <c r="C290" s="1137">
        <v>5550</v>
      </c>
      <c r="D290" s="1137">
        <v>5500</v>
      </c>
      <c r="E290" s="1137">
        <v>6440</v>
      </c>
      <c r="F290" s="3076">
        <v>960</v>
      </c>
      <c r="G290" s="3092">
        <v>3320</v>
      </c>
      <c r="I290" s="903"/>
      <c r="J290" s="3111"/>
      <c r="K290" s="3111"/>
      <c r="L290" s="3111"/>
      <c r="M290" s="3111"/>
      <c r="N290" s="3111"/>
      <c r="O290" s="3111"/>
      <c r="P290" s="3111"/>
      <c r="Q290" s="3111"/>
      <c r="R290" s="3111"/>
      <c r="S290" s="3111"/>
      <c r="T290" s="3111"/>
      <c r="U290" s="3111"/>
    </row>
    <row r="291" spans="1:21" s="890" customFormat="1" ht="14.25" customHeight="1">
      <c r="A291" s="3075" t="s">
        <v>1156</v>
      </c>
      <c r="B291" s="3075" t="s">
        <v>1098</v>
      </c>
      <c r="C291" s="3075">
        <v>5440</v>
      </c>
      <c r="D291" s="3075">
        <v>5400</v>
      </c>
      <c r="E291" s="3075">
        <v>6320</v>
      </c>
      <c r="F291" s="3081">
        <v>930</v>
      </c>
      <c r="G291" s="3083">
        <v>3250</v>
      </c>
      <c r="I291" s="903"/>
      <c r="J291" s="3111"/>
      <c r="K291" s="3111"/>
      <c r="L291" s="3111"/>
      <c r="M291" s="3111"/>
      <c r="N291" s="3111"/>
      <c r="O291" s="3111"/>
      <c r="P291" s="3111"/>
      <c r="Q291" s="3111"/>
      <c r="R291" s="3111"/>
      <c r="S291" s="3111"/>
      <c r="T291" s="3111"/>
      <c r="U291" s="3111"/>
    </row>
    <row r="292" spans="1:21" s="890" customFormat="1" ht="14.25" customHeight="1">
      <c r="A292" s="3075" t="s">
        <v>1156</v>
      </c>
      <c r="B292" s="3075" t="s">
        <v>1104</v>
      </c>
      <c r="C292" s="3075">
        <v>5400</v>
      </c>
      <c r="D292" s="3075">
        <v>5360</v>
      </c>
      <c r="E292" s="3075">
        <v>6270</v>
      </c>
      <c r="F292" s="3081">
        <v>1040</v>
      </c>
      <c r="G292" s="3081">
        <v>3230</v>
      </c>
      <c r="I292" s="903"/>
      <c r="J292" s="3111"/>
      <c r="K292" s="3111"/>
      <c r="L292" s="3111"/>
      <c r="M292" s="3111"/>
      <c r="N292" s="3111"/>
      <c r="O292" s="3111"/>
      <c r="P292" s="3111"/>
      <c r="Q292" s="3111"/>
      <c r="R292" s="3111"/>
      <c r="S292" s="3111"/>
      <c r="T292" s="3111"/>
      <c r="U292" s="3111"/>
    </row>
    <row r="293" spans="1:21" s="890" customFormat="1" ht="14.25" customHeight="1">
      <c r="A293" s="3075" t="s">
        <v>1156</v>
      </c>
      <c r="B293" s="3075" t="s">
        <v>2866</v>
      </c>
      <c r="C293" s="3075">
        <v>5320</v>
      </c>
      <c r="D293" s="3075">
        <v>5270</v>
      </c>
      <c r="E293" s="3075">
        <v>6160</v>
      </c>
      <c r="F293" s="3081">
        <v>990</v>
      </c>
      <c r="G293" s="3081">
        <v>3170</v>
      </c>
      <c r="I293" s="903"/>
      <c r="J293" s="3111"/>
      <c r="K293" s="3111"/>
      <c r="L293" s="3111"/>
      <c r="M293" s="3111"/>
      <c r="N293" s="3111"/>
      <c r="O293" s="3111"/>
      <c r="P293" s="3111"/>
      <c r="Q293" s="3111"/>
      <c r="R293" s="3111"/>
      <c r="S293" s="3111"/>
      <c r="T293" s="3111"/>
      <c r="U293" s="3111"/>
    </row>
    <row r="294" spans="1:21" s="890" customFormat="1" ht="14.25" customHeight="1">
      <c r="A294" s="3075" t="s">
        <v>1156</v>
      </c>
      <c r="B294" s="3075" t="s">
        <v>2867</v>
      </c>
      <c r="C294" s="3075">
        <v>5260</v>
      </c>
      <c r="D294" s="3075">
        <v>5210</v>
      </c>
      <c r="E294" s="3075">
        <v>6100</v>
      </c>
      <c r="F294" s="3081">
        <v>950</v>
      </c>
      <c r="G294" s="3081">
        <v>3150</v>
      </c>
      <c r="I294" s="903"/>
      <c r="J294" s="3111"/>
      <c r="K294" s="3111"/>
      <c r="L294" s="3111"/>
      <c r="M294" s="3111"/>
      <c r="N294" s="3111"/>
      <c r="O294" s="3111"/>
      <c r="P294" s="3111"/>
      <c r="Q294" s="3111"/>
      <c r="R294" s="3111"/>
      <c r="S294" s="3111"/>
      <c r="T294" s="3111"/>
      <c r="U294" s="3111"/>
    </row>
    <row r="295" spans="1:21" s="890" customFormat="1" ht="14.25" customHeight="1">
      <c r="A295" s="3075" t="s">
        <v>1156</v>
      </c>
      <c r="B295" s="3075" t="s">
        <v>1139</v>
      </c>
      <c r="C295" s="3075">
        <v>5610</v>
      </c>
      <c r="D295" s="3075">
        <v>5570</v>
      </c>
      <c r="E295" s="3075">
        <v>6530</v>
      </c>
      <c r="F295" s="3081">
        <v>960</v>
      </c>
      <c r="G295" s="3081">
        <v>3360</v>
      </c>
      <c r="I295" s="903"/>
      <c r="J295" s="3111"/>
      <c r="K295" s="3111"/>
      <c r="L295" s="3111"/>
      <c r="M295" s="3111"/>
      <c r="N295" s="3111"/>
      <c r="O295" s="3111"/>
      <c r="P295" s="3111"/>
      <c r="Q295" s="3111"/>
      <c r="R295" s="3111"/>
      <c r="S295" s="3111"/>
      <c r="T295" s="3111"/>
      <c r="U295" s="3111"/>
    </row>
    <row r="296" spans="1:21" s="890" customFormat="1" ht="14.25" customHeight="1">
      <c r="A296" s="3075" t="s">
        <v>1156</v>
      </c>
      <c r="B296" s="3075" t="s">
        <v>1142</v>
      </c>
      <c r="C296" s="3075">
        <v>5540</v>
      </c>
      <c r="D296" s="3075">
        <v>5490</v>
      </c>
      <c r="E296" s="3075">
        <v>6430</v>
      </c>
      <c r="F296" s="3081">
        <v>980</v>
      </c>
      <c r="G296" s="3081">
        <v>3310</v>
      </c>
      <c r="I296" s="903"/>
      <c r="J296" s="3111"/>
      <c r="K296" s="3111"/>
      <c r="L296" s="3111"/>
      <c r="M296" s="3111"/>
      <c r="N296" s="3111"/>
      <c r="O296" s="3111"/>
      <c r="P296" s="3111"/>
      <c r="Q296" s="3111"/>
      <c r="R296" s="3111"/>
      <c r="S296" s="3111"/>
      <c r="T296" s="3111"/>
      <c r="U296" s="3111"/>
    </row>
    <row r="297" spans="1:21" s="890" customFormat="1" ht="14.25" customHeight="1">
      <c r="A297" s="3075" t="s">
        <v>1156</v>
      </c>
      <c r="B297" s="3075" t="s">
        <v>1144</v>
      </c>
      <c r="C297" s="3075">
        <v>5480</v>
      </c>
      <c r="D297" s="3075">
        <v>5420</v>
      </c>
      <c r="E297" s="3075">
        <v>6370</v>
      </c>
      <c r="F297" s="3081">
        <v>990</v>
      </c>
      <c r="G297" s="3081">
        <v>3270</v>
      </c>
      <c r="I297" s="903"/>
      <c r="J297" s="3111"/>
      <c r="K297" s="3111"/>
      <c r="L297" s="3111"/>
      <c r="M297" s="3111"/>
      <c r="N297" s="3111"/>
      <c r="O297" s="3111"/>
      <c r="P297" s="3111"/>
      <c r="Q297" s="3111"/>
      <c r="R297" s="3111"/>
      <c r="S297" s="3111"/>
      <c r="T297" s="3111"/>
      <c r="U297" s="3111"/>
    </row>
    <row r="298" spans="1:21" s="890" customFormat="1" ht="14.25" customHeight="1">
      <c r="A298" s="3075" t="s">
        <v>1156</v>
      </c>
      <c r="B298" s="3075" t="s">
        <v>1147</v>
      </c>
      <c r="C298" s="3075">
        <v>5090</v>
      </c>
      <c r="D298" s="3075">
        <v>5050</v>
      </c>
      <c r="E298" s="3075">
        <v>5910</v>
      </c>
      <c r="F298" s="3081">
        <v>900</v>
      </c>
      <c r="G298" s="3081">
        <v>3040</v>
      </c>
      <c r="I298" s="903"/>
      <c r="J298" s="3111"/>
      <c r="K298" s="3111"/>
      <c r="L298" s="3111"/>
      <c r="M298" s="3111"/>
      <c r="N298" s="3111"/>
      <c r="O298" s="3111"/>
      <c r="P298" s="3111"/>
      <c r="Q298" s="3111"/>
      <c r="R298" s="3111"/>
      <c r="S298" s="3111"/>
      <c r="T298" s="3111"/>
      <c r="U298" s="3111"/>
    </row>
    <row r="299" spans="1:21" s="890" customFormat="1" ht="14.25" customHeight="1">
      <c r="A299" s="3075" t="s">
        <v>1156</v>
      </c>
      <c r="B299" s="3075" t="s">
        <v>2868</v>
      </c>
      <c r="C299" s="3075">
        <v>5430</v>
      </c>
      <c r="D299" s="3075">
        <v>5380</v>
      </c>
      <c r="E299" s="3075">
        <v>6280</v>
      </c>
      <c r="F299" s="3081">
        <v>1000</v>
      </c>
      <c r="G299" s="3083">
        <v>3240</v>
      </c>
      <c r="I299" s="903"/>
      <c r="J299" s="3111"/>
      <c r="K299" s="3111"/>
      <c r="L299" s="3111"/>
      <c r="M299" s="3111"/>
      <c r="N299" s="3111"/>
      <c r="O299" s="3111"/>
      <c r="P299" s="3111"/>
      <c r="Q299" s="3111"/>
      <c r="R299" s="3111"/>
      <c r="S299" s="3111"/>
      <c r="T299" s="3111"/>
      <c r="U299" s="3111"/>
    </row>
    <row r="300" spans="1:21" s="890" customFormat="1" ht="14.25" customHeight="1">
      <c r="A300" s="3075" t="s">
        <v>1156</v>
      </c>
      <c r="B300" s="3075" t="s">
        <v>1119</v>
      </c>
      <c r="C300" s="3075">
        <v>4740</v>
      </c>
      <c r="D300" s="3075">
        <v>4680</v>
      </c>
      <c r="E300" s="3075">
        <v>5450</v>
      </c>
      <c r="F300" s="3081">
        <v>900</v>
      </c>
      <c r="G300" s="3081">
        <v>2830</v>
      </c>
      <c r="I300" s="903"/>
      <c r="J300" s="3111"/>
      <c r="K300" s="3111"/>
      <c r="L300" s="3111"/>
      <c r="M300" s="3111"/>
      <c r="N300" s="3111"/>
      <c r="O300" s="3111"/>
      <c r="P300" s="3111"/>
      <c r="Q300" s="3111"/>
      <c r="R300" s="3111"/>
      <c r="S300" s="3111"/>
      <c r="T300" s="3111"/>
      <c r="U300" s="3111"/>
    </row>
    <row r="301" spans="1:21" s="890" customFormat="1" ht="14.25" customHeight="1">
      <c r="A301" s="3075" t="s">
        <v>1156</v>
      </c>
      <c r="B301" s="3075" t="s">
        <v>1125</v>
      </c>
      <c r="C301" s="3075">
        <v>4870</v>
      </c>
      <c r="D301" s="3075">
        <v>4810</v>
      </c>
      <c r="E301" s="3075">
        <v>5560</v>
      </c>
      <c r="F301" s="3081">
        <v>990</v>
      </c>
      <c r="G301" s="3083">
        <v>2910</v>
      </c>
      <c r="I301" s="903"/>
      <c r="J301" s="3111"/>
      <c r="K301" s="3111"/>
      <c r="L301" s="3111"/>
      <c r="M301" s="3111"/>
      <c r="N301" s="3111"/>
      <c r="O301" s="3111"/>
      <c r="P301" s="3111"/>
      <c r="Q301" s="3111"/>
      <c r="R301" s="3111"/>
      <c r="S301" s="3111"/>
      <c r="T301" s="3111"/>
      <c r="U301" s="3111"/>
    </row>
    <row r="302" spans="1:21" s="890" customFormat="1" ht="14.25" customHeight="1">
      <c r="A302" s="3075" t="s">
        <v>1156</v>
      </c>
      <c r="B302" s="3075" t="s">
        <v>2869</v>
      </c>
      <c r="C302" s="3075">
        <v>5520</v>
      </c>
      <c r="D302" s="3075">
        <v>5470</v>
      </c>
      <c r="E302" s="3075">
        <v>6410</v>
      </c>
      <c r="F302" s="3081">
        <v>950</v>
      </c>
      <c r="G302" s="3081">
        <v>3300</v>
      </c>
      <c r="I302" s="903"/>
      <c r="J302" s="3111"/>
      <c r="K302" s="3111"/>
      <c r="L302" s="3111"/>
      <c r="M302" s="3111"/>
      <c r="N302" s="3111"/>
      <c r="O302" s="3111"/>
      <c r="P302" s="3111"/>
      <c r="Q302" s="3111"/>
      <c r="R302" s="3111"/>
      <c r="S302" s="3111"/>
      <c r="T302" s="3111"/>
      <c r="U302" s="3111"/>
    </row>
    <row r="303" spans="1:21" s="890" customFormat="1" ht="14.25" customHeight="1">
      <c r="A303" s="3075" t="s">
        <v>1156</v>
      </c>
      <c r="B303" s="3075" t="s">
        <v>2870</v>
      </c>
      <c r="C303" s="3075">
        <v>5630</v>
      </c>
      <c r="D303" s="3075">
        <v>5590</v>
      </c>
      <c r="E303" s="3075">
        <v>6550</v>
      </c>
      <c r="F303" s="3081">
        <v>1010</v>
      </c>
      <c r="G303" s="3081">
        <v>3370</v>
      </c>
      <c r="I303" s="903"/>
      <c r="J303" s="3111"/>
      <c r="K303" s="3111"/>
      <c r="L303" s="3111"/>
      <c r="M303" s="3111"/>
      <c r="N303" s="3111"/>
      <c r="O303" s="3111"/>
      <c r="P303" s="3111"/>
      <c r="Q303" s="3111"/>
      <c r="R303" s="3111"/>
      <c r="S303" s="3111"/>
      <c r="T303" s="3111"/>
      <c r="U303" s="3111"/>
    </row>
    <row r="304" spans="1:21" s="890" customFormat="1" ht="14.25" customHeight="1">
      <c r="A304" s="3075" t="s">
        <v>1156</v>
      </c>
      <c r="B304" s="3075" t="s">
        <v>2871</v>
      </c>
      <c r="C304" s="3075">
        <v>5680</v>
      </c>
      <c r="D304" s="3075">
        <v>5620</v>
      </c>
      <c r="E304" s="3075">
        <v>6620</v>
      </c>
      <c r="F304" s="3081">
        <v>1050</v>
      </c>
      <c r="G304" s="3083">
        <v>3390</v>
      </c>
      <c r="I304" s="903"/>
      <c r="J304" s="3111"/>
      <c r="K304" s="3111"/>
      <c r="L304" s="3111"/>
      <c r="M304" s="3111"/>
      <c r="N304" s="3111"/>
      <c r="O304" s="3111"/>
      <c r="P304" s="3111"/>
      <c r="Q304" s="3111"/>
      <c r="R304" s="3111"/>
      <c r="S304" s="3111"/>
      <c r="T304" s="3111"/>
      <c r="U304" s="3111"/>
    </row>
    <row r="305" spans="1:21" s="890" customFormat="1" ht="14.25" customHeight="1">
      <c r="A305" s="3075" t="s">
        <v>1156</v>
      </c>
      <c r="B305" s="3075" t="s">
        <v>2872</v>
      </c>
      <c r="C305" s="3075">
        <v>5590</v>
      </c>
      <c r="D305" s="3075">
        <v>5530</v>
      </c>
      <c r="E305" s="3075">
        <v>6460</v>
      </c>
      <c r="F305" s="3081">
        <v>900</v>
      </c>
      <c r="G305" s="3081">
        <v>3340</v>
      </c>
      <c r="I305" s="903"/>
      <c r="J305" s="3111"/>
      <c r="K305" s="3111"/>
      <c r="L305" s="3111"/>
      <c r="M305" s="3111"/>
      <c r="N305" s="3111"/>
      <c r="O305" s="3111"/>
      <c r="P305" s="3111"/>
      <c r="Q305" s="3111"/>
      <c r="R305" s="3111"/>
      <c r="S305" s="3111"/>
      <c r="T305" s="3111"/>
      <c r="U305" s="3111"/>
    </row>
    <row r="306" spans="1:21" s="890" customFormat="1" ht="14.25" customHeight="1">
      <c r="A306" s="3075" t="s">
        <v>1156</v>
      </c>
      <c r="B306" s="3075" t="s">
        <v>2873</v>
      </c>
      <c r="C306" s="3075">
        <v>5560</v>
      </c>
      <c r="D306" s="3075">
        <v>5510</v>
      </c>
      <c r="E306" s="3075">
        <v>6440</v>
      </c>
      <c r="F306" s="3081">
        <v>900</v>
      </c>
      <c r="G306" s="3083">
        <v>3320</v>
      </c>
      <c r="I306" s="903"/>
      <c r="J306" s="3111"/>
      <c r="K306" s="3111"/>
      <c r="L306" s="3111"/>
      <c r="M306" s="3111"/>
      <c r="N306" s="3111"/>
      <c r="O306" s="3111"/>
      <c r="P306" s="3111"/>
      <c r="Q306" s="3111"/>
      <c r="R306" s="3111"/>
      <c r="S306" s="3111"/>
      <c r="T306" s="3111"/>
      <c r="U306" s="3111"/>
    </row>
    <row r="307" spans="1:21" s="890" customFormat="1" ht="14.25" customHeight="1">
      <c r="A307" s="3075" t="s">
        <v>1156</v>
      </c>
      <c r="B307" s="3075" t="s">
        <v>2874</v>
      </c>
      <c r="C307" s="3075">
        <v>5650</v>
      </c>
      <c r="D307" s="3075">
        <v>5600</v>
      </c>
      <c r="E307" s="3075">
        <v>6590</v>
      </c>
      <c r="F307" s="3081">
        <v>930</v>
      </c>
      <c r="G307" s="3081">
        <v>3380</v>
      </c>
      <c r="I307" s="903"/>
      <c r="J307" s="3111"/>
      <c r="K307" s="3111"/>
      <c r="L307" s="3111"/>
      <c r="M307" s="3111"/>
      <c r="N307" s="3111"/>
      <c r="O307" s="3111"/>
      <c r="P307" s="3111"/>
      <c r="Q307" s="3111"/>
      <c r="R307" s="3111"/>
      <c r="S307" s="3111"/>
      <c r="T307" s="3111"/>
      <c r="U307" s="3111"/>
    </row>
    <row r="308" spans="1:21" s="890" customFormat="1" ht="14.25" customHeight="1">
      <c r="A308" s="3075" t="s">
        <v>1156</v>
      </c>
      <c r="B308" s="3075" t="s">
        <v>2875</v>
      </c>
      <c r="C308" s="3075">
        <v>5620</v>
      </c>
      <c r="D308" s="3075">
        <v>5580</v>
      </c>
      <c r="E308" s="3075">
        <v>6540</v>
      </c>
      <c r="F308" s="3081">
        <v>910</v>
      </c>
      <c r="G308" s="3081">
        <v>3370</v>
      </c>
      <c r="I308" s="903"/>
      <c r="J308" s="3111"/>
      <c r="K308" s="3111"/>
      <c r="L308" s="3111"/>
      <c r="M308" s="3111"/>
      <c r="N308" s="3111"/>
      <c r="O308" s="3111"/>
      <c r="P308" s="3111"/>
      <c r="Q308" s="3111"/>
      <c r="R308" s="3111"/>
      <c r="S308" s="3111"/>
      <c r="T308" s="3111"/>
      <c r="U308" s="3111"/>
    </row>
    <row r="309" spans="1:21" s="890" customFormat="1" ht="14.25" customHeight="1">
      <c r="A309" s="3075" t="s">
        <v>1156</v>
      </c>
      <c r="B309" s="3075" t="s">
        <v>2876</v>
      </c>
      <c r="C309" s="3075">
        <v>5060</v>
      </c>
      <c r="D309" s="3075">
        <v>5020</v>
      </c>
      <c r="E309" s="3075">
        <v>6370</v>
      </c>
      <c r="F309" s="3081">
        <v>800</v>
      </c>
      <c r="G309" s="3083">
        <v>3020</v>
      </c>
      <c r="I309" s="903"/>
      <c r="J309" s="3111"/>
      <c r="K309" s="3111"/>
      <c r="L309" s="3111"/>
      <c r="M309" s="3111"/>
      <c r="N309" s="3111"/>
      <c r="O309" s="3111"/>
      <c r="P309" s="3111"/>
      <c r="Q309" s="3111"/>
      <c r="R309" s="3111"/>
      <c r="S309" s="3111"/>
      <c r="T309" s="3111"/>
      <c r="U309" s="3111"/>
    </row>
    <row r="310" spans="1:21" s="890" customFormat="1" ht="14.25" customHeight="1">
      <c r="A310" s="3075" t="s">
        <v>1156</v>
      </c>
      <c r="B310" s="3075" t="s">
        <v>2877</v>
      </c>
      <c r="C310" s="3075">
        <v>5150</v>
      </c>
      <c r="D310" s="3075">
        <v>5110</v>
      </c>
      <c r="E310" s="3075">
        <v>6500</v>
      </c>
      <c r="F310" s="3081">
        <v>880</v>
      </c>
      <c r="G310" s="3081">
        <v>3080</v>
      </c>
      <c r="I310" s="903"/>
      <c r="J310" s="3111"/>
      <c r="K310" s="3111"/>
      <c r="L310" s="3111"/>
      <c r="M310" s="3111"/>
      <c r="N310" s="3111"/>
      <c r="O310" s="3111"/>
      <c r="P310" s="3111"/>
      <c r="Q310" s="3111"/>
      <c r="R310" s="3111"/>
      <c r="S310" s="3111"/>
      <c r="T310" s="3111"/>
      <c r="U310" s="3111"/>
    </row>
    <row r="311" spans="1:21" s="890" customFormat="1" ht="14.25" customHeight="1">
      <c r="A311" s="3075" t="s">
        <v>1156</v>
      </c>
      <c r="B311" s="3075" t="s">
        <v>2878</v>
      </c>
      <c r="C311" s="3075">
        <v>4750</v>
      </c>
      <c r="D311" s="3075">
        <v>4710</v>
      </c>
      <c r="E311" s="3075">
        <v>5510</v>
      </c>
      <c r="F311" s="3081">
        <v>880</v>
      </c>
      <c r="G311" s="3081">
        <v>2840</v>
      </c>
      <c r="I311" s="903"/>
      <c r="J311" s="3111"/>
      <c r="K311" s="3111"/>
      <c r="L311" s="3111"/>
      <c r="M311" s="3111"/>
      <c r="N311" s="3111"/>
      <c r="O311" s="3111"/>
      <c r="P311" s="3111"/>
      <c r="Q311" s="3111"/>
      <c r="R311" s="3111"/>
      <c r="S311" s="3111"/>
      <c r="T311" s="3111"/>
      <c r="U311" s="3111"/>
    </row>
    <row r="312" spans="1:21" s="890" customFormat="1" ht="14.25" customHeight="1">
      <c r="A312" s="3075" t="s">
        <v>1156</v>
      </c>
      <c r="B312" s="3075" t="s">
        <v>2879</v>
      </c>
      <c r="C312" s="3075">
        <v>4690</v>
      </c>
      <c r="D312" s="3075">
        <v>4640</v>
      </c>
      <c r="E312" s="3075">
        <v>5420</v>
      </c>
      <c r="F312" s="3081">
        <v>800</v>
      </c>
      <c r="G312" s="3081">
        <v>2800</v>
      </c>
      <c r="I312" s="903"/>
      <c r="J312" s="3111"/>
      <c r="K312" s="3111"/>
      <c r="L312" s="3111"/>
      <c r="M312" s="3111"/>
      <c r="N312" s="3111"/>
      <c r="O312" s="3111"/>
      <c r="P312" s="3111"/>
      <c r="Q312" s="3111"/>
      <c r="R312" s="3111"/>
      <c r="S312" s="3111"/>
      <c r="T312" s="3111"/>
      <c r="U312" s="3111"/>
    </row>
    <row r="313" spans="1:21" s="890" customFormat="1" ht="14.25" customHeight="1">
      <c r="A313" s="3075" t="s">
        <v>1156</v>
      </c>
      <c r="B313" s="3075" t="s">
        <v>2880</v>
      </c>
      <c r="C313" s="3075">
        <v>4810</v>
      </c>
      <c r="D313" s="3075">
        <v>4760</v>
      </c>
      <c r="E313" s="3075">
        <v>5550</v>
      </c>
      <c r="F313" s="3081">
        <v>920</v>
      </c>
      <c r="G313" s="3081">
        <v>2870</v>
      </c>
      <c r="I313" s="903"/>
      <c r="J313" s="3111"/>
      <c r="K313" s="3111"/>
      <c r="L313" s="3111"/>
      <c r="M313" s="3111"/>
      <c r="N313" s="3111"/>
      <c r="O313" s="3111"/>
      <c r="P313" s="3111"/>
      <c r="Q313" s="3111"/>
      <c r="R313" s="3111"/>
      <c r="S313" s="3111"/>
      <c r="T313" s="3111"/>
      <c r="U313" s="3111"/>
    </row>
    <row r="314" spans="1:21" s="890" customFormat="1" ht="14.25" customHeight="1">
      <c r="A314" s="3075" t="s">
        <v>1156</v>
      </c>
      <c r="B314" s="3075" t="s">
        <v>2881</v>
      </c>
      <c r="C314" s="3075"/>
      <c r="D314" s="3075"/>
      <c r="E314" s="3075"/>
      <c r="F314" s="3081">
        <v>1020</v>
      </c>
      <c r="G314" s="3081"/>
      <c r="I314" s="903"/>
      <c r="J314" s="3111"/>
      <c r="K314" s="3111"/>
      <c r="L314" s="3111"/>
      <c r="M314" s="3111"/>
      <c r="N314" s="3111"/>
      <c r="O314" s="3111"/>
      <c r="P314" s="3111"/>
      <c r="Q314" s="3111"/>
      <c r="R314" s="3111"/>
      <c r="S314" s="3111"/>
      <c r="T314" s="3111"/>
      <c r="U314" s="3111"/>
    </row>
    <row r="315" spans="1:21" s="890" customFormat="1" ht="14.25" customHeight="1">
      <c r="A315" s="3075" t="s">
        <v>1156</v>
      </c>
      <c r="B315" s="3075" t="s">
        <v>2882</v>
      </c>
      <c r="C315" s="3075"/>
      <c r="D315" s="3075"/>
      <c r="E315" s="3075"/>
      <c r="F315" s="3081">
        <v>1050</v>
      </c>
      <c r="G315" s="3081"/>
      <c r="I315" s="903"/>
      <c r="J315" s="3111"/>
      <c r="K315" s="3111"/>
      <c r="L315" s="3111"/>
      <c r="M315" s="3111"/>
      <c r="N315" s="3111"/>
      <c r="O315" s="3111"/>
      <c r="P315" s="3111"/>
      <c r="Q315" s="3111"/>
      <c r="R315" s="3111"/>
      <c r="S315" s="3111"/>
      <c r="T315" s="3111"/>
      <c r="U315" s="3111"/>
    </row>
    <row r="316" spans="1:21" s="890" customFormat="1" ht="14.25" customHeight="1">
      <c r="A316" s="3075" t="s">
        <v>1156</v>
      </c>
      <c r="B316" s="3075" t="s">
        <v>2883</v>
      </c>
      <c r="C316" s="3075"/>
      <c r="D316" s="3075"/>
      <c r="E316" s="3075"/>
      <c r="F316" s="3081">
        <v>900</v>
      </c>
      <c r="G316" s="3088"/>
      <c r="I316" s="903"/>
      <c r="J316" s="3111"/>
      <c r="K316" s="3111"/>
      <c r="L316" s="3111"/>
      <c r="M316" s="3111"/>
      <c r="N316" s="3111"/>
      <c r="O316" s="3111"/>
      <c r="P316" s="3111"/>
      <c r="Q316" s="3111"/>
      <c r="R316" s="3111"/>
      <c r="S316" s="3111"/>
      <c r="T316" s="3111"/>
      <c r="U316" s="3111"/>
    </row>
    <row r="317" spans="1:21" s="890" customFormat="1" ht="14.25" customHeight="1">
      <c r="A317" s="1137" t="s">
        <v>1156</v>
      </c>
      <c r="B317" s="1137" t="s">
        <v>2884</v>
      </c>
      <c r="C317" s="1137"/>
      <c r="D317" s="1137"/>
      <c r="E317" s="1137"/>
      <c r="F317" s="3076">
        <v>920</v>
      </c>
      <c r="G317" s="3076"/>
      <c r="I317" s="887"/>
      <c r="J317" s="3111"/>
      <c r="K317" s="3111"/>
      <c r="L317" s="3111"/>
      <c r="M317" s="3111"/>
      <c r="N317" s="3111"/>
      <c r="O317" s="3111"/>
      <c r="P317" s="3111"/>
      <c r="Q317" s="3111"/>
      <c r="R317" s="3111"/>
      <c r="S317" s="3111"/>
      <c r="T317" s="3111"/>
      <c r="U317" s="3111"/>
    </row>
    <row r="318" spans="1:21" s="890" customFormat="1" ht="14.25" customHeight="1">
      <c r="A318" s="3075" t="s">
        <v>1156</v>
      </c>
      <c r="B318" s="3075" t="s">
        <v>2885</v>
      </c>
      <c r="C318" s="3075"/>
      <c r="D318" s="3075"/>
      <c r="E318" s="3075"/>
      <c r="F318" s="3081">
        <v>1080</v>
      </c>
      <c r="G318" s="3083"/>
      <c r="I318" s="887"/>
      <c r="J318" s="3111"/>
      <c r="K318" s="3111"/>
      <c r="L318" s="3111"/>
      <c r="M318" s="3111"/>
      <c r="N318" s="3111"/>
      <c r="O318" s="3111"/>
      <c r="P318" s="3111"/>
      <c r="Q318" s="3111"/>
      <c r="R318" s="3111"/>
      <c r="S318" s="3111"/>
      <c r="T318" s="3111"/>
      <c r="U318" s="3111"/>
    </row>
    <row r="319" spans="1:21" s="890" customFormat="1" ht="14.25" customHeight="1">
      <c r="A319" s="3075" t="s">
        <v>1156</v>
      </c>
      <c r="B319" s="3075" t="s">
        <v>2886</v>
      </c>
      <c r="C319" s="3075"/>
      <c r="D319" s="3075"/>
      <c r="E319" s="3075"/>
      <c r="F319" s="3081">
        <v>1020</v>
      </c>
      <c r="G319" s="3081"/>
      <c r="I319" s="887"/>
      <c r="J319" s="3111"/>
      <c r="K319" s="3111"/>
      <c r="L319" s="3111"/>
      <c r="M319" s="3111"/>
      <c r="N319" s="3111"/>
      <c r="O319" s="3111"/>
      <c r="P319" s="3111"/>
      <c r="Q319" s="3111"/>
      <c r="R319" s="3111"/>
      <c r="S319" s="3111"/>
      <c r="T319" s="3111"/>
      <c r="U319" s="3111"/>
    </row>
    <row r="320" spans="1:21" s="890" customFormat="1" ht="14.25" customHeight="1">
      <c r="A320" s="3075" t="s">
        <v>1156</v>
      </c>
      <c r="B320" s="3075" t="s">
        <v>2887</v>
      </c>
      <c r="C320" s="3075"/>
      <c r="D320" s="3075"/>
      <c r="E320" s="3075"/>
      <c r="F320" s="3081">
        <v>1050</v>
      </c>
      <c r="G320" s="3083"/>
      <c r="I320" s="887"/>
      <c r="J320" s="3111"/>
      <c r="K320" s="3111"/>
      <c r="L320" s="3111"/>
      <c r="M320" s="3111"/>
      <c r="N320" s="3111"/>
      <c r="O320" s="3111"/>
      <c r="P320" s="3111"/>
      <c r="Q320" s="3111"/>
      <c r="R320" s="3111"/>
      <c r="S320" s="3111"/>
      <c r="T320" s="3111"/>
      <c r="U320" s="3111"/>
    </row>
    <row r="321" spans="1:21" s="890" customFormat="1" ht="14.25" customHeight="1">
      <c r="A321" s="3075" t="s">
        <v>1156</v>
      </c>
      <c r="B321" s="3075" t="s">
        <v>2888</v>
      </c>
      <c r="C321" s="3075"/>
      <c r="D321" s="3075"/>
      <c r="E321" s="3075"/>
      <c r="F321" s="3081">
        <v>960</v>
      </c>
      <c r="G321" s="3083"/>
      <c r="I321" s="887"/>
      <c r="J321" s="3111"/>
      <c r="K321" s="3111"/>
      <c r="L321" s="3111"/>
      <c r="M321" s="3111"/>
      <c r="N321" s="3111"/>
      <c r="O321" s="3111"/>
      <c r="P321" s="3111"/>
      <c r="Q321" s="3111"/>
      <c r="R321" s="3111"/>
      <c r="S321" s="3111"/>
      <c r="T321" s="3111"/>
      <c r="U321" s="3111"/>
    </row>
    <row r="322" spans="1:21" s="890" customFormat="1" ht="14.25" customHeight="1">
      <c r="A322" s="3075" t="s">
        <v>1156</v>
      </c>
      <c r="B322" s="3075" t="s">
        <v>2889</v>
      </c>
      <c r="C322" s="3075"/>
      <c r="D322" s="3075"/>
      <c r="E322" s="3075"/>
      <c r="F322" s="3081">
        <v>960</v>
      </c>
      <c r="G322" s="3081"/>
      <c r="I322" s="887"/>
      <c r="J322" s="3111"/>
      <c r="K322" s="3111"/>
      <c r="L322" s="3111"/>
      <c r="M322" s="3111"/>
      <c r="N322" s="3111"/>
      <c r="O322" s="3111"/>
      <c r="P322" s="3111"/>
      <c r="Q322" s="3111"/>
      <c r="R322" s="3111"/>
      <c r="S322" s="3111"/>
      <c r="T322" s="3111"/>
      <c r="U322" s="3111"/>
    </row>
    <row r="323" spans="1:21" s="890" customFormat="1" ht="14.25" customHeight="1">
      <c r="A323" s="3075" t="s">
        <v>1156</v>
      </c>
      <c r="B323" s="3075" t="s">
        <v>2890</v>
      </c>
      <c r="C323" s="3075"/>
      <c r="D323" s="3075"/>
      <c r="E323" s="3075"/>
      <c r="F323" s="3081">
        <v>880</v>
      </c>
      <c r="G323" s="3083"/>
      <c r="I323" s="887"/>
      <c r="J323" s="3111"/>
      <c r="K323" s="3111"/>
      <c r="L323" s="3111"/>
      <c r="M323" s="3111"/>
      <c r="N323" s="3111"/>
      <c r="O323" s="3111"/>
      <c r="P323" s="3111"/>
      <c r="Q323" s="3111"/>
      <c r="R323" s="3111"/>
      <c r="S323" s="3111"/>
      <c r="T323" s="3111"/>
      <c r="U323" s="3111"/>
    </row>
    <row r="324" spans="1:21" s="890" customFormat="1" ht="14.25" customHeight="1">
      <c r="A324" s="3075" t="s">
        <v>1156</v>
      </c>
      <c r="B324" s="3075" t="s">
        <v>2891</v>
      </c>
      <c r="C324" s="3075"/>
      <c r="D324" s="3075"/>
      <c r="E324" s="3075"/>
      <c r="F324" s="3081">
        <v>930</v>
      </c>
      <c r="G324" s="3083"/>
      <c r="I324" s="887"/>
      <c r="J324" s="3111"/>
      <c r="K324" s="3111"/>
      <c r="L324" s="3111"/>
      <c r="M324" s="3111"/>
      <c r="N324" s="3111"/>
      <c r="O324" s="3111"/>
      <c r="P324" s="3111"/>
      <c r="Q324" s="3111"/>
      <c r="R324" s="3111"/>
      <c r="S324" s="3111"/>
      <c r="T324" s="3111"/>
      <c r="U324" s="3111"/>
    </row>
    <row r="325" spans="1:21" s="890" customFormat="1" ht="14.25" customHeight="1">
      <c r="A325" s="3075" t="s">
        <v>1156</v>
      </c>
      <c r="B325" s="3075" t="s">
        <v>2892</v>
      </c>
      <c r="C325" s="3075"/>
      <c r="D325" s="3075"/>
      <c r="E325" s="3075"/>
      <c r="F325" s="3081">
        <v>900</v>
      </c>
      <c r="G325" s="3081"/>
      <c r="I325" s="887"/>
      <c r="J325" s="3111"/>
      <c r="K325" s="3111"/>
      <c r="L325" s="3111"/>
      <c r="M325" s="3111"/>
      <c r="N325" s="3111"/>
      <c r="O325" s="3111"/>
      <c r="P325" s="3111"/>
      <c r="Q325" s="3111"/>
      <c r="R325" s="3111"/>
      <c r="S325" s="3111"/>
      <c r="T325" s="3111"/>
      <c r="U325" s="3111"/>
    </row>
    <row r="326" spans="1:21" s="890" customFormat="1" ht="14.25" customHeight="1" thickBot="1">
      <c r="A326" s="3090" t="s">
        <v>1156</v>
      </c>
      <c r="B326" s="3078" t="s">
        <v>2893</v>
      </c>
      <c r="C326" s="3078"/>
      <c r="D326" s="3078"/>
      <c r="E326" s="3078"/>
      <c r="F326" s="3079">
        <v>790</v>
      </c>
      <c r="G326" s="3094"/>
      <c r="I326" s="887"/>
      <c r="J326" s="3111"/>
      <c r="K326" s="3111"/>
      <c r="L326" s="3111"/>
      <c r="M326" s="3111"/>
      <c r="N326" s="3111"/>
      <c r="O326" s="3111"/>
      <c r="P326" s="3111"/>
      <c r="Q326" s="3111"/>
      <c r="R326" s="3111"/>
      <c r="S326" s="3111"/>
      <c r="T326" s="3111"/>
      <c r="U326" s="3111"/>
    </row>
    <row r="327" spans="1:21" s="890" customFormat="1" ht="14.25" customHeight="1">
      <c r="A327" s="3089" t="s">
        <v>1157</v>
      </c>
      <c r="B327" s="2294" t="s">
        <v>2894</v>
      </c>
      <c r="C327" s="2294">
        <v>3750</v>
      </c>
      <c r="D327" s="2294">
        <v>3710</v>
      </c>
      <c r="E327" s="2294">
        <v>4080</v>
      </c>
      <c r="F327" s="3098">
        <v>860</v>
      </c>
      <c r="G327" s="3098">
        <v>2210</v>
      </c>
      <c r="I327" s="887"/>
      <c r="J327" s="3111"/>
      <c r="K327" s="3111"/>
      <c r="L327" s="3111"/>
      <c r="M327" s="3111"/>
      <c r="N327" s="3111"/>
      <c r="O327" s="3111"/>
      <c r="P327" s="3111"/>
      <c r="Q327" s="3111"/>
      <c r="R327" s="3111"/>
      <c r="S327" s="3111"/>
      <c r="T327" s="3111"/>
      <c r="U327" s="3111"/>
    </row>
    <row r="328" spans="1:21" s="890" customFormat="1" ht="14.25" customHeight="1">
      <c r="A328" s="3075" t="s">
        <v>1157</v>
      </c>
      <c r="B328" s="3075" t="s">
        <v>981</v>
      </c>
      <c r="C328" s="3075">
        <v>3330</v>
      </c>
      <c r="D328" s="3075">
        <v>3290</v>
      </c>
      <c r="E328" s="3075">
        <v>3610</v>
      </c>
      <c r="F328" s="3075">
        <v>850</v>
      </c>
      <c r="G328" s="3075">
        <v>1960</v>
      </c>
      <c r="H328" s="3097"/>
      <c r="I328" s="887"/>
      <c r="J328" s="3111"/>
      <c r="K328" s="3111"/>
      <c r="L328" s="3111"/>
      <c r="M328" s="3111"/>
      <c r="N328" s="3111"/>
      <c r="O328" s="3111"/>
      <c r="P328" s="3111"/>
      <c r="Q328" s="3111"/>
      <c r="R328" s="3111"/>
      <c r="S328" s="3111"/>
      <c r="T328" s="3111"/>
      <c r="U328" s="3111"/>
    </row>
    <row r="329" spans="1:21" s="890" customFormat="1" ht="14.25" customHeight="1">
      <c r="A329" s="3075" t="s">
        <v>1157</v>
      </c>
      <c r="B329" s="3075" t="s">
        <v>2895</v>
      </c>
      <c r="C329" s="3075">
        <v>2730</v>
      </c>
      <c r="D329" s="3075">
        <v>2690</v>
      </c>
      <c r="E329" s="3075">
        <v>3100</v>
      </c>
      <c r="F329" s="3075">
        <v>660</v>
      </c>
      <c r="G329" s="3075">
        <v>1610</v>
      </c>
      <c r="H329" s="3097"/>
      <c r="I329" s="887"/>
      <c r="J329" s="3111"/>
      <c r="K329" s="3111"/>
      <c r="L329" s="3111"/>
      <c r="M329" s="3111"/>
      <c r="N329" s="3111"/>
      <c r="O329" s="3111"/>
      <c r="P329" s="3111"/>
      <c r="Q329" s="3111"/>
      <c r="R329" s="3111"/>
      <c r="S329" s="3111"/>
      <c r="T329" s="3111"/>
      <c r="U329" s="3111"/>
    </row>
    <row r="330" spans="1:21" s="890" customFormat="1" ht="14.25" customHeight="1">
      <c r="A330" s="3075" t="s">
        <v>1157</v>
      </c>
      <c r="B330" s="3075" t="s">
        <v>2896</v>
      </c>
      <c r="C330" s="3075">
        <v>3270</v>
      </c>
      <c r="D330" s="3075">
        <v>3240</v>
      </c>
      <c r="E330" s="3075">
        <v>3560</v>
      </c>
      <c r="F330" s="3075">
        <v>680</v>
      </c>
      <c r="G330" s="3084">
        <v>1940</v>
      </c>
      <c r="H330" s="3097"/>
      <c r="I330" s="887"/>
      <c r="J330" s="3111"/>
      <c r="K330" s="3111"/>
      <c r="L330" s="3111"/>
      <c r="M330" s="3111"/>
      <c r="N330" s="3111"/>
      <c r="O330" s="3111"/>
      <c r="P330" s="3111"/>
      <c r="Q330" s="3111"/>
      <c r="R330" s="3111"/>
      <c r="S330" s="3111"/>
      <c r="T330" s="3111"/>
      <c r="U330" s="3111"/>
    </row>
    <row r="331" spans="1:21" s="890" customFormat="1" ht="14.25" customHeight="1">
      <c r="A331" s="3075" t="s">
        <v>1157</v>
      </c>
      <c r="B331" s="3075" t="s">
        <v>1008</v>
      </c>
      <c r="C331" s="3075">
        <v>3770</v>
      </c>
      <c r="D331" s="3075">
        <v>3740</v>
      </c>
      <c r="E331" s="3075">
        <v>4110</v>
      </c>
      <c r="F331" s="3075">
        <v>730</v>
      </c>
      <c r="G331" s="3075">
        <v>2230</v>
      </c>
      <c r="H331" s="3097"/>
      <c r="I331" s="887"/>
      <c r="J331" s="3111"/>
      <c r="K331" s="3111"/>
      <c r="L331" s="3111"/>
      <c r="M331" s="3111"/>
      <c r="N331" s="3111"/>
      <c r="O331" s="3111"/>
      <c r="P331" s="3111"/>
      <c r="Q331" s="3111"/>
      <c r="R331" s="3111"/>
      <c r="S331" s="3111"/>
      <c r="T331" s="3111"/>
      <c r="U331" s="3111"/>
    </row>
    <row r="332" spans="1:21" s="890" customFormat="1" ht="14.25" customHeight="1">
      <c r="A332" s="3075" t="s">
        <v>1157</v>
      </c>
      <c r="B332" s="3075" t="s">
        <v>2897</v>
      </c>
      <c r="C332" s="3075">
        <v>3520</v>
      </c>
      <c r="D332" s="3075">
        <v>3480</v>
      </c>
      <c r="E332" s="3075">
        <v>3830</v>
      </c>
      <c r="F332" s="3075">
        <v>720</v>
      </c>
      <c r="G332" s="3075">
        <v>2090</v>
      </c>
      <c r="H332" s="3097"/>
      <c r="I332" s="887"/>
      <c r="J332" s="3111"/>
      <c r="K332" s="3111"/>
      <c r="L332" s="3111"/>
      <c r="M332" s="3111"/>
      <c r="N332" s="3111"/>
      <c r="O332" s="3111"/>
      <c r="P332" s="3111"/>
      <c r="Q332" s="3111"/>
      <c r="R332" s="3111"/>
      <c r="S332" s="3111"/>
      <c r="T332" s="3111"/>
      <c r="U332" s="3111"/>
    </row>
    <row r="333" spans="1:21" s="890" customFormat="1" ht="14.25" customHeight="1">
      <c r="A333" s="3075" t="s">
        <v>1157</v>
      </c>
      <c r="B333" s="3075" t="s">
        <v>2898</v>
      </c>
      <c r="C333" s="3075">
        <v>3840</v>
      </c>
      <c r="D333" s="3075">
        <v>3800</v>
      </c>
      <c r="E333" s="3075">
        <v>4200</v>
      </c>
      <c r="F333" s="3075">
        <v>760</v>
      </c>
      <c r="G333" s="3075">
        <v>2270</v>
      </c>
      <c r="H333" s="3097"/>
      <c r="I333" s="887"/>
      <c r="J333" s="3111"/>
      <c r="K333" s="3111"/>
      <c r="L333" s="3111"/>
      <c r="M333" s="3111"/>
      <c r="N333" s="3111"/>
      <c r="O333" s="3111"/>
      <c r="P333" s="3111"/>
      <c r="Q333" s="3111"/>
      <c r="R333" s="3111"/>
      <c r="S333" s="3111"/>
      <c r="T333" s="3111"/>
      <c r="U333" s="3111"/>
    </row>
    <row r="334" spans="1:21" s="890" customFormat="1" ht="14.25" customHeight="1">
      <c r="A334" s="3075" t="s">
        <v>1157</v>
      </c>
      <c r="B334" s="3075" t="s">
        <v>1030</v>
      </c>
      <c r="C334" s="3075">
        <v>3960</v>
      </c>
      <c r="D334" s="3075">
        <v>3910</v>
      </c>
      <c r="E334" s="3075">
        <v>4340</v>
      </c>
      <c r="F334" s="3075">
        <v>780</v>
      </c>
      <c r="G334" s="3075">
        <v>2340</v>
      </c>
      <c r="H334" s="3097"/>
      <c r="I334" s="887"/>
      <c r="J334" s="3111"/>
      <c r="K334" s="3111"/>
      <c r="L334" s="3111"/>
      <c r="M334" s="3111"/>
      <c r="N334" s="3111"/>
      <c r="O334" s="3111"/>
      <c r="P334" s="3111"/>
      <c r="Q334" s="3111"/>
      <c r="R334" s="3111"/>
      <c r="S334" s="3111"/>
      <c r="T334" s="3111"/>
      <c r="U334" s="3111"/>
    </row>
    <row r="335" spans="1:21" s="890" customFormat="1" ht="14.25" customHeight="1">
      <c r="A335" s="3075" t="s">
        <v>1157</v>
      </c>
      <c r="B335" s="3075" t="s">
        <v>1040</v>
      </c>
      <c r="C335" s="3075">
        <v>3710</v>
      </c>
      <c r="D335" s="3075">
        <v>3670</v>
      </c>
      <c r="E335" s="3075">
        <v>4030</v>
      </c>
      <c r="F335" s="3075">
        <v>750</v>
      </c>
      <c r="G335" s="3084">
        <v>2200</v>
      </c>
      <c r="H335" s="3097"/>
      <c r="I335" s="887"/>
      <c r="J335" s="3111"/>
      <c r="K335" s="3111"/>
      <c r="L335" s="3111"/>
      <c r="M335" s="3111"/>
      <c r="N335" s="3111"/>
      <c r="O335" s="3111"/>
      <c r="P335" s="3111"/>
      <c r="Q335" s="3111"/>
      <c r="R335" s="3111"/>
      <c r="S335" s="3111"/>
      <c r="T335" s="3111"/>
      <c r="U335" s="3111"/>
    </row>
    <row r="336" spans="1:21" s="890" customFormat="1" ht="14.25" customHeight="1">
      <c r="A336" s="3075" t="s">
        <v>1157</v>
      </c>
      <c r="B336" s="3075" t="s">
        <v>2899</v>
      </c>
      <c r="C336" s="3075">
        <v>3570</v>
      </c>
      <c r="D336" s="3075">
        <v>3530</v>
      </c>
      <c r="E336" s="3075">
        <v>3880</v>
      </c>
      <c r="F336" s="3075">
        <v>770</v>
      </c>
      <c r="G336" s="3075">
        <v>2110</v>
      </c>
      <c r="H336" s="3097"/>
      <c r="I336" s="887"/>
      <c r="J336" s="3111"/>
      <c r="K336" s="3111"/>
      <c r="L336" s="3111"/>
      <c r="M336" s="3111"/>
      <c r="N336" s="3111"/>
      <c r="O336" s="3111"/>
      <c r="P336" s="3111"/>
      <c r="Q336" s="3111"/>
      <c r="R336" s="3111"/>
      <c r="S336" s="3111"/>
      <c r="T336" s="3111"/>
      <c r="U336" s="3111"/>
    </row>
    <row r="337" spans="1:21" s="890" customFormat="1" ht="14.25" customHeight="1">
      <c r="A337" s="3075" t="s">
        <v>1157</v>
      </c>
      <c r="B337" s="3075" t="s">
        <v>2900</v>
      </c>
      <c r="C337" s="3075">
        <v>3780</v>
      </c>
      <c r="D337" s="3075">
        <v>3750</v>
      </c>
      <c r="E337" s="3075">
        <v>4130</v>
      </c>
      <c r="F337" s="3075">
        <v>750</v>
      </c>
      <c r="G337" s="3075">
        <v>2240</v>
      </c>
      <c r="H337" s="3097"/>
      <c r="I337" s="887"/>
      <c r="J337" s="3111"/>
      <c r="K337" s="3111"/>
      <c r="L337" s="3111"/>
      <c r="M337" s="3111"/>
      <c r="N337" s="3111"/>
      <c r="O337" s="3111"/>
      <c r="P337" s="3111"/>
      <c r="Q337" s="3111"/>
      <c r="R337" s="3111"/>
      <c r="S337" s="3111"/>
      <c r="T337" s="3111"/>
      <c r="U337" s="3111"/>
    </row>
    <row r="338" spans="1:21" s="890" customFormat="1" ht="14.25" customHeight="1">
      <c r="A338" s="3075" t="s">
        <v>1157</v>
      </c>
      <c r="B338" s="3075" t="s">
        <v>1068</v>
      </c>
      <c r="C338" s="3075">
        <v>3600</v>
      </c>
      <c r="D338" s="3075">
        <v>3570</v>
      </c>
      <c r="E338" s="3075">
        <v>3920</v>
      </c>
      <c r="F338" s="3075">
        <v>790</v>
      </c>
      <c r="G338" s="3084">
        <v>2140</v>
      </c>
      <c r="H338" s="3097"/>
      <c r="I338" s="887"/>
      <c r="J338" s="3111"/>
      <c r="K338" s="3111"/>
      <c r="L338" s="3111"/>
      <c r="M338" s="3111"/>
      <c r="N338" s="3111"/>
      <c r="O338" s="3111"/>
      <c r="P338" s="3111"/>
      <c r="Q338" s="3111"/>
      <c r="R338" s="3111"/>
      <c r="S338" s="3111"/>
      <c r="T338" s="3111"/>
      <c r="U338" s="3111"/>
    </row>
    <row r="339" spans="1:21" s="890" customFormat="1" ht="14.25" customHeight="1">
      <c r="A339" s="3075" t="s">
        <v>1157</v>
      </c>
      <c r="B339" s="3075" t="s">
        <v>1076</v>
      </c>
      <c r="C339" s="3075">
        <v>3540</v>
      </c>
      <c r="D339" s="3075">
        <v>3500</v>
      </c>
      <c r="E339" s="3075">
        <v>3850</v>
      </c>
      <c r="F339" s="3075">
        <v>780</v>
      </c>
      <c r="G339" s="3084">
        <v>2100</v>
      </c>
      <c r="H339" s="3097"/>
      <c r="I339" s="887"/>
      <c r="J339" s="3111"/>
      <c r="K339" s="3111"/>
      <c r="L339" s="3111"/>
      <c r="M339" s="3111"/>
      <c r="N339" s="3111"/>
      <c r="O339" s="3111"/>
      <c r="P339" s="3111"/>
      <c r="Q339" s="3111"/>
      <c r="R339" s="3111"/>
      <c r="S339" s="3111"/>
      <c r="T339" s="3111"/>
      <c r="U339" s="3111"/>
    </row>
    <row r="340" spans="1:21" s="890" customFormat="1" ht="14.25" customHeight="1">
      <c r="A340" s="3075" t="s">
        <v>1157</v>
      </c>
      <c r="B340" s="3075" t="s">
        <v>2901</v>
      </c>
      <c r="C340" s="3075">
        <v>3850</v>
      </c>
      <c r="D340" s="3075">
        <v>3810</v>
      </c>
      <c r="E340" s="3075">
        <v>4210</v>
      </c>
      <c r="F340" s="3075">
        <v>750</v>
      </c>
      <c r="G340" s="3084">
        <v>2280</v>
      </c>
      <c r="H340" s="3097"/>
      <c r="I340" s="887"/>
      <c r="J340" s="3111"/>
      <c r="K340" s="3111"/>
      <c r="L340" s="3111"/>
      <c r="M340" s="3111"/>
      <c r="N340" s="3111"/>
      <c r="O340" s="3111"/>
      <c r="P340" s="3111"/>
      <c r="Q340" s="3111"/>
      <c r="R340" s="3111"/>
      <c r="S340" s="3111"/>
      <c r="T340" s="3111"/>
      <c r="U340" s="3111"/>
    </row>
    <row r="341" spans="1:21" s="890" customFormat="1" ht="14.25" customHeight="1">
      <c r="A341" s="3075" t="s">
        <v>1157</v>
      </c>
      <c r="B341" s="3075" t="s">
        <v>1054</v>
      </c>
      <c r="C341" s="3075">
        <v>3780</v>
      </c>
      <c r="D341" s="3075">
        <v>3750</v>
      </c>
      <c r="E341" s="3075">
        <v>4140</v>
      </c>
      <c r="F341" s="3075">
        <v>720</v>
      </c>
      <c r="G341" s="3075">
        <v>2240</v>
      </c>
      <c r="H341" s="3097"/>
      <c r="I341" s="887"/>
      <c r="J341" s="3111"/>
      <c r="K341" s="3111"/>
      <c r="L341" s="3111"/>
      <c r="M341" s="3111"/>
      <c r="N341" s="3111"/>
      <c r="O341" s="3111"/>
      <c r="P341" s="3111"/>
      <c r="Q341" s="3111"/>
      <c r="R341" s="3111"/>
      <c r="S341" s="3111"/>
      <c r="T341" s="3111"/>
      <c r="U341" s="3111"/>
    </row>
    <row r="342" spans="1:21" s="890" customFormat="1" ht="14.25" customHeight="1">
      <c r="A342" s="3075" t="s">
        <v>1157</v>
      </c>
      <c r="B342" s="3075" t="s">
        <v>2902</v>
      </c>
      <c r="C342" s="3075">
        <v>3670</v>
      </c>
      <c r="D342" s="3075">
        <v>3620</v>
      </c>
      <c r="E342" s="3075">
        <v>3990</v>
      </c>
      <c r="F342" s="3075">
        <v>760</v>
      </c>
      <c r="G342" s="3075">
        <v>2170</v>
      </c>
      <c r="H342" s="3097"/>
      <c r="I342" s="887"/>
      <c r="J342" s="3111"/>
      <c r="K342" s="3111"/>
      <c r="L342" s="3111"/>
      <c r="M342" s="3111"/>
      <c r="N342" s="3111"/>
      <c r="O342" s="3111"/>
      <c r="P342" s="3111"/>
      <c r="Q342" s="3111"/>
      <c r="R342" s="3111"/>
      <c r="S342" s="3111"/>
      <c r="T342" s="3111"/>
      <c r="U342" s="3111"/>
    </row>
    <row r="343" spans="1:21" s="890" customFormat="1" ht="14.25" customHeight="1">
      <c r="A343" s="3075" t="s">
        <v>1157</v>
      </c>
      <c r="B343" s="3075" t="s">
        <v>1105</v>
      </c>
      <c r="C343" s="3075">
        <v>3760</v>
      </c>
      <c r="D343" s="3075">
        <v>3720</v>
      </c>
      <c r="E343" s="3075">
        <v>4090</v>
      </c>
      <c r="F343" s="3075">
        <v>780</v>
      </c>
      <c r="G343" s="3075">
        <v>2220</v>
      </c>
      <c r="H343" s="3097"/>
      <c r="I343" s="887"/>
      <c r="J343" s="3111"/>
      <c r="K343" s="3111"/>
      <c r="L343" s="3111"/>
      <c r="M343" s="3111"/>
      <c r="N343" s="3111"/>
      <c r="O343" s="3111"/>
      <c r="P343" s="3111"/>
      <c r="Q343" s="3111"/>
      <c r="R343" s="3111"/>
      <c r="S343" s="3111"/>
      <c r="T343" s="3111"/>
      <c r="U343" s="3111"/>
    </row>
    <row r="344" spans="1:21" s="890" customFormat="1" ht="14.25" customHeight="1">
      <c r="A344" s="3075" t="s">
        <v>1157</v>
      </c>
      <c r="B344" s="3075" t="s">
        <v>1113</v>
      </c>
      <c r="C344" s="3075">
        <v>3680</v>
      </c>
      <c r="D344" s="3075">
        <v>3640</v>
      </c>
      <c r="E344" s="3075">
        <v>4010</v>
      </c>
      <c r="F344" s="3075">
        <v>750</v>
      </c>
      <c r="G344" s="3075">
        <v>2180</v>
      </c>
      <c r="H344" s="3097"/>
      <c r="I344" s="887"/>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7"/>
  <sheetViews>
    <sheetView workbookViewId="0">
      <selection sqref="A1:XFD1048576"/>
    </sheetView>
  </sheetViews>
  <sheetFormatPr defaultRowHeight="13.5"/>
  <sheetData>
    <row r="1" spans="1:6">
      <c r="A1" s="4265" t="s">
        <v>3095</v>
      </c>
      <c r="B1" s="4265"/>
      <c r="C1" s="4265"/>
      <c r="D1" s="4265"/>
      <c r="E1" s="4265"/>
      <c r="F1" s="4266"/>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460"/>
  <sheetViews>
    <sheetView topLeftCell="A341" zoomScale="70" zoomScaleNormal="70" workbookViewId="0">
      <selection activeCell="A341" sqref="A1:XFD1048576"/>
    </sheetView>
  </sheetViews>
  <sheetFormatPr defaultColWidth="9" defaultRowHeight="13.5"/>
  <cols>
    <col min="1" max="1" width="9" style="869"/>
    <col min="2" max="16384" width="9" style="850"/>
  </cols>
  <sheetData>
    <row r="1" spans="1:14" ht="14.25">
      <c r="A1" s="2991" t="s">
        <v>2682</v>
      </c>
      <c r="B1" s="849"/>
      <c r="C1" s="849"/>
      <c r="D1" s="849"/>
      <c r="E1" s="849"/>
      <c r="F1" s="849"/>
      <c r="G1" s="849"/>
      <c r="H1" s="849"/>
      <c r="I1" s="849"/>
      <c r="J1" s="849"/>
      <c r="K1" s="849"/>
      <c r="L1" s="849"/>
      <c r="M1" s="849"/>
      <c r="N1" s="849"/>
    </row>
    <row r="2" spans="1:14">
      <c r="A2" s="851" t="s">
        <v>1469</v>
      </c>
      <c r="B2" s="852" t="s">
        <v>990</v>
      </c>
      <c r="C2" s="852" t="s">
        <v>1031</v>
      </c>
      <c r="D2" s="852" t="s">
        <v>1145</v>
      </c>
      <c r="E2" s="852" t="s">
        <v>853</v>
      </c>
      <c r="F2" s="852" t="s">
        <v>1152</v>
      </c>
      <c r="G2" s="852" t="s">
        <v>1153</v>
      </c>
      <c r="H2" s="853" t="s">
        <v>1154</v>
      </c>
      <c r="I2" s="853" t="s">
        <v>1155</v>
      </c>
      <c r="J2" s="854" t="s">
        <v>1156</v>
      </c>
      <c r="K2" s="854" t="s">
        <v>1157</v>
      </c>
      <c r="L2" s="854" t="s">
        <v>2669</v>
      </c>
      <c r="M2" s="854" t="s">
        <v>2670</v>
      </c>
    </row>
    <row r="3" spans="1:14">
      <c r="A3" s="851">
        <v>1</v>
      </c>
      <c r="B3" s="860">
        <v>1.2574000000000001</v>
      </c>
      <c r="C3" s="860">
        <v>1.2574000000000001</v>
      </c>
      <c r="D3" s="860">
        <v>1.2299</v>
      </c>
      <c r="E3" s="860">
        <v>1.2299</v>
      </c>
      <c r="F3" s="860">
        <v>1.2299</v>
      </c>
      <c r="G3" s="860">
        <v>1.2299</v>
      </c>
      <c r="H3" s="860">
        <v>1.2299</v>
      </c>
      <c r="I3" s="860">
        <v>1.2333000000000001</v>
      </c>
      <c r="J3" s="860">
        <v>1.2333000000000001</v>
      </c>
      <c r="K3" s="860">
        <v>1.2333000000000001</v>
      </c>
      <c r="L3" s="860">
        <v>1.2333000000000001</v>
      </c>
      <c r="M3" s="860">
        <v>1.2333000000000001</v>
      </c>
      <c r="N3" s="861"/>
    </row>
    <row r="4" spans="1:14">
      <c r="A4" s="851">
        <v>1.1000000000000001</v>
      </c>
      <c r="B4" s="860">
        <v>1.2283999999999999</v>
      </c>
      <c r="C4" s="860">
        <v>1.2283999999999999</v>
      </c>
      <c r="D4" s="860">
        <v>1.1984999999999999</v>
      </c>
      <c r="E4" s="860">
        <v>1.1984999999999999</v>
      </c>
      <c r="F4" s="860">
        <v>1.1984999999999999</v>
      </c>
      <c r="G4" s="860">
        <v>1.1984999999999999</v>
      </c>
      <c r="H4" s="860">
        <v>1.1984999999999999</v>
      </c>
      <c r="I4" s="860">
        <v>1.1899</v>
      </c>
      <c r="J4" s="860">
        <v>1.1899</v>
      </c>
      <c r="K4" s="860">
        <v>1.1899</v>
      </c>
      <c r="L4" s="860">
        <v>1.1899</v>
      </c>
      <c r="M4" s="860">
        <v>1.1899</v>
      </c>
    </row>
    <row r="5" spans="1:14">
      <c r="A5" s="851">
        <v>1.2</v>
      </c>
      <c r="B5" s="860">
        <v>1.2031000000000001</v>
      </c>
      <c r="C5" s="860">
        <v>1.2031000000000001</v>
      </c>
      <c r="D5" s="860">
        <v>1.1711</v>
      </c>
      <c r="E5" s="860">
        <v>1.1711</v>
      </c>
      <c r="F5" s="860">
        <v>1.1711</v>
      </c>
      <c r="G5" s="860">
        <v>1.1711</v>
      </c>
      <c r="H5" s="860">
        <v>1.1711</v>
      </c>
      <c r="I5" s="860">
        <v>1.1528</v>
      </c>
      <c r="J5" s="860">
        <v>1.1528</v>
      </c>
      <c r="K5" s="860">
        <v>1.1528</v>
      </c>
      <c r="L5" s="860">
        <v>1.1528</v>
      </c>
      <c r="M5" s="860">
        <v>1.1528</v>
      </c>
    </row>
    <row r="6" spans="1:14">
      <c r="A6" s="851">
        <v>1.3</v>
      </c>
      <c r="B6" s="860">
        <v>1.1811</v>
      </c>
      <c r="C6" s="860">
        <v>1.1811</v>
      </c>
      <c r="D6" s="860">
        <v>1.1472</v>
      </c>
      <c r="E6" s="860">
        <v>1.1472</v>
      </c>
      <c r="F6" s="860">
        <v>1.1472</v>
      </c>
      <c r="G6" s="860">
        <v>1.1472</v>
      </c>
      <c r="H6" s="860">
        <v>1.1472</v>
      </c>
      <c r="I6" s="860">
        <v>1.1214</v>
      </c>
      <c r="J6" s="860">
        <v>1.1214</v>
      </c>
      <c r="K6" s="860">
        <v>1.1214</v>
      </c>
      <c r="L6" s="860">
        <v>1.1214</v>
      </c>
      <c r="M6" s="860">
        <v>1.1214</v>
      </c>
    </row>
    <row r="7" spans="1:14">
      <c r="A7" s="851">
        <v>1.4</v>
      </c>
      <c r="B7" s="860">
        <v>1.1619999999999999</v>
      </c>
      <c r="C7" s="860">
        <v>1.1619999999999999</v>
      </c>
      <c r="D7" s="860">
        <v>1.1265000000000001</v>
      </c>
      <c r="E7" s="860">
        <v>1.1265000000000001</v>
      </c>
      <c r="F7" s="860">
        <v>1.1265000000000001</v>
      </c>
      <c r="G7" s="860">
        <v>1.1265000000000001</v>
      </c>
      <c r="H7" s="860">
        <v>1.1265000000000001</v>
      </c>
      <c r="I7" s="860">
        <v>1.0948</v>
      </c>
      <c r="J7" s="860">
        <v>1.0948</v>
      </c>
      <c r="K7" s="860">
        <v>1.0948</v>
      </c>
      <c r="L7" s="860">
        <v>1.0948</v>
      </c>
      <c r="M7" s="860">
        <v>1.0948</v>
      </c>
    </row>
    <row r="8" spans="1:14">
      <c r="A8" s="851">
        <v>1.5</v>
      </c>
      <c r="B8" s="860">
        <v>1.1453</v>
      </c>
      <c r="C8" s="860">
        <v>1.1453</v>
      </c>
      <c r="D8" s="860">
        <v>1.1084000000000001</v>
      </c>
      <c r="E8" s="860">
        <v>1.1084000000000001</v>
      </c>
      <c r="F8" s="860">
        <v>1.1084000000000001</v>
      </c>
      <c r="G8" s="860">
        <v>1.1084000000000001</v>
      </c>
      <c r="H8" s="860">
        <v>1.1084000000000001</v>
      </c>
      <c r="I8" s="860">
        <v>1.0725</v>
      </c>
      <c r="J8" s="860">
        <v>1.0725</v>
      </c>
      <c r="K8" s="860">
        <v>1.0725</v>
      </c>
      <c r="L8" s="860">
        <v>1.0725</v>
      </c>
      <c r="M8" s="860">
        <v>1.0725</v>
      </c>
    </row>
    <row r="9" spans="1:14">
      <c r="A9" s="851">
        <v>1.6</v>
      </c>
      <c r="B9" s="860">
        <v>1.1306</v>
      </c>
      <c r="C9" s="860">
        <v>1.1306</v>
      </c>
      <c r="D9" s="860">
        <v>1.0924</v>
      </c>
      <c r="E9" s="860">
        <v>1.0924</v>
      </c>
      <c r="F9" s="860">
        <v>1.0924</v>
      </c>
      <c r="G9" s="860">
        <v>1.0924</v>
      </c>
      <c r="H9" s="860">
        <v>1.0924</v>
      </c>
      <c r="I9" s="860">
        <v>1.0538000000000001</v>
      </c>
      <c r="J9" s="860">
        <v>1.0538000000000001</v>
      </c>
      <c r="K9" s="860">
        <v>1.0538000000000001</v>
      </c>
      <c r="L9" s="860">
        <v>1.0538000000000001</v>
      </c>
      <c r="M9" s="860">
        <v>1.0538000000000001</v>
      </c>
    </row>
    <row r="10" spans="1:14">
      <c r="A10" s="851">
        <v>1.7</v>
      </c>
      <c r="B10" s="860">
        <v>1.1175999999999999</v>
      </c>
      <c r="C10" s="860">
        <v>1.1175999999999999</v>
      </c>
      <c r="D10" s="860">
        <v>1.0783</v>
      </c>
      <c r="E10" s="860">
        <v>1.0783</v>
      </c>
      <c r="F10" s="860">
        <v>1.0783</v>
      </c>
      <c r="G10" s="860">
        <v>1.0783</v>
      </c>
      <c r="H10" s="860">
        <v>1.0783</v>
      </c>
      <c r="I10" s="860">
        <v>1.0379</v>
      </c>
      <c r="J10" s="860">
        <v>1.0379</v>
      </c>
      <c r="K10" s="860">
        <v>1.0379</v>
      </c>
      <c r="L10" s="860">
        <v>1.0379</v>
      </c>
      <c r="M10" s="860">
        <v>1.0379</v>
      </c>
    </row>
    <row r="11" spans="1:14">
      <c r="A11" s="851">
        <v>1.8</v>
      </c>
      <c r="B11" s="860">
        <v>1.1057999999999999</v>
      </c>
      <c r="C11" s="860">
        <v>1.1057999999999999</v>
      </c>
      <c r="D11" s="860">
        <v>1.0653999999999999</v>
      </c>
      <c r="E11" s="860">
        <v>1.0653999999999999</v>
      </c>
      <c r="F11" s="860">
        <v>1.0653999999999999</v>
      </c>
      <c r="G11" s="860">
        <v>1.0653999999999999</v>
      </c>
      <c r="H11" s="860">
        <v>1.0653999999999999</v>
      </c>
      <c r="I11" s="860">
        <v>1.0241</v>
      </c>
      <c r="J11" s="860">
        <v>1.0241</v>
      </c>
      <c r="K11" s="860">
        <v>1.0241</v>
      </c>
      <c r="L11" s="860">
        <v>1.0241</v>
      </c>
      <c r="M11" s="860">
        <v>1.0241</v>
      </c>
    </row>
    <row r="12" spans="1:14">
      <c r="A12" s="851">
        <v>1.9</v>
      </c>
      <c r="B12" s="860">
        <v>1.0949</v>
      </c>
      <c r="C12" s="860">
        <v>1.0949</v>
      </c>
      <c r="D12" s="860">
        <v>1.0537000000000001</v>
      </c>
      <c r="E12" s="860">
        <v>1.0537000000000001</v>
      </c>
      <c r="F12" s="860">
        <v>1.0537000000000001</v>
      </c>
      <c r="G12" s="860">
        <v>1.0537000000000001</v>
      </c>
      <c r="H12" s="860">
        <v>1.0537000000000001</v>
      </c>
      <c r="I12" s="860">
        <v>1.0117</v>
      </c>
      <c r="J12" s="860">
        <v>1.0117</v>
      </c>
      <c r="K12" s="860">
        <v>1.0117</v>
      </c>
      <c r="L12" s="860">
        <v>1.0117</v>
      </c>
      <c r="M12" s="860">
        <v>1.0117</v>
      </c>
    </row>
    <row r="13" spans="1:14">
      <c r="A13" s="851">
        <v>2</v>
      </c>
      <c r="B13" s="860">
        <v>1.0847</v>
      </c>
      <c r="C13" s="860">
        <v>1.0847</v>
      </c>
      <c r="D13" s="860">
        <v>1.0427</v>
      </c>
      <c r="E13" s="860">
        <v>1.0427</v>
      </c>
      <c r="F13" s="860">
        <v>1.0427</v>
      </c>
      <c r="G13" s="860">
        <v>1.0427</v>
      </c>
      <c r="H13" s="860">
        <v>1.0427</v>
      </c>
      <c r="I13" s="860">
        <v>1</v>
      </c>
      <c r="J13" s="860">
        <v>1</v>
      </c>
      <c r="K13" s="860">
        <v>1</v>
      </c>
      <c r="L13" s="860">
        <v>1</v>
      </c>
      <c r="M13" s="860">
        <v>1</v>
      </c>
    </row>
    <row r="14" spans="1:14">
      <c r="A14" s="851">
        <v>2.1</v>
      </c>
      <c r="B14" s="860">
        <v>1.0749</v>
      </c>
      <c r="C14" s="860">
        <v>1.0749</v>
      </c>
      <c r="D14" s="860">
        <v>1.0327999999999999</v>
      </c>
      <c r="E14" s="860">
        <v>1.0327999999999999</v>
      </c>
      <c r="F14" s="860">
        <v>1.0327999999999999</v>
      </c>
      <c r="G14" s="860">
        <v>1.0327999999999999</v>
      </c>
      <c r="H14" s="860">
        <v>1.0327999999999999</v>
      </c>
      <c r="I14" s="860">
        <v>0.98819999999999997</v>
      </c>
      <c r="J14" s="860">
        <v>0.98819999999999997</v>
      </c>
      <c r="K14" s="860">
        <v>0.98819999999999997</v>
      </c>
      <c r="L14" s="860">
        <v>0.98819999999999997</v>
      </c>
      <c r="M14" s="860">
        <v>0.98819999999999997</v>
      </c>
    </row>
    <row r="15" spans="1:14">
      <c r="A15" s="851">
        <v>2.2000000000000002</v>
      </c>
      <c r="B15" s="860">
        <v>1.0663</v>
      </c>
      <c r="C15" s="860">
        <v>1.0663</v>
      </c>
      <c r="D15" s="860">
        <v>1.0237000000000001</v>
      </c>
      <c r="E15" s="860">
        <v>1.0237000000000001</v>
      </c>
      <c r="F15" s="860">
        <v>1.0237000000000001</v>
      </c>
      <c r="G15" s="860">
        <v>1.0237000000000001</v>
      </c>
      <c r="H15" s="860">
        <v>1.0237000000000001</v>
      </c>
      <c r="I15" s="860">
        <v>0.9768</v>
      </c>
      <c r="J15" s="860">
        <v>0.9768</v>
      </c>
      <c r="K15" s="860">
        <v>0.9768</v>
      </c>
      <c r="L15" s="860">
        <v>0.9768</v>
      </c>
      <c r="M15" s="860">
        <v>0.9768</v>
      </c>
    </row>
    <row r="16" spans="1:14">
      <c r="A16" s="851">
        <v>2.2999999999999998</v>
      </c>
      <c r="B16" s="860">
        <v>1.0584</v>
      </c>
      <c r="C16" s="860">
        <v>1.0584</v>
      </c>
      <c r="D16" s="860">
        <v>1.0152000000000001</v>
      </c>
      <c r="E16" s="860">
        <v>1.0152000000000001</v>
      </c>
      <c r="F16" s="860">
        <v>1.0152000000000001</v>
      </c>
      <c r="G16" s="860">
        <v>1.0152000000000001</v>
      </c>
      <c r="H16" s="860">
        <v>1.0152000000000001</v>
      </c>
      <c r="I16" s="860">
        <v>0.96609999999999996</v>
      </c>
      <c r="J16" s="860">
        <v>0.96609999999999996</v>
      </c>
      <c r="K16" s="860">
        <v>0.96609999999999996</v>
      </c>
      <c r="L16" s="860">
        <v>0.96609999999999996</v>
      </c>
      <c r="M16" s="860">
        <v>0.96609999999999996</v>
      </c>
      <c r="N16" s="861"/>
    </row>
    <row r="17" spans="1:14">
      <c r="A17" s="851">
        <v>2.4</v>
      </c>
      <c r="B17" s="860">
        <v>1.0511999999999999</v>
      </c>
      <c r="C17" s="860">
        <v>1.0511999999999999</v>
      </c>
      <c r="D17" s="860">
        <v>1.0074000000000001</v>
      </c>
      <c r="E17" s="860">
        <v>1.0074000000000001</v>
      </c>
      <c r="F17" s="860">
        <v>1.0074000000000001</v>
      </c>
      <c r="G17" s="860">
        <v>1.0074000000000001</v>
      </c>
      <c r="H17" s="860">
        <v>1.0074000000000001</v>
      </c>
      <c r="I17" s="860">
        <v>0.95579999999999998</v>
      </c>
      <c r="J17" s="860">
        <v>0.95579999999999998</v>
      </c>
      <c r="K17" s="860">
        <v>0.95579999999999998</v>
      </c>
      <c r="L17" s="860">
        <v>0.95579999999999998</v>
      </c>
      <c r="M17" s="860">
        <v>0.95579999999999998</v>
      </c>
      <c r="N17" s="861"/>
    </row>
    <row r="18" spans="1:14">
      <c r="A18" s="851">
        <v>2.5</v>
      </c>
      <c r="B18" s="860">
        <v>1.0445</v>
      </c>
      <c r="C18" s="860">
        <v>1.0445</v>
      </c>
      <c r="D18" s="860">
        <v>1</v>
      </c>
      <c r="E18" s="860">
        <v>1</v>
      </c>
      <c r="F18" s="860">
        <v>1</v>
      </c>
      <c r="G18" s="860">
        <v>1</v>
      </c>
      <c r="H18" s="860">
        <v>1</v>
      </c>
      <c r="I18" s="860">
        <v>0.94620000000000004</v>
      </c>
      <c r="J18" s="860">
        <v>0.94620000000000004</v>
      </c>
      <c r="K18" s="860">
        <v>0.94620000000000004</v>
      </c>
      <c r="L18" s="860">
        <v>0.94620000000000004</v>
      </c>
      <c r="M18" s="860">
        <v>0.94620000000000004</v>
      </c>
    </row>
    <row r="19" spans="1:14">
      <c r="A19" s="851">
        <v>2.6</v>
      </c>
      <c r="B19" s="860">
        <v>1.0386</v>
      </c>
      <c r="C19" s="860">
        <v>1.0386</v>
      </c>
      <c r="D19" s="860">
        <v>0.99350000000000005</v>
      </c>
      <c r="E19" s="860">
        <v>0.99350000000000005</v>
      </c>
      <c r="F19" s="860">
        <v>0.99350000000000005</v>
      </c>
      <c r="G19" s="860">
        <v>0.99350000000000005</v>
      </c>
      <c r="H19" s="860">
        <v>0.99350000000000005</v>
      </c>
      <c r="I19" s="860">
        <v>0.93710000000000004</v>
      </c>
      <c r="J19" s="860">
        <v>0.93710000000000004</v>
      </c>
      <c r="K19" s="860">
        <v>0.93710000000000004</v>
      </c>
      <c r="L19" s="860">
        <v>0.93710000000000004</v>
      </c>
      <c r="M19" s="860">
        <v>0.93710000000000004</v>
      </c>
    </row>
    <row r="20" spans="1:14">
      <c r="A20" s="851">
        <v>2.7</v>
      </c>
      <c r="B20" s="860">
        <v>1.0331999999999999</v>
      </c>
      <c r="C20" s="860">
        <v>1.0331999999999999</v>
      </c>
      <c r="D20" s="860">
        <v>0.98770000000000002</v>
      </c>
      <c r="E20" s="860">
        <v>0.98770000000000002</v>
      </c>
      <c r="F20" s="860">
        <v>0.98770000000000002</v>
      </c>
      <c r="G20" s="860">
        <v>0.98770000000000002</v>
      </c>
      <c r="H20" s="860">
        <v>0.98770000000000002</v>
      </c>
      <c r="I20" s="860">
        <v>0.92859999999999998</v>
      </c>
      <c r="J20" s="860">
        <v>0.92859999999999998</v>
      </c>
      <c r="K20" s="860">
        <v>0.92859999999999998</v>
      </c>
      <c r="L20" s="860">
        <v>0.92859999999999998</v>
      </c>
      <c r="M20" s="860">
        <v>0.92859999999999998</v>
      </c>
    </row>
    <row r="21" spans="1:14">
      <c r="A21" s="851">
        <v>2.8</v>
      </c>
      <c r="B21" s="860">
        <v>1.0282</v>
      </c>
      <c r="C21" s="860">
        <v>1.0282</v>
      </c>
      <c r="D21" s="860">
        <v>0.98260000000000003</v>
      </c>
      <c r="E21" s="860">
        <v>0.98260000000000003</v>
      </c>
      <c r="F21" s="860">
        <v>0.98260000000000003</v>
      </c>
      <c r="G21" s="860">
        <v>0.98260000000000003</v>
      </c>
      <c r="H21" s="860">
        <v>0.98260000000000003</v>
      </c>
      <c r="I21" s="860">
        <v>0.92069999999999996</v>
      </c>
      <c r="J21" s="860">
        <v>0.92069999999999996</v>
      </c>
      <c r="K21" s="860">
        <v>0.92069999999999996</v>
      </c>
      <c r="L21" s="860">
        <v>0.92069999999999996</v>
      </c>
      <c r="M21" s="860">
        <v>0.92069999999999996</v>
      </c>
    </row>
    <row r="22" spans="1:14">
      <c r="A22" s="851">
        <v>2.9</v>
      </c>
      <c r="B22" s="860">
        <v>1.0235000000000001</v>
      </c>
      <c r="C22" s="860">
        <v>1.0235000000000001</v>
      </c>
      <c r="D22" s="860">
        <v>0.97770000000000001</v>
      </c>
      <c r="E22" s="860">
        <v>0.97770000000000001</v>
      </c>
      <c r="F22" s="860">
        <v>0.97770000000000001</v>
      </c>
      <c r="G22" s="860">
        <v>0.97770000000000001</v>
      </c>
      <c r="H22" s="860">
        <v>0.97770000000000001</v>
      </c>
      <c r="I22" s="860">
        <v>0.9133</v>
      </c>
      <c r="J22" s="860">
        <v>0.9133</v>
      </c>
      <c r="K22" s="860">
        <v>0.9133</v>
      </c>
      <c r="L22" s="860">
        <v>0.9133</v>
      </c>
      <c r="M22" s="860">
        <v>0.9133</v>
      </c>
    </row>
    <row r="23" spans="1:14">
      <c r="A23" s="868">
        <v>3</v>
      </c>
      <c r="B23" s="860">
        <v>1.0190999999999999</v>
      </c>
      <c r="C23" s="860">
        <v>1.0190999999999999</v>
      </c>
      <c r="D23" s="860">
        <v>0.97299999999999998</v>
      </c>
      <c r="E23" s="860">
        <v>0.97299999999999998</v>
      </c>
      <c r="F23" s="860">
        <v>0.97299999999999998</v>
      </c>
      <c r="G23" s="860">
        <v>0.97299999999999998</v>
      </c>
      <c r="H23" s="860">
        <v>0.97299999999999998</v>
      </c>
      <c r="I23" s="860">
        <v>0.90629999999999999</v>
      </c>
      <c r="J23" s="860">
        <v>0.90629999999999999</v>
      </c>
      <c r="K23" s="860">
        <v>0.90629999999999999</v>
      </c>
      <c r="L23" s="860">
        <v>0.90629999999999999</v>
      </c>
      <c r="M23" s="860">
        <v>0.90629999999999999</v>
      </c>
    </row>
    <row r="24" spans="1:14">
      <c r="A24" s="868">
        <v>3.1</v>
      </c>
      <c r="B24" s="860">
        <v>1.0148999999999999</v>
      </c>
      <c r="C24" s="860">
        <v>1.0148999999999999</v>
      </c>
      <c r="D24" s="860">
        <v>0.96840000000000004</v>
      </c>
      <c r="E24" s="860">
        <v>0.96840000000000004</v>
      </c>
      <c r="F24" s="860">
        <v>0.96840000000000004</v>
      </c>
      <c r="G24" s="860">
        <v>0.96840000000000004</v>
      </c>
      <c r="H24" s="860">
        <v>0.96840000000000004</v>
      </c>
      <c r="I24" s="860">
        <v>0.89959999999999996</v>
      </c>
      <c r="J24" s="860">
        <v>0.89959999999999996</v>
      </c>
      <c r="K24" s="860">
        <v>0.89959999999999996</v>
      </c>
      <c r="L24" s="860">
        <v>0.89959999999999996</v>
      </c>
      <c r="M24" s="860">
        <v>0.89959999999999996</v>
      </c>
    </row>
    <row r="25" spans="1:14">
      <c r="A25" s="868">
        <v>3.2</v>
      </c>
      <c r="B25" s="860">
        <v>1.0108999999999999</v>
      </c>
      <c r="C25" s="860">
        <v>1.0108999999999999</v>
      </c>
      <c r="D25" s="860">
        <v>0.96399999999999997</v>
      </c>
      <c r="E25" s="860">
        <v>0.96399999999999997</v>
      </c>
      <c r="F25" s="860">
        <v>0.96399999999999997</v>
      </c>
      <c r="G25" s="860">
        <v>0.96399999999999997</v>
      </c>
      <c r="H25" s="860">
        <v>0.96399999999999997</v>
      </c>
      <c r="I25" s="860">
        <v>0.89319999999999999</v>
      </c>
      <c r="J25" s="860">
        <v>0.89319999999999999</v>
      </c>
      <c r="K25" s="860">
        <v>0.89319999999999999</v>
      </c>
      <c r="L25" s="860">
        <v>0.89319999999999999</v>
      </c>
      <c r="M25" s="860">
        <v>0.89319999999999999</v>
      </c>
    </row>
    <row r="26" spans="1:14">
      <c r="A26" s="868">
        <v>3.3</v>
      </c>
      <c r="B26" s="860">
        <v>1.0071000000000001</v>
      </c>
      <c r="C26" s="860">
        <v>1.0071000000000001</v>
      </c>
      <c r="D26" s="860">
        <v>0.95979999999999999</v>
      </c>
      <c r="E26" s="860">
        <v>0.95979999999999999</v>
      </c>
      <c r="F26" s="860">
        <v>0.95979999999999999</v>
      </c>
      <c r="G26" s="860">
        <v>0.95979999999999999</v>
      </c>
      <c r="H26" s="860">
        <v>0.95979999999999999</v>
      </c>
      <c r="I26" s="860">
        <v>0.8871</v>
      </c>
      <c r="J26" s="860">
        <v>0.8871</v>
      </c>
      <c r="K26" s="860">
        <v>0.8871</v>
      </c>
      <c r="L26" s="860">
        <v>0.8871</v>
      </c>
      <c r="M26" s="860">
        <v>0.8871</v>
      </c>
    </row>
    <row r="27" spans="1:14">
      <c r="A27" s="868">
        <v>3.4</v>
      </c>
      <c r="B27" s="860">
        <v>1.0035000000000001</v>
      </c>
      <c r="C27" s="860">
        <v>1.0035000000000001</v>
      </c>
      <c r="D27" s="860">
        <v>0.95579999999999998</v>
      </c>
      <c r="E27" s="860">
        <v>0.95579999999999998</v>
      </c>
      <c r="F27" s="860">
        <v>0.95579999999999998</v>
      </c>
      <c r="G27" s="860">
        <v>0.95579999999999998</v>
      </c>
      <c r="H27" s="860">
        <v>0.95579999999999998</v>
      </c>
      <c r="I27" s="860">
        <v>0.88119999999999998</v>
      </c>
      <c r="J27" s="860">
        <v>0.88119999999999998</v>
      </c>
      <c r="K27" s="860">
        <v>0.88119999999999998</v>
      </c>
      <c r="L27" s="860">
        <v>0.88119999999999998</v>
      </c>
      <c r="M27" s="860">
        <v>0.88119999999999998</v>
      </c>
    </row>
    <row r="28" spans="1:14">
      <c r="A28" s="868">
        <v>3.5</v>
      </c>
      <c r="B28" s="860">
        <v>1</v>
      </c>
      <c r="C28" s="860">
        <v>1</v>
      </c>
      <c r="D28" s="860">
        <v>0.95199999999999996</v>
      </c>
      <c r="E28" s="860">
        <v>0.95199999999999996</v>
      </c>
      <c r="F28" s="860">
        <v>0.95199999999999996</v>
      </c>
      <c r="G28" s="860">
        <v>0.95199999999999996</v>
      </c>
      <c r="H28" s="860">
        <v>0.95199999999999996</v>
      </c>
      <c r="I28" s="860">
        <v>0.87549999999999994</v>
      </c>
      <c r="J28" s="860">
        <v>0.87549999999999994</v>
      </c>
      <c r="K28" s="860">
        <v>0.87549999999999994</v>
      </c>
      <c r="L28" s="860">
        <v>0.87549999999999994</v>
      </c>
      <c r="M28" s="860">
        <v>0.87549999999999994</v>
      </c>
    </row>
    <row r="29" spans="1:14">
      <c r="A29" s="868">
        <v>3.6</v>
      </c>
      <c r="B29" s="860">
        <v>0.99660000000000004</v>
      </c>
      <c r="C29" s="860">
        <v>0.99660000000000004</v>
      </c>
      <c r="D29" s="860">
        <v>0.94840000000000002</v>
      </c>
      <c r="E29" s="860">
        <v>0.94840000000000002</v>
      </c>
      <c r="F29" s="860">
        <v>0.94840000000000002</v>
      </c>
      <c r="G29" s="860">
        <v>0.94840000000000002</v>
      </c>
      <c r="H29" s="860">
        <v>0.94840000000000002</v>
      </c>
      <c r="I29" s="860">
        <v>0.87</v>
      </c>
      <c r="J29" s="860">
        <v>0.87</v>
      </c>
      <c r="K29" s="860">
        <v>0.87</v>
      </c>
      <c r="L29" s="860">
        <v>0.87</v>
      </c>
      <c r="M29" s="860">
        <v>0.87</v>
      </c>
    </row>
    <row r="30" spans="1:14">
      <c r="A30" s="868">
        <v>3.7</v>
      </c>
      <c r="B30" s="860">
        <v>0.99329999999999996</v>
      </c>
      <c r="C30" s="860">
        <v>0.99329999999999996</v>
      </c>
      <c r="D30" s="860">
        <v>0.94499999999999995</v>
      </c>
      <c r="E30" s="860">
        <v>0.94499999999999995</v>
      </c>
      <c r="F30" s="860">
        <v>0.94499999999999995</v>
      </c>
      <c r="G30" s="860">
        <v>0.94499999999999995</v>
      </c>
      <c r="H30" s="860">
        <v>0.94499999999999995</v>
      </c>
      <c r="I30" s="860">
        <v>0.86470000000000002</v>
      </c>
      <c r="J30" s="860">
        <v>0.86470000000000002</v>
      </c>
      <c r="K30" s="860">
        <v>0.86470000000000002</v>
      </c>
      <c r="L30" s="860">
        <v>0.86470000000000002</v>
      </c>
      <c r="M30" s="860">
        <v>0.86470000000000002</v>
      </c>
    </row>
    <row r="31" spans="1:14">
      <c r="A31" s="868">
        <v>3.8</v>
      </c>
      <c r="B31" s="860">
        <v>0.99009999999999998</v>
      </c>
      <c r="C31" s="860">
        <v>0.99009999999999998</v>
      </c>
      <c r="D31" s="860">
        <v>0.94169999999999998</v>
      </c>
      <c r="E31" s="860">
        <v>0.94169999999999998</v>
      </c>
      <c r="F31" s="860">
        <v>0.94169999999999998</v>
      </c>
      <c r="G31" s="860">
        <v>0.94169999999999998</v>
      </c>
      <c r="H31" s="860">
        <v>0.94169999999999998</v>
      </c>
      <c r="I31" s="860">
        <v>0.85960000000000003</v>
      </c>
      <c r="J31" s="860">
        <v>0.85960000000000003</v>
      </c>
      <c r="K31" s="860">
        <v>0.85960000000000003</v>
      </c>
      <c r="L31" s="860">
        <v>0.85960000000000003</v>
      </c>
      <c r="M31" s="860">
        <v>0.85960000000000003</v>
      </c>
    </row>
    <row r="32" spans="1:14">
      <c r="A32" s="868">
        <v>3.9</v>
      </c>
      <c r="B32" s="860">
        <v>0.98699999999999999</v>
      </c>
      <c r="C32" s="860">
        <v>0.98699999999999999</v>
      </c>
      <c r="D32" s="860">
        <v>0.9385</v>
      </c>
      <c r="E32" s="860">
        <v>0.9385</v>
      </c>
      <c r="F32" s="860">
        <v>0.9385</v>
      </c>
      <c r="G32" s="860">
        <v>0.9385</v>
      </c>
      <c r="H32" s="860">
        <v>0.9385</v>
      </c>
      <c r="I32" s="860">
        <v>0.85470000000000002</v>
      </c>
      <c r="J32" s="860">
        <v>0.85470000000000002</v>
      </c>
      <c r="K32" s="860">
        <v>0.85470000000000002</v>
      </c>
      <c r="L32" s="860">
        <v>0.85470000000000002</v>
      </c>
      <c r="M32" s="860">
        <v>0.85470000000000002</v>
      </c>
    </row>
    <row r="33" spans="1:13">
      <c r="A33" s="868">
        <v>4</v>
      </c>
      <c r="B33" s="860">
        <v>0.98399999999999999</v>
      </c>
      <c r="C33" s="860">
        <v>0.98399999999999999</v>
      </c>
      <c r="D33" s="860">
        <v>0.93540000000000001</v>
      </c>
      <c r="E33" s="860">
        <v>0.93540000000000001</v>
      </c>
      <c r="F33" s="860">
        <v>0.93540000000000001</v>
      </c>
      <c r="G33" s="860">
        <v>0.93540000000000001</v>
      </c>
      <c r="H33" s="860">
        <v>0.93540000000000001</v>
      </c>
      <c r="I33" s="860">
        <v>0.84989999999999999</v>
      </c>
      <c r="J33" s="860">
        <v>0.84989999999999999</v>
      </c>
      <c r="K33" s="860">
        <v>0.84989999999999999</v>
      </c>
      <c r="L33" s="860">
        <v>0.84989999999999999</v>
      </c>
      <c r="M33" s="860">
        <v>0.84989999999999999</v>
      </c>
    </row>
    <row r="34" spans="1:13">
      <c r="A34" s="868">
        <v>4.0999999999999996</v>
      </c>
      <c r="B34" s="860">
        <v>0.98109999999999997</v>
      </c>
      <c r="C34" s="860">
        <v>0.98109999999999997</v>
      </c>
      <c r="D34" s="860">
        <v>0.93240000000000001</v>
      </c>
      <c r="E34" s="860">
        <v>0.93240000000000001</v>
      </c>
      <c r="F34" s="860">
        <v>0.93240000000000001</v>
      </c>
      <c r="G34" s="860">
        <v>0.93240000000000001</v>
      </c>
      <c r="H34" s="860">
        <v>0.93240000000000001</v>
      </c>
      <c r="I34" s="860">
        <v>0.84519999999999995</v>
      </c>
      <c r="J34" s="860">
        <v>0.84519999999999995</v>
      </c>
      <c r="K34" s="860">
        <v>0.84519999999999995</v>
      </c>
      <c r="L34" s="860">
        <v>0.84519999999999995</v>
      </c>
      <c r="M34" s="860">
        <v>0.84519999999999995</v>
      </c>
    </row>
    <row r="35" spans="1:13">
      <c r="A35" s="868">
        <v>4.2</v>
      </c>
      <c r="B35" s="860">
        <v>0.97829999999999995</v>
      </c>
      <c r="C35" s="860">
        <v>0.97829999999999995</v>
      </c>
      <c r="D35" s="860">
        <v>0.92949999999999999</v>
      </c>
      <c r="E35" s="860">
        <v>0.92949999999999999</v>
      </c>
      <c r="F35" s="860">
        <v>0.92949999999999999</v>
      </c>
      <c r="G35" s="860">
        <v>0.92949999999999999</v>
      </c>
      <c r="H35" s="860">
        <v>0.92949999999999999</v>
      </c>
      <c r="I35" s="860">
        <v>0.84060000000000001</v>
      </c>
      <c r="J35" s="860">
        <v>0.84060000000000001</v>
      </c>
      <c r="K35" s="860">
        <v>0.84060000000000001</v>
      </c>
      <c r="L35" s="860">
        <v>0.84060000000000001</v>
      </c>
      <c r="M35" s="860">
        <v>0.84060000000000001</v>
      </c>
    </row>
    <row r="36" spans="1:13">
      <c r="A36" s="868">
        <v>4.3</v>
      </c>
      <c r="B36" s="860">
        <v>0.97560000000000002</v>
      </c>
      <c r="C36" s="860">
        <v>0.97560000000000002</v>
      </c>
      <c r="D36" s="860">
        <v>0.92669999999999997</v>
      </c>
      <c r="E36" s="860">
        <v>0.92669999999999997</v>
      </c>
      <c r="F36" s="860">
        <v>0.92669999999999997</v>
      </c>
      <c r="G36" s="860">
        <v>0.92669999999999997</v>
      </c>
      <c r="H36" s="860">
        <v>0.92669999999999997</v>
      </c>
      <c r="I36" s="860">
        <v>0.83609999999999995</v>
      </c>
      <c r="J36" s="860">
        <v>0.83609999999999995</v>
      </c>
      <c r="K36" s="860">
        <v>0.83609999999999995</v>
      </c>
      <c r="L36" s="860">
        <v>0.83609999999999995</v>
      </c>
      <c r="M36" s="860">
        <v>0.83609999999999995</v>
      </c>
    </row>
    <row r="37" spans="1:13">
      <c r="A37" s="868">
        <v>4.4000000000000004</v>
      </c>
      <c r="B37" s="860">
        <v>0.97299999999999998</v>
      </c>
      <c r="C37" s="860">
        <v>0.97299999999999998</v>
      </c>
      <c r="D37" s="860">
        <v>0.92400000000000004</v>
      </c>
      <c r="E37" s="860">
        <v>0.92400000000000004</v>
      </c>
      <c r="F37" s="860">
        <v>0.92400000000000004</v>
      </c>
      <c r="G37" s="860">
        <v>0.92400000000000004</v>
      </c>
      <c r="H37" s="860">
        <v>0.92400000000000004</v>
      </c>
      <c r="I37" s="860">
        <v>0.83169999999999999</v>
      </c>
      <c r="J37" s="860">
        <v>0.83169999999999999</v>
      </c>
      <c r="K37" s="860">
        <v>0.83169999999999999</v>
      </c>
      <c r="L37" s="860">
        <v>0.83169999999999999</v>
      </c>
      <c r="M37" s="860">
        <v>0.83169999999999999</v>
      </c>
    </row>
    <row r="38" spans="1:13">
      <c r="A38" s="868">
        <v>4.5</v>
      </c>
      <c r="B38" s="860">
        <v>0.97050000000000003</v>
      </c>
      <c r="C38" s="860">
        <v>0.97050000000000003</v>
      </c>
      <c r="D38" s="860">
        <v>0.92130000000000001</v>
      </c>
      <c r="E38" s="860">
        <v>0.92130000000000001</v>
      </c>
      <c r="F38" s="860">
        <v>0.92130000000000001</v>
      </c>
      <c r="G38" s="860">
        <v>0.92130000000000001</v>
      </c>
      <c r="H38" s="860">
        <v>0.92130000000000001</v>
      </c>
      <c r="I38" s="860">
        <v>0.82740000000000002</v>
      </c>
      <c r="J38" s="860">
        <v>0.82740000000000002</v>
      </c>
      <c r="K38" s="860">
        <v>0.82740000000000002</v>
      </c>
      <c r="L38" s="860">
        <v>0.82740000000000002</v>
      </c>
      <c r="M38" s="860">
        <v>0.82740000000000002</v>
      </c>
    </row>
    <row r="39" spans="1:13">
      <c r="A39" s="868">
        <v>4.5999999999999996</v>
      </c>
      <c r="B39" s="860">
        <v>0.96809999999999996</v>
      </c>
      <c r="C39" s="860">
        <v>0.96809999999999996</v>
      </c>
      <c r="D39" s="860">
        <v>0.91869999999999996</v>
      </c>
      <c r="E39" s="860">
        <v>0.91869999999999996</v>
      </c>
      <c r="F39" s="860">
        <v>0.91869999999999996</v>
      </c>
      <c r="G39" s="860">
        <v>0.91869999999999996</v>
      </c>
      <c r="H39" s="860">
        <v>0.91869999999999996</v>
      </c>
      <c r="I39" s="860">
        <v>0.82320000000000004</v>
      </c>
      <c r="J39" s="860">
        <v>0.82320000000000004</v>
      </c>
      <c r="K39" s="860">
        <v>0.82320000000000004</v>
      </c>
      <c r="L39" s="860">
        <v>0.82320000000000004</v>
      </c>
      <c r="M39" s="860">
        <v>0.82320000000000004</v>
      </c>
    </row>
    <row r="40" spans="1:13">
      <c r="A40" s="868">
        <v>4.7</v>
      </c>
      <c r="B40" s="860">
        <v>0.96579999999999999</v>
      </c>
      <c r="C40" s="860">
        <v>0.96579999999999999</v>
      </c>
      <c r="D40" s="860">
        <v>0.91610000000000003</v>
      </c>
      <c r="E40" s="860">
        <v>0.91610000000000003</v>
      </c>
      <c r="F40" s="860">
        <v>0.91610000000000003</v>
      </c>
      <c r="G40" s="860">
        <v>0.91610000000000003</v>
      </c>
      <c r="H40" s="860">
        <v>0.91610000000000003</v>
      </c>
      <c r="I40" s="860">
        <v>0.81910000000000005</v>
      </c>
      <c r="J40" s="860">
        <v>0.81910000000000005</v>
      </c>
      <c r="K40" s="860">
        <v>0.81910000000000005</v>
      </c>
      <c r="L40" s="860">
        <v>0.81910000000000005</v>
      </c>
      <c r="M40" s="860">
        <v>0.81910000000000005</v>
      </c>
    </row>
    <row r="41" spans="1:13">
      <c r="A41" s="868">
        <v>4.8</v>
      </c>
      <c r="B41" s="860">
        <v>0.96360000000000001</v>
      </c>
      <c r="C41" s="860">
        <v>0.96360000000000001</v>
      </c>
      <c r="D41" s="860">
        <v>0.91349999999999998</v>
      </c>
      <c r="E41" s="860">
        <v>0.91349999999999998</v>
      </c>
      <c r="F41" s="860">
        <v>0.91349999999999998</v>
      </c>
      <c r="G41" s="860">
        <v>0.91349999999999998</v>
      </c>
      <c r="H41" s="860">
        <v>0.91349999999999998</v>
      </c>
      <c r="I41" s="860">
        <v>0.81510000000000005</v>
      </c>
      <c r="J41" s="860">
        <v>0.81510000000000005</v>
      </c>
      <c r="K41" s="860">
        <v>0.81510000000000005</v>
      </c>
      <c r="L41" s="860">
        <v>0.81510000000000005</v>
      </c>
      <c r="M41" s="860">
        <v>0.81510000000000005</v>
      </c>
    </row>
    <row r="42" spans="1:13">
      <c r="A42" s="868">
        <v>4.9000000000000004</v>
      </c>
      <c r="B42" s="860">
        <v>0.96150000000000002</v>
      </c>
      <c r="C42" s="860">
        <v>0.96150000000000002</v>
      </c>
      <c r="D42" s="860">
        <v>0.91100000000000003</v>
      </c>
      <c r="E42" s="860">
        <v>0.91100000000000003</v>
      </c>
      <c r="F42" s="860">
        <v>0.91100000000000003</v>
      </c>
      <c r="G42" s="860">
        <v>0.91100000000000003</v>
      </c>
      <c r="H42" s="860">
        <v>0.91100000000000003</v>
      </c>
      <c r="I42" s="860">
        <v>0.81110000000000004</v>
      </c>
      <c r="J42" s="860">
        <v>0.81110000000000004</v>
      </c>
      <c r="K42" s="860">
        <v>0.81110000000000004</v>
      </c>
      <c r="L42" s="860">
        <v>0.81110000000000004</v>
      </c>
      <c r="M42" s="860">
        <v>0.81110000000000004</v>
      </c>
    </row>
    <row r="43" spans="1:13">
      <c r="A43" s="868">
        <v>5</v>
      </c>
      <c r="B43" s="860">
        <v>0.95940000000000003</v>
      </c>
      <c r="C43" s="860">
        <v>0.95940000000000003</v>
      </c>
      <c r="D43" s="860">
        <v>0.90849999999999997</v>
      </c>
      <c r="E43" s="860">
        <v>0.90849999999999997</v>
      </c>
      <c r="F43" s="860">
        <v>0.90849999999999997</v>
      </c>
      <c r="G43" s="860">
        <v>0.90849999999999997</v>
      </c>
      <c r="H43" s="860">
        <v>0.90849999999999997</v>
      </c>
      <c r="I43" s="860">
        <v>0.80720000000000003</v>
      </c>
      <c r="J43" s="860">
        <v>0.80720000000000003</v>
      </c>
      <c r="K43" s="860">
        <v>0.80720000000000003</v>
      </c>
      <c r="L43" s="860">
        <v>0.80720000000000003</v>
      </c>
      <c r="M43" s="860">
        <v>0.80720000000000003</v>
      </c>
    </row>
    <row r="44" spans="1:13">
      <c r="A44" s="868">
        <v>5.0999999999999996</v>
      </c>
      <c r="B44" s="860">
        <v>0.95740000000000003</v>
      </c>
      <c r="C44" s="860">
        <v>0.95740000000000003</v>
      </c>
      <c r="D44" s="860">
        <v>0.90600000000000003</v>
      </c>
      <c r="E44" s="860">
        <v>0.90600000000000003</v>
      </c>
      <c r="F44" s="860">
        <v>0.90600000000000003</v>
      </c>
      <c r="G44" s="860">
        <v>0.90600000000000003</v>
      </c>
      <c r="H44" s="860">
        <v>0.90600000000000003</v>
      </c>
      <c r="I44" s="860">
        <v>0.80330000000000001</v>
      </c>
      <c r="J44" s="860">
        <v>0.80330000000000001</v>
      </c>
      <c r="K44" s="860">
        <v>0.80330000000000001</v>
      </c>
      <c r="L44" s="860">
        <v>0.80330000000000001</v>
      </c>
      <c r="M44" s="860">
        <v>0.80330000000000001</v>
      </c>
    </row>
    <row r="45" spans="1:13">
      <c r="A45" s="868">
        <v>5.2</v>
      </c>
      <c r="B45" s="860">
        <v>0.95540000000000003</v>
      </c>
      <c r="C45" s="860">
        <v>0.95540000000000003</v>
      </c>
      <c r="D45" s="860">
        <v>0.90349999999999997</v>
      </c>
      <c r="E45" s="860">
        <v>0.90349999999999997</v>
      </c>
      <c r="F45" s="860">
        <v>0.90349999999999997</v>
      </c>
      <c r="G45" s="860">
        <v>0.90349999999999997</v>
      </c>
      <c r="H45" s="860">
        <v>0.90349999999999997</v>
      </c>
      <c r="I45" s="860">
        <v>0.79949999999999999</v>
      </c>
      <c r="J45" s="860">
        <v>0.79949999999999999</v>
      </c>
      <c r="K45" s="860">
        <v>0.79949999999999999</v>
      </c>
      <c r="L45" s="860">
        <v>0.79949999999999999</v>
      </c>
      <c r="M45" s="860">
        <v>0.79949999999999999</v>
      </c>
    </row>
    <row r="46" spans="1:13">
      <c r="A46" s="868">
        <v>5.3</v>
      </c>
      <c r="B46" s="860">
        <v>0.95350000000000001</v>
      </c>
      <c r="C46" s="860">
        <v>0.95350000000000001</v>
      </c>
      <c r="D46" s="860">
        <v>0.90110000000000001</v>
      </c>
      <c r="E46" s="860">
        <v>0.90110000000000001</v>
      </c>
      <c r="F46" s="860">
        <v>0.90110000000000001</v>
      </c>
      <c r="G46" s="860">
        <v>0.90110000000000001</v>
      </c>
      <c r="H46" s="860">
        <v>0.90110000000000001</v>
      </c>
      <c r="I46" s="860">
        <v>0.79569999999999996</v>
      </c>
      <c r="J46" s="860">
        <v>0.79569999999999996</v>
      </c>
      <c r="K46" s="860">
        <v>0.79569999999999996</v>
      </c>
      <c r="L46" s="860">
        <v>0.79569999999999996</v>
      </c>
      <c r="M46" s="860">
        <v>0.79569999999999996</v>
      </c>
    </row>
    <row r="47" spans="1:13">
      <c r="A47" s="868">
        <v>5.4</v>
      </c>
      <c r="B47" s="860">
        <v>0.9516</v>
      </c>
      <c r="C47" s="860">
        <v>0.9516</v>
      </c>
      <c r="D47" s="860">
        <v>0.89870000000000005</v>
      </c>
      <c r="E47" s="860">
        <v>0.89870000000000005</v>
      </c>
      <c r="F47" s="860">
        <v>0.89870000000000005</v>
      </c>
      <c r="G47" s="860">
        <v>0.89870000000000005</v>
      </c>
      <c r="H47" s="860">
        <v>0.89870000000000005</v>
      </c>
      <c r="I47" s="860">
        <v>0.79200000000000004</v>
      </c>
      <c r="J47" s="860">
        <v>0.79200000000000004</v>
      </c>
      <c r="K47" s="860">
        <v>0.79200000000000004</v>
      </c>
      <c r="L47" s="860">
        <v>0.79200000000000004</v>
      </c>
      <c r="M47" s="860">
        <v>0.79200000000000004</v>
      </c>
    </row>
    <row r="48" spans="1:13">
      <c r="A48" s="868">
        <v>5.5</v>
      </c>
      <c r="B48" s="860">
        <v>0.94979999999999998</v>
      </c>
      <c r="C48" s="860">
        <v>0.94979999999999998</v>
      </c>
      <c r="D48" s="860">
        <v>0.89629999999999999</v>
      </c>
      <c r="E48" s="860">
        <v>0.89629999999999999</v>
      </c>
      <c r="F48" s="860">
        <v>0.89629999999999999</v>
      </c>
      <c r="G48" s="860">
        <v>0.89629999999999999</v>
      </c>
      <c r="H48" s="860">
        <v>0.89629999999999999</v>
      </c>
      <c r="I48" s="860">
        <v>0.7883</v>
      </c>
      <c r="J48" s="860">
        <v>0.7883</v>
      </c>
      <c r="K48" s="860">
        <v>0.7883</v>
      </c>
      <c r="L48" s="860">
        <v>0.7883</v>
      </c>
      <c r="M48" s="860">
        <v>0.7883</v>
      </c>
    </row>
    <row r="49" spans="1:13">
      <c r="A49" s="868">
        <v>5.6</v>
      </c>
      <c r="B49" s="860">
        <v>0.94799999999999995</v>
      </c>
      <c r="C49" s="860">
        <v>0.94799999999999995</v>
      </c>
      <c r="D49" s="860">
        <v>0.89390000000000003</v>
      </c>
      <c r="E49" s="860">
        <v>0.89390000000000003</v>
      </c>
      <c r="F49" s="860">
        <v>0.89390000000000003</v>
      </c>
      <c r="G49" s="860">
        <v>0.89390000000000003</v>
      </c>
      <c r="H49" s="860">
        <v>0.89390000000000003</v>
      </c>
      <c r="I49" s="860">
        <v>0.78469999999999995</v>
      </c>
      <c r="J49" s="860">
        <v>0.78469999999999995</v>
      </c>
      <c r="K49" s="860">
        <v>0.78469999999999995</v>
      </c>
      <c r="L49" s="860">
        <v>0.78469999999999995</v>
      </c>
      <c r="M49" s="860">
        <v>0.78469999999999995</v>
      </c>
    </row>
    <row r="50" spans="1:13">
      <c r="A50" s="868">
        <v>5.7</v>
      </c>
      <c r="B50" s="860">
        <v>0.94620000000000004</v>
      </c>
      <c r="C50" s="860">
        <v>0.94620000000000004</v>
      </c>
      <c r="D50" s="860">
        <v>0.89149999999999996</v>
      </c>
      <c r="E50" s="860">
        <v>0.89149999999999996</v>
      </c>
      <c r="F50" s="860">
        <v>0.89149999999999996</v>
      </c>
      <c r="G50" s="860">
        <v>0.89149999999999996</v>
      </c>
      <c r="H50" s="860">
        <v>0.89149999999999996</v>
      </c>
      <c r="I50" s="860">
        <v>0.78110000000000002</v>
      </c>
      <c r="J50" s="860">
        <v>0.78110000000000002</v>
      </c>
      <c r="K50" s="860">
        <v>0.78110000000000002</v>
      </c>
      <c r="L50" s="860">
        <v>0.78110000000000002</v>
      </c>
      <c r="M50" s="860">
        <v>0.78110000000000002</v>
      </c>
    </row>
    <row r="51" spans="1:13">
      <c r="A51" s="868">
        <v>5.8</v>
      </c>
      <c r="B51" s="860">
        <v>0.94450000000000001</v>
      </c>
      <c r="C51" s="860">
        <v>0.94450000000000001</v>
      </c>
      <c r="D51" s="860">
        <v>0.88919999999999999</v>
      </c>
      <c r="E51" s="860">
        <v>0.88919999999999999</v>
      </c>
      <c r="F51" s="860">
        <v>0.88919999999999999</v>
      </c>
      <c r="G51" s="860">
        <v>0.88919999999999999</v>
      </c>
      <c r="H51" s="860">
        <v>0.88919999999999999</v>
      </c>
      <c r="I51" s="860">
        <v>0.77759999999999996</v>
      </c>
      <c r="J51" s="860">
        <v>0.77759999999999996</v>
      </c>
      <c r="K51" s="860">
        <v>0.77759999999999996</v>
      </c>
      <c r="L51" s="860">
        <v>0.77759999999999996</v>
      </c>
      <c r="M51" s="860">
        <v>0.77759999999999996</v>
      </c>
    </row>
    <row r="52" spans="1:13">
      <c r="A52" s="868">
        <v>5.9</v>
      </c>
      <c r="B52" s="860">
        <v>0.94279999999999997</v>
      </c>
      <c r="C52" s="860">
        <v>0.94279999999999997</v>
      </c>
      <c r="D52" s="860">
        <v>0.88690000000000002</v>
      </c>
      <c r="E52" s="860">
        <v>0.88690000000000002</v>
      </c>
      <c r="F52" s="860">
        <v>0.88690000000000002</v>
      </c>
      <c r="G52" s="860">
        <v>0.88690000000000002</v>
      </c>
      <c r="H52" s="860">
        <v>0.88690000000000002</v>
      </c>
      <c r="I52" s="860">
        <v>0.77410000000000001</v>
      </c>
      <c r="J52" s="860">
        <v>0.77410000000000001</v>
      </c>
      <c r="K52" s="860">
        <v>0.77410000000000001</v>
      </c>
      <c r="L52" s="860">
        <v>0.77410000000000001</v>
      </c>
      <c r="M52" s="860">
        <v>0.77410000000000001</v>
      </c>
    </row>
    <row r="53" spans="1:13">
      <c r="A53" s="851">
        <v>6</v>
      </c>
      <c r="B53" s="860">
        <v>0.94110000000000005</v>
      </c>
      <c r="C53" s="860">
        <v>0.94110000000000005</v>
      </c>
      <c r="D53" s="860">
        <v>0.88460000000000005</v>
      </c>
      <c r="E53" s="860">
        <v>0.88460000000000005</v>
      </c>
      <c r="F53" s="860">
        <v>0.88460000000000005</v>
      </c>
      <c r="G53" s="860">
        <v>0.88460000000000005</v>
      </c>
      <c r="H53" s="860">
        <v>0.88460000000000005</v>
      </c>
      <c r="I53" s="860">
        <v>0.77070000000000005</v>
      </c>
      <c r="J53" s="860">
        <v>0.77070000000000005</v>
      </c>
      <c r="K53" s="860">
        <v>0.77070000000000005</v>
      </c>
      <c r="L53" s="860">
        <v>0.77070000000000005</v>
      </c>
      <c r="M53" s="860">
        <v>0.77070000000000005</v>
      </c>
    </row>
    <row r="54" spans="1:13">
      <c r="A54" s="851">
        <v>6.1</v>
      </c>
      <c r="B54" s="860">
        <v>0.93940000000000001</v>
      </c>
      <c r="C54" s="860">
        <v>0.93940000000000001</v>
      </c>
      <c r="D54" s="860">
        <v>0.88229999999999997</v>
      </c>
      <c r="E54" s="860">
        <v>0.88229999999999997</v>
      </c>
      <c r="F54" s="860">
        <v>0.88229999999999997</v>
      </c>
      <c r="G54" s="860">
        <v>0.88229999999999997</v>
      </c>
      <c r="H54" s="860">
        <v>0.88229999999999997</v>
      </c>
      <c r="I54" s="860">
        <v>0.76729999999999998</v>
      </c>
      <c r="J54" s="860">
        <v>0.76729999999999998</v>
      </c>
      <c r="K54" s="860">
        <v>0.76729999999999998</v>
      </c>
      <c r="L54" s="860">
        <v>0.76729999999999998</v>
      </c>
      <c r="M54" s="860">
        <v>0.76729999999999998</v>
      </c>
    </row>
    <row r="55" spans="1:13">
      <c r="A55" s="851">
        <v>6.2</v>
      </c>
      <c r="B55" s="860">
        <v>0.93769999999999998</v>
      </c>
      <c r="C55" s="860">
        <v>0.93769999999999998</v>
      </c>
      <c r="D55" s="860">
        <v>0.88</v>
      </c>
      <c r="E55" s="860">
        <v>0.88</v>
      </c>
      <c r="F55" s="860">
        <v>0.88</v>
      </c>
      <c r="G55" s="860">
        <v>0.88</v>
      </c>
      <c r="H55" s="860">
        <v>0.88</v>
      </c>
      <c r="I55" s="860">
        <v>0.76400000000000001</v>
      </c>
      <c r="J55" s="860">
        <v>0.76400000000000001</v>
      </c>
      <c r="K55" s="860">
        <v>0.76400000000000001</v>
      </c>
      <c r="L55" s="860">
        <v>0.76400000000000001</v>
      </c>
      <c r="M55" s="860">
        <v>0.76400000000000001</v>
      </c>
    </row>
    <row r="56" spans="1:13">
      <c r="A56" s="851">
        <v>6.3</v>
      </c>
      <c r="B56" s="860">
        <v>0.93610000000000004</v>
      </c>
      <c r="C56" s="860">
        <v>0.93610000000000004</v>
      </c>
      <c r="D56" s="860">
        <v>0.87780000000000002</v>
      </c>
      <c r="E56" s="860">
        <v>0.87780000000000002</v>
      </c>
      <c r="F56" s="860">
        <v>0.87780000000000002</v>
      </c>
      <c r="G56" s="860">
        <v>0.87780000000000002</v>
      </c>
      <c r="H56" s="860">
        <v>0.87780000000000002</v>
      </c>
      <c r="I56" s="860">
        <v>0.76070000000000004</v>
      </c>
      <c r="J56" s="860">
        <v>0.76070000000000004</v>
      </c>
      <c r="K56" s="860">
        <v>0.76070000000000004</v>
      </c>
      <c r="L56" s="860">
        <v>0.76070000000000004</v>
      </c>
      <c r="M56" s="860">
        <v>0.76070000000000004</v>
      </c>
    </row>
    <row r="57" spans="1:13">
      <c r="A57" s="851">
        <v>6.4</v>
      </c>
      <c r="B57" s="860">
        <v>0.9345</v>
      </c>
      <c r="C57" s="860">
        <v>0.9345</v>
      </c>
      <c r="D57" s="860">
        <v>0.87560000000000004</v>
      </c>
      <c r="E57" s="860">
        <v>0.87560000000000004</v>
      </c>
      <c r="F57" s="860">
        <v>0.87560000000000004</v>
      </c>
      <c r="G57" s="860">
        <v>0.87560000000000004</v>
      </c>
      <c r="H57" s="860">
        <v>0.87560000000000004</v>
      </c>
      <c r="I57" s="860">
        <v>0.75749999999999995</v>
      </c>
      <c r="J57" s="860">
        <v>0.75749999999999995</v>
      </c>
      <c r="K57" s="860">
        <v>0.75749999999999995</v>
      </c>
      <c r="L57" s="860">
        <v>0.75749999999999995</v>
      </c>
      <c r="M57" s="860">
        <v>0.75749999999999995</v>
      </c>
    </row>
    <row r="58" spans="1:13">
      <c r="A58" s="851">
        <v>6.5</v>
      </c>
      <c r="B58" s="860">
        <v>0.93289999999999995</v>
      </c>
      <c r="C58" s="860">
        <v>0.93289999999999995</v>
      </c>
      <c r="D58" s="860">
        <v>0.87339999999999995</v>
      </c>
      <c r="E58" s="860">
        <v>0.87339999999999995</v>
      </c>
      <c r="F58" s="860">
        <v>0.87339999999999995</v>
      </c>
      <c r="G58" s="860">
        <v>0.87339999999999995</v>
      </c>
      <c r="H58" s="860">
        <v>0.87339999999999995</v>
      </c>
      <c r="I58" s="860">
        <v>0.75429999999999997</v>
      </c>
      <c r="J58" s="860">
        <v>0.75429999999999997</v>
      </c>
      <c r="K58" s="860">
        <v>0.75429999999999997</v>
      </c>
      <c r="L58" s="860">
        <v>0.75429999999999997</v>
      </c>
      <c r="M58" s="860">
        <v>0.75429999999999997</v>
      </c>
    </row>
    <row r="59" spans="1:13">
      <c r="A59" s="868">
        <v>6.6</v>
      </c>
      <c r="B59" s="860">
        <v>0.93130000000000002</v>
      </c>
      <c r="C59" s="860">
        <v>0.93130000000000002</v>
      </c>
      <c r="D59" s="860">
        <v>0.87119999999999997</v>
      </c>
      <c r="E59" s="860">
        <v>0.87119999999999997</v>
      </c>
      <c r="F59" s="860">
        <v>0.87119999999999997</v>
      </c>
      <c r="G59" s="860">
        <v>0.87119999999999997</v>
      </c>
      <c r="H59" s="860">
        <v>0.87119999999999997</v>
      </c>
      <c r="I59" s="860">
        <v>0.75119999999999998</v>
      </c>
      <c r="J59" s="860">
        <v>0.75119999999999998</v>
      </c>
      <c r="K59" s="860">
        <v>0.75119999999999998</v>
      </c>
      <c r="L59" s="860">
        <v>0.75119999999999998</v>
      </c>
      <c r="M59" s="860">
        <v>0.75119999999999998</v>
      </c>
    </row>
    <row r="60" spans="1:13">
      <c r="A60" s="851">
        <v>6.7</v>
      </c>
      <c r="B60" s="860">
        <v>0.92969999999999997</v>
      </c>
      <c r="C60" s="860">
        <v>0.92969999999999997</v>
      </c>
      <c r="D60" s="860">
        <v>0.86899999999999999</v>
      </c>
      <c r="E60" s="860">
        <v>0.86899999999999999</v>
      </c>
      <c r="F60" s="860">
        <v>0.86899999999999999</v>
      </c>
      <c r="G60" s="860">
        <v>0.86899999999999999</v>
      </c>
      <c r="H60" s="860">
        <v>0.86899999999999999</v>
      </c>
      <c r="I60" s="860">
        <v>0.74809999999999999</v>
      </c>
      <c r="J60" s="860">
        <v>0.74809999999999999</v>
      </c>
      <c r="K60" s="860">
        <v>0.74809999999999999</v>
      </c>
      <c r="L60" s="860">
        <v>0.74809999999999999</v>
      </c>
      <c r="M60" s="860">
        <v>0.74809999999999999</v>
      </c>
    </row>
    <row r="61" spans="1:13">
      <c r="A61" s="851">
        <v>6.8</v>
      </c>
      <c r="B61" s="860">
        <v>0.92820000000000003</v>
      </c>
      <c r="C61" s="860">
        <v>0.92820000000000003</v>
      </c>
      <c r="D61" s="860">
        <v>0.8669</v>
      </c>
      <c r="E61" s="860">
        <v>0.8669</v>
      </c>
      <c r="F61" s="860">
        <v>0.8669</v>
      </c>
      <c r="G61" s="860">
        <v>0.8669</v>
      </c>
      <c r="H61" s="860">
        <v>0.8669</v>
      </c>
      <c r="I61" s="860">
        <v>0.74509999999999998</v>
      </c>
      <c r="J61" s="860">
        <v>0.74509999999999998</v>
      </c>
      <c r="K61" s="860">
        <v>0.74509999999999998</v>
      </c>
      <c r="L61" s="860">
        <v>0.74509999999999998</v>
      </c>
      <c r="M61" s="860">
        <v>0.74509999999999998</v>
      </c>
    </row>
    <row r="62" spans="1:13">
      <c r="A62" s="851">
        <v>6.9</v>
      </c>
      <c r="B62" s="860">
        <v>0.92669999999999997</v>
      </c>
      <c r="C62" s="860">
        <v>0.92669999999999997</v>
      </c>
      <c r="D62" s="860">
        <v>0.86480000000000001</v>
      </c>
      <c r="E62" s="860">
        <v>0.86480000000000001</v>
      </c>
      <c r="F62" s="860">
        <v>0.86480000000000001</v>
      </c>
      <c r="G62" s="860">
        <v>0.86480000000000001</v>
      </c>
      <c r="H62" s="860">
        <v>0.86480000000000001</v>
      </c>
      <c r="I62" s="860">
        <v>0.74209999999999998</v>
      </c>
      <c r="J62" s="860">
        <v>0.74209999999999998</v>
      </c>
      <c r="K62" s="860">
        <v>0.74209999999999998</v>
      </c>
      <c r="L62" s="860">
        <v>0.74209999999999998</v>
      </c>
      <c r="M62" s="860">
        <v>0.74209999999999998</v>
      </c>
    </row>
    <row r="63" spans="1:13">
      <c r="A63" s="851">
        <v>7</v>
      </c>
      <c r="B63" s="860">
        <v>0.92520000000000002</v>
      </c>
      <c r="C63" s="860">
        <v>0.92520000000000002</v>
      </c>
      <c r="D63" s="860">
        <v>0.86270000000000002</v>
      </c>
      <c r="E63" s="860">
        <v>0.86270000000000002</v>
      </c>
      <c r="F63" s="860">
        <v>0.86270000000000002</v>
      </c>
      <c r="G63" s="860">
        <v>0.86270000000000002</v>
      </c>
      <c r="H63" s="860">
        <v>0.86270000000000002</v>
      </c>
      <c r="I63" s="860">
        <v>0.73919999999999997</v>
      </c>
      <c r="J63" s="860">
        <v>0.73919999999999997</v>
      </c>
      <c r="K63" s="860">
        <v>0.73919999999999997</v>
      </c>
      <c r="L63" s="860">
        <v>0.73919999999999997</v>
      </c>
      <c r="M63" s="860">
        <v>0.73919999999999997</v>
      </c>
    </row>
    <row r="64" spans="1:13">
      <c r="A64" s="851">
        <v>7.1</v>
      </c>
      <c r="B64" s="860">
        <v>0.92369999999999997</v>
      </c>
      <c r="C64" s="860">
        <v>0.92369999999999997</v>
      </c>
      <c r="D64" s="860">
        <v>0.86060000000000003</v>
      </c>
      <c r="E64" s="860">
        <v>0.86060000000000003</v>
      </c>
      <c r="F64" s="860">
        <v>0.86060000000000003</v>
      </c>
      <c r="G64" s="860">
        <v>0.86060000000000003</v>
      </c>
      <c r="H64" s="860">
        <v>0.86060000000000003</v>
      </c>
      <c r="I64" s="860">
        <v>0.73629999999999995</v>
      </c>
      <c r="J64" s="860">
        <v>0.73629999999999995</v>
      </c>
      <c r="K64" s="860">
        <v>0.73629999999999995</v>
      </c>
      <c r="L64" s="860">
        <v>0.73629999999999995</v>
      </c>
      <c r="M64" s="860">
        <v>0.73629999999999995</v>
      </c>
    </row>
    <row r="65" spans="1:13">
      <c r="A65" s="851">
        <v>7.2</v>
      </c>
      <c r="B65" s="860">
        <v>0.92220000000000002</v>
      </c>
      <c r="C65" s="860">
        <v>0.92220000000000002</v>
      </c>
      <c r="D65" s="860">
        <v>0.85850000000000004</v>
      </c>
      <c r="E65" s="860">
        <v>0.85850000000000004</v>
      </c>
      <c r="F65" s="860">
        <v>0.85850000000000004</v>
      </c>
      <c r="G65" s="860">
        <v>0.85850000000000004</v>
      </c>
      <c r="H65" s="860">
        <v>0.85850000000000004</v>
      </c>
      <c r="I65" s="860">
        <v>0.73350000000000004</v>
      </c>
      <c r="J65" s="860">
        <v>0.73350000000000004</v>
      </c>
      <c r="K65" s="860">
        <v>0.73350000000000004</v>
      </c>
      <c r="L65" s="860">
        <v>0.73350000000000004</v>
      </c>
      <c r="M65" s="860">
        <v>0.73350000000000004</v>
      </c>
    </row>
    <row r="66" spans="1:13">
      <c r="A66" s="851">
        <v>7.3</v>
      </c>
      <c r="B66" s="860">
        <v>0.92069999999999996</v>
      </c>
      <c r="C66" s="860">
        <v>0.92069999999999996</v>
      </c>
      <c r="D66" s="860">
        <v>0.85650000000000004</v>
      </c>
      <c r="E66" s="860">
        <v>0.85650000000000004</v>
      </c>
      <c r="F66" s="860">
        <v>0.85650000000000004</v>
      </c>
      <c r="G66" s="860">
        <v>0.85650000000000004</v>
      </c>
      <c r="H66" s="860">
        <v>0.85650000000000004</v>
      </c>
      <c r="I66" s="860">
        <v>0.73070000000000002</v>
      </c>
      <c r="J66" s="860">
        <v>0.73070000000000002</v>
      </c>
      <c r="K66" s="860">
        <v>0.73070000000000002</v>
      </c>
      <c r="L66" s="860">
        <v>0.73070000000000002</v>
      </c>
      <c r="M66" s="860">
        <v>0.73070000000000002</v>
      </c>
    </row>
    <row r="67" spans="1:13">
      <c r="A67" s="851">
        <v>7.4</v>
      </c>
      <c r="B67" s="860">
        <v>0.91930000000000001</v>
      </c>
      <c r="C67" s="860">
        <v>0.91930000000000001</v>
      </c>
      <c r="D67" s="860">
        <v>0.85450000000000004</v>
      </c>
      <c r="E67" s="860">
        <v>0.85450000000000004</v>
      </c>
      <c r="F67" s="860">
        <v>0.85450000000000004</v>
      </c>
      <c r="G67" s="860">
        <v>0.85450000000000004</v>
      </c>
      <c r="H67" s="860">
        <v>0.85450000000000004</v>
      </c>
      <c r="I67" s="860">
        <v>0.72799999999999998</v>
      </c>
      <c r="J67" s="860">
        <v>0.72799999999999998</v>
      </c>
      <c r="K67" s="860">
        <v>0.72799999999999998</v>
      </c>
      <c r="L67" s="860">
        <v>0.72799999999999998</v>
      </c>
      <c r="M67" s="860">
        <v>0.72799999999999998</v>
      </c>
    </row>
    <row r="68" spans="1:13">
      <c r="A68" s="851">
        <v>7.5</v>
      </c>
      <c r="B68" s="860">
        <v>0.91790000000000005</v>
      </c>
      <c r="C68" s="860">
        <v>0.91790000000000005</v>
      </c>
      <c r="D68" s="860">
        <v>0.85250000000000004</v>
      </c>
      <c r="E68" s="860">
        <v>0.85250000000000004</v>
      </c>
      <c r="F68" s="860">
        <v>0.85250000000000004</v>
      </c>
      <c r="G68" s="860">
        <v>0.85250000000000004</v>
      </c>
      <c r="H68" s="860">
        <v>0.85250000000000004</v>
      </c>
      <c r="I68" s="860">
        <v>0.72529999999999994</v>
      </c>
      <c r="J68" s="860">
        <v>0.72529999999999994</v>
      </c>
      <c r="K68" s="860">
        <v>0.72529999999999994</v>
      </c>
      <c r="L68" s="860">
        <v>0.72529999999999994</v>
      </c>
      <c r="M68" s="860">
        <v>0.72529999999999994</v>
      </c>
    </row>
    <row r="69" spans="1:13">
      <c r="A69" s="851">
        <v>7.6</v>
      </c>
      <c r="B69" s="860">
        <v>0.91649999999999998</v>
      </c>
      <c r="C69" s="860">
        <v>0.91649999999999998</v>
      </c>
      <c r="D69" s="860">
        <v>0.85050000000000003</v>
      </c>
      <c r="E69" s="860">
        <v>0.85050000000000003</v>
      </c>
      <c r="F69" s="860">
        <v>0.85050000000000003</v>
      </c>
      <c r="G69" s="860">
        <v>0.85050000000000003</v>
      </c>
      <c r="H69" s="860">
        <v>0.85050000000000003</v>
      </c>
      <c r="I69" s="860">
        <v>0.72260000000000002</v>
      </c>
      <c r="J69" s="860">
        <v>0.72260000000000002</v>
      </c>
      <c r="K69" s="860">
        <v>0.72260000000000002</v>
      </c>
      <c r="L69" s="860">
        <v>0.72260000000000002</v>
      </c>
      <c r="M69" s="860">
        <v>0.72260000000000002</v>
      </c>
    </row>
    <row r="70" spans="1:13">
      <c r="A70" s="851">
        <v>7.7</v>
      </c>
      <c r="B70" s="860">
        <v>0.91510000000000002</v>
      </c>
      <c r="C70" s="860">
        <v>0.91510000000000002</v>
      </c>
      <c r="D70" s="860">
        <v>0.84850000000000003</v>
      </c>
      <c r="E70" s="860">
        <v>0.84850000000000003</v>
      </c>
      <c r="F70" s="860">
        <v>0.84850000000000003</v>
      </c>
      <c r="G70" s="860">
        <v>0.84850000000000003</v>
      </c>
      <c r="H70" s="860">
        <v>0.84850000000000003</v>
      </c>
      <c r="I70" s="860">
        <v>0.72</v>
      </c>
      <c r="J70" s="860">
        <v>0.72</v>
      </c>
      <c r="K70" s="860">
        <v>0.72</v>
      </c>
      <c r="L70" s="860">
        <v>0.72</v>
      </c>
      <c r="M70" s="860">
        <v>0.72</v>
      </c>
    </row>
    <row r="71" spans="1:13">
      <c r="A71" s="851">
        <v>7.8</v>
      </c>
      <c r="B71" s="860">
        <v>0.91369999999999996</v>
      </c>
      <c r="C71" s="860">
        <v>0.91369999999999996</v>
      </c>
      <c r="D71" s="860">
        <v>0.84660000000000002</v>
      </c>
      <c r="E71" s="860">
        <v>0.84660000000000002</v>
      </c>
      <c r="F71" s="860">
        <v>0.84660000000000002</v>
      </c>
      <c r="G71" s="860">
        <v>0.84660000000000002</v>
      </c>
      <c r="H71" s="860">
        <v>0.84660000000000002</v>
      </c>
      <c r="I71" s="860">
        <v>0.71740000000000004</v>
      </c>
      <c r="J71" s="860">
        <v>0.71740000000000004</v>
      </c>
      <c r="K71" s="860">
        <v>0.71740000000000004</v>
      </c>
      <c r="L71" s="860">
        <v>0.71740000000000004</v>
      </c>
      <c r="M71" s="860">
        <v>0.71740000000000004</v>
      </c>
    </row>
    <row r="72" spans="1:13">
      <c r="A72" s="851">
        <v>7.9</v>
      </c>
      <c r="B72" s="860">
        <v>0.9123</v>
      </c>
      <c r="C72" s="860">
        <v>0.9123</v>
      </c>
      <c r="D72" s="860">
        <v>0.84470000000000001</v>
      </c>
      <c r="E72" s="860">
        <v>0.84470000000000001</v>
      </c>
      <c r="F72" s="860">
        <v>0.84470000000000001</v>
      </c>
      <c r="G72" s="860">
        <v>0.84470000000000001</v>
      </c>
      <c r="H72" s="860">
        <v>0.84470000000000001</v>
      </c>
      <c r="I72" s="860">
        <v>0.71479999999999999</v>
      </c>
      <c r="J72" s="860">
        <v>0.71479999999999999</v>
      </c>
      <c r="K72" s="860">
        <v>0.71479999999999999</v>
      </c>
      <c r="L72" s="860">
        <v>0.71479999999999999</v>
      </c>
      <c r="M72" s="860">
        <v>0.71479999999999999</v>
      </c>
    </row>
    <row r="73" spans="1:13">
      <c r="A73" s="851">
        <v>8</v>
      </c>
      <c r="B73" s="860">
        <v>0.91090000000000004</v>
      </c>
      <c r="C73" s="860">
        <v>0.91090000000000004</v>
      </c>
      <c r="D73" s="860">
        <v>0.84279999999999999</v>
      </c>
      <c r="E73" s="860">
        <v>0.84279999999999999</v>
      </c>
      <c r="F73" s="860">
        <v>0.84279999999999999</v>
      </c>
      <c r="G73" s="860">
        <v>0.84279999999999999</v>
      </c>
      <c r="H73" s="860">
        <v>0.84279999999999999</v>
      </c>
      <c r="I73" s="860">
        <v>0.71230000000000004</v>
      </c>
      <c r="J73" s="860">
        <v>0.71230000000000004</v>
      </c>
      <c r="K73" s="860">
        <v>0.71230000000000004</v>
      </c>
      <c r="L73" s="860">
        <v>0.71230000000000004</v>
      </c>
      <c r="M73" s="860">
        <v>0.71230000000000004</v>
      </c>
    </row>
    <row r="74" spans="1:13">
      <c r="A74" s="851">
        <v>8.1</v>
      </c>
      <c r="B74" s="860">
        <v>0.90959999999999996</v>
      </c>
      <c r="C74" s="860">
        <v>0.90959999999999996</v>
      </c>
      <c r="D74" s="860">
        <v>0.84089999999999998</v>
      </c>
      <c r="E74" s="860">
        <v>0.84089999999999998</v>
      </c>
      <c r="F74" s="860">
        <v>0.84089999999999998</v>
      </c>
      <c r="G74" s="860">
        <v>0.84089999999999998</v>
      </c>
      <c r="H74" s="860">
        <v>0.84089999999999998</v>
      </c>
      <c r="I74" s="860">
        <v>0.70979999999999999</v>
      </c>
      <c r="J74" s="860">
        <v>0.70979999999999999</v>
      </c>
      <c r="K74" s="860">
        <v>0.70979999999999999</v>
      </c>
      <c r="L74" s="860">
        <v>0.70979999999999999</v>
      </c>
      <c r="M74" s="860">
        <v>0.70979999999999999</v>
      </c>
    </row>
    <row r="75" spans="1:13">
      <c r="A75" s="851">
        <v>8.1999999999999993</v>
      </c>
      <c r="B75" s="860">
        <v>0.9083</v>
      </c>
      <c r="C75" s="860">
        <v>0.9083</v>
      </c>
      <c r="D75" s="860">
        <v>0.83899999999999997</v>
      </c>
      <c r="E75" s="860">
        <v>0.83899999999999997</v>
      </c>
      <c r="F75" s="860">
        <v>0.83899999999999997</v>
      </c>
      <c r="G75" s="860">
        <v>0.83899999999999997</v>
      </c>
      <c r="H75" s="860">
        <v>0.83899999999999997</v>
      </c>
      <c r="I75" s="860">
        <v>0.70730000000000004</v>
      </c>
      <c r="J75" s="860">
        <v>0.70730000000000004</v>
      </c>
      <c r="K75" s="860">
        <v>0.70730000000000004</v>
      </c>
      <c r="L75" s="860">
        <v>0.70730000000000004</v>
      </c>
      <c r="M75" s="860">
        <v>0.70730000000000004</v>
      </c>
    </row>
    <row r="76" spans="1:13">
      <c r="A76" s="851">
        <v>8.3000000000000007</v>
      </c>
      <c r="B76" s="860">
        <v>0.90700000000000003</v>
      </c>
      <c r="C76" s="860">
        <v>0.90700000000000003</v>
      </c>
      <c r="D76" s="860">
        <v>0.83720000000000006</v>
      </c>
      <c r="E76" s="860">
        <v>0.83720000000000006</v>
      </c>
      <c r="F76" s="860">
        <v>0.83720000000000006</v>
      </c>
      <c r="G76" s="860">
        <v>0.83720000000000006</v>
      </c>
      <c r="H76" s="860">
        <v>0.83720000000000006</v>
      </c>
      <c r="I76" s="860">
        <v>0.70489999999999997</v>
      </c>
      <c r="J76" s="860">
        <v>0.70489999999999997</v>
      </c>
      <c r="K76" s="860">
        <v>0.70489999999999997</v>
      </c>
      <c r="L76" s="860">
        <v>0.70489999999999997</v>
      </c>
      <c r="M76" s="860">
        <v>0.70489999999999997</v>
      </c>
    </row>
    <row r="77" spans="1:13">
      <c r="A77" s="851">
        <v>8.4</v>
      </c>
      <c r="B77" s="860">
        <v>0.90569999999999995</v>
      </c>
      <c r="C77" s="860">
        <v>0.90569999999999995</v>
      </c>
      <c r="D77" s="860">
        <v>0.83540000000000003</v>
      </c>
      <c r="E77" s="860">
        <v>0.83540000000000003</v>
      </c>
      <c r="F77" s="860">
        <v>0.83540000000000003</v>
      </c>
      <c r="G77" s="860">
        <v>0.83540000000000003</v>
      </c>
      <c r="H77" s="860">
        <v>0.83540000000000003</v>
      </c>
      <c r="I77" s="860">
        <v>0.70250000000000001</v>
      </c>
      <c r="J77" s="860">
        <v>0.70250000000000001</v>
      </c>
      <c r="K77" s="860">
        <v>0.70250000000000001</v>
      </c>
      <c r="L77" s="860">
        <v>0.70250000000000001</v>
      </c>
      <c r="M77" s="860">
        <v>0.70250000000000001</v>
      </c>
    </row>
    <row r="78" spans="1:13">
      <c r="A78" s="851">
        <v>8.5</v>
      </c>
      <c r="B78" s="860">
        <v>0.90439999999999998</v>
      </c>
      <c r="C78" s="860">
        <v>0.90439999999999998</v>
      </c>
      <c r="D78" s="860">
        <v>0.83360000000000001</v>
      </c>
      <c r="E78" s="860">
        <v>0.83360000000000001</v>
      </c>
      <c r="F78" s="860">
        <v>0.83360000000000001</v>
      </c>
      <c r="G78" s="860">
        <v>0.83360000000000001</v>
      </c>
      <c r="H78" s="860">
        <v>0.83360000000000001</v>
      </c>
      <c r="I78" s="860">
        <v>0.70009999999999994</v>
      </c>
      <c r="J78" s="860">
        <v>0.70009999999999994</v>
      </c>
      <c r="K78" s="860">
        <v>0.70009999999999994</v>
      </c>
      <c r="L78" s="860">
        <v>0.70009999999999994</v>
      </c>
      <c r="M78" s="860">
        <v>0.70009999999999994</v>
      </c>
    </row>
    <row r="79" spans="1:13">
      <c r="A79" s="851">
        <v>8.6</v>
      </c>
      <c r="B79" s="860">
        <v>0.90310000000000001</v>
      </c>
      <c r="C79" s="860">
        <v>0.90310000000000001</v>
      </c>
      <c r="D79" s="860">
        <v>0.83179999999999998</v>
      </c>
      <c r="E79" s="860">
        <v>0.83179999999999998</v>
      </c>
      <c r="F79" s="860">
        <v>0.83179999999999998</v>
      </c>
      <c r="G79" s="860">
        <v>0.83179999999999998</v>
      </c>
      <c r="H79" s="860">
        <v>0.83179999999999998</v>
      </c>
      <c r="I79" s="860">
        <v>0.69779999999999998</v>
      </c>
      <c r="J79" s="860">
        <v>0.69779999999999998</v>
      </c>
      <c r="K79" s="860">
        <v>0.69779999999999998</v>
      </c>
      <c r="L79" s="860">
        <v>0.69779999999999998</v>
      </c>
      <c r="M79" s="860">
        <v>0.69779999999999998</v>
      </c>
    </row>
    <row r="80" spans="1:13">
      <c r="A80" s="851">
        <v>8.6999999999999993</v>
      </c>
      <c r="B80" s="860">
        <v>0.90180000000000005</v>
      </c>
      <c r="C80" s="860">
        <v>0.90180000000000005</v>
      </c>
      <c r="D80" s="860">
        <v>0.83</v>
      </c>
      <c r="E80" s="860">
        <v>0.83</v>
      </c>
      <c r="F80" s="860">
        <v>0.83</v>
      </c>
      <c r="G80" s="860">
        <v>0.83</v>
      </c>
      <c r="H80" s="860">
        <v>0.83</v>
      </c>
      <c r="I80" s="860">
        <v>0.69550000000000001</v>
      </c>
      <c r="J80" s="860">
        <v>0.69550000000000001</v>
      </c>
      <c r="K80" s="860">
        <v>0.69550000000000001</v>
      </c>
      <c r="L80" s="860">
        <v>0.69550000000000001</v>
      </c>
      <c r="M80" s="860">
        <v>0.69550000000000001</v>
      </c>
    </row>
    <row r="81" spans="1:14">
      <c r="A81" s="851">
        <v>8.8000000000000007</v>
      </c>
      <c r="B81" s="860">
        <v>0.90059999999999996</v>
      </c>
      <c r="C81" s="860">
        <v>0.90059999999999996</v>
      </c>
      <c r="D81" s="860">
        <v>0.82830000000000004</v>
      </c>
      <c r="E81" s="860">
        <v>0.82830000000000004</v>
      </c>
      <c r="F81" s="860">
        <v>0.82830000000000004</v>
      </c>
      <c r="G81" s="860">
        <v>0.82830000000000004</v>
      </c>
      <c r="H81" s="860">
        <v>0.82830000000000004</v>
      </c>
      <c r="I81" s="860">
        <v>0.69320000000000004</v>
      </c>
      <c r="J81" s="860">
        <v>0.69320000000000004</v>
      </c>
      <c r="K81" s="860">
        <v>0.69320000000000004</v>
      </c>
      <c r="L81" s="860">
        <v>0.69320000000000004</v>
      </c>
      <c r="M81" s="860">
        <v>0.69320000000000004</v>
      </c>
    </row>
    <row r="82" spans="1:14">
      <c r="A82" s="851">
        <v>8.9</v>
      </c>
      <c r="B82" s="860">
        <v>0.89939999999999998</v>
      </c>
      <c r="C82" s="860">
        <v>0.89939999999999998</v>
      </c>
      <c r="D82" s="860">
        <v>0.8266</v>
      </c>
      <c r="E82" s="860">
        <v>0.8266</v>
      </c>
      <c r="F82" s="860">
        <v>0.8266</v>
      </c>
      <c r="G82" s="860">
        <v>0.8266</v>
      </c>
      <c r="H82" s="860">
        <v>0.8266</v>
      </c>
      <c r="I82" s="860">
        <v>0.69099999999999995</v>
      </c>
      <c r="J82" s="860">
        <v>0.69099999999999995</v>
      </c>
      <c r="K82" s="860">
        <v>0.69099999999999995</v>
      </c>
      <c r="L82" s="860">
        <v>0.69099999999999995</v>
      </c>
      <c r="M82" s="860">
        <v>0.69099999999999995</v>
      </c>
    </row>
    <row r="83" spans="1:14">
      <c r="A83" s="851">
        <v>9</v>
      </c>
      <c r="B83" s="860">
        <v>0.8982</v>
      </c>
      <c r="C83" s="860">
        <v>0.8982</v>
      </c>
      <c r="D83" s="860">
        <v>0.82489999999999997</v>
      </c>
      <c r="E83" s="860">
        <v>0.82489999999999997</v>
      </c>
      <c r="F83" s="860">
        <v>0.82489999999999997</v>
      </c>
      <c r="G83" s="860">
        <v>0.82489999999999997</v>
      </c>
      <c r="H83" s="860">
        <v>0.82489999999999997</v>
      </c>
      <c r="I83" s="860">
        <v>0.68879999999999997</v>
      </c>
      <c r="J83" s="860">
        <v>0.68879999999999997</v>
      </c>
      <c r="K83" s="860">
        <v>0.68879999999999997</v>
      </c>
      <c r="L83" s="860">
        <v>0.68879999999999997</v>
      </c>
      <c r="M83" s="860">
        <v>0.68879999999999997</v>
      </c>
    </row>
    <row r="84" spans="1:14">
      <c r="A84" s="851">
        <v>9.1</v>
      </c>
      <c r="B84" s="860">
        <v>0.89700000000000002</v>
      </c>
      <c r="C84" s="860">
        <v>0.89700000000000002</v>
      </c>
      <c r="D84" s="860">
        <v>0.82320000000000004</v>
      </c>
      <c r="E84" s="860">
        <v>0.82320000000000004</v>
      </c>
      <c r="F84" s="860">
        <v>0.82320000000000004</v>
      </c>
      <c r="G84" s="860">
        <v>0.82320000000000004</v>
      </c>
      <c r="H84" s="860">
        <v>0.82320000000000004</v>
      </c>
      <c r="I84" s="860">
        <v>0.68659999999999999</v>
      </c>
      <c r="J84" s="860">
        <v>0.68659999999999999</v>
      </c>
      <c r="K84" s="860">
        <v>0.68659999999999999</v>
      </c>
      <c r="L84" s="860">
        <v>0.68659999999999999</v>
      </c>
      <c r="M84" s="860">
        <v>0.68659999999999999</v>
      </c>
    </row>
    <row r="85" spans="1:14">
      <c r="A85" s="851">
        <v>9.1999999999999993</v>
      </c>
      <c r="B85" s="860">
        <v>0.89580000000000004</v>
      </c>
      <c r="C85" s="860">
        <v>0.89580000000000004</v>
      </c>
      <c r="D85" s="860">
        <v>0.82150000000000001</v>
      </c>
      <c r="E85" s="860">
        <v>0.82150000000000001</v>
      </c>
      <c r="F85" s="860">
        <v>0.82150000000000001</v>
      </c>
      <c r="G85" s="860">
        <v>0.82150000000000001</v>
      </c>
      <c r="H85" s="860">
        <v>0.82150000000000001</v>
      </c>
      <c r="I85" s="860">
        <v>0.6845</v>
      </c>
      <c r="J85" s="860">
        <v>0.6845</v>
      </c>
      <c r="K85" s="860">
        <v>0.6845</v>
      </c>
      <c r="L85" s="860">
        <v>0.6845</v>
      </c>
      <c r="M85" s="860">
        <v>0.6845</v>
      </c>
    </row>
    <row r="86" spans="1:14">
      <c r="A86" s="851">
        <v>9.3000000000000007</v>
      </c>
      <c r="B86" s="860">
        <v>0.89459999999999995</v>
      </c>
      <c r="C86" s="860">
        <v>0.89459999999999995</v>
      </c>
      <c r="D86" s="860">
        <v>0.81989999999999996</v>
      </c>
      <c r="E86" s="860">
        <v>0.81989999999999996</v>
      </c>
      <c r="F86" s="860">
        <v>0.81989999999999996</v>
      </c>
      <c r="G86" s="860">
        <v>0.81989999999999996</v>
      </c>
      <c r="H86" s="860">
        <v>0.81989999999999996</v>
      </c>
      <c r="I86" s="860">
        <v>0.68240000000000001</v>
      </c>
      <c r="J86" s="860">
        <v>0.68240000000000001</v>
      </c>
      <c r="K86" s="860">
        <v>0.68240000000000001</v>
      </c>
      <c r="L86" s="860">
        <v>0.68240000000000001</v>
      </c>
      <c r="M86" s="860">
        <v>0.68240000000000001</v>
      </c>
    </row>
    <row r="87" spans="1:14">
      <c r="A87" s="851">
        <v>9.4</v>
      </c>
      <c r="B87" s="860">
        <v>0.89339999999999997</v>
      </c>
      <c r="C87" s="860">
        <v>0.89339999999999997</v>
      </c>
      <c r="D87" s="860">
        <v>0.81830000000000003</v>
      </c>
      <c r="E87" s="860">
        <v>0.81830000000000003</v>
      </c>
      <c r="F87" s="860">
        <v>0.81830000000000003</v>
      </c>
      <c r="G87" s="860">
        <v>0.81830000000000003</v>
      </c>
      <c r="H87" s="860">
        <v>0.81830000000000003</v>
      </c>
      <c r="I87" s="860">
        <v>0.68030000000000002</v>
      </c>
      <c r="J87" s="860">
        <v>0.68030000000000002</v>
      </c>
      <c r="K87" s="860">
        <v>0.68030000000000002</v>
      </c>
      <c r="L87" s="860">
        <v>0.68030000000000002</v>
      </c>
      <c r="M87" s="860">
        <v>0.68030000000000002</v>
      </c>
    </row>
    <row r="88" spans="1:14">
      <c r="A88" s="851">
        <v>9.5</v>
      </c>
      <c r="B88" s="860">
        <v>0.89229999999999998</v>
      </c>
      <c r="C88" s="860">
        <v>0.89229999999999998</v>
      </c>
      <c r="D88" s="860">
        <v>0.81669999999999998</v>
      </c>
      <c r="E88" s="860">
        <v>0.81669999999999998</v>
      </c>
      <c r="F88" s="860">
        <v>0.81669999999999998</v>
      </c>
      <c r="G88" s="860">
        <v>0.81669999999999998</v>
      </c>
      <c r="H88" s="860">
        <v>0.81669999999999998</v>
      </c>
      <c r="I88" s="860">
        <v>0.67830000000000001</v>
      </c>
      <c r="J88" s="860">
        <v>0.67830000000000001</v>
      </c>
      <c r="K88" s="860">
        <v>0.67830000000000001</v>
      </c>
      <c r="L88" s="860">
        <v>0.67830000000000001</v>
      </c>
      <c r="M88" s="860">
        <v>0.67830000000000001</v>
      </c>
    </row>
    <row r="89" spans="1:14">
      <c r="A89" s="851">
        <v>9.6</v>
      </c>
      <c r="B89" s="860">
        <v>0.89119999999999999</v>
      </c>
      <c r="C89" s="860">
        <v>0.89119999999999999</v>
      </c>
      <c r="D89" s="860">
        <v>0.81510000000000005</v>
      </c>
      <c r="E89" s="860">
        <v>0.81510000000000005</v>
      </c>
      <c r="F89" s="860">
        <v>0.81510000000000005</v>
      </c>
      <c r="G89" s="860">
        <v>0.81510000000000005</v>
      </c>
      <c r="H89" s="860">
        <v>0.81510000000000005</v>
      </c>
      <c r="I89" s="860">
        <v>0.67630000000000001</v>
      </c>
      <c r="J89" s="860">
        <v>0.67630000000000001</v>
      </c>
      <c r="K89" s="860">
        <v>0.67630000000000001</v>
      </c>
      <c r="L89" s="860">
        <v>0.67630000000000001</v>
      </c>
      <c r="M89" s="860">
        <v>0.67630000000000001</v>
      </c>
    </row>
    <row r="90" spans="1:14">
      <c r="A90" s="851">
        <v>9.6999999999999993</v>
      </c>
      <c r="B90" s="860">
        <v>0.8901</v>
      </c>
      <c r="C90" s="860">
        <v>0.8901</v>
      </c>
      <c r="D90" s="860">
        <v>0.8135</v>
      </c>
      <c r="E90" s="860">
        <v>0.8135</v>
      </c>
      <c r="F90" s="860">
        <v>0.8135</v>
      </c>
      <c r="G90" s="860">
        <v>0.8135</v>
      </c>
      <c r="H90" s="860">
        <v>0.8135</v>
      </c>
      <c r="I90" s="860">
        <v>0.67430000000000001</v>
      </c>
      <c r="J90" s="860">
        <v>0.67430000000000001</v>
      </c>
      <c r="K90" s="860">
        <v>0.67430000000000001</v>
      </c>
      <c r="L90" s="860">
        <v>0.67430000000000001</v>
      </c>
      <c r="M90" s="860">
        <v>0.67430000000000001</v>
      </c>
    </row>
    <row r="91" spans="1:14">
      <c r="A91" s="851">
        <v>9.8000000000000007</v>
      </c>
      <c r="B91" s="860">
        <v>0.88900000000000001</v>
      </c>
      <c r="C91" s="860">
        <v>0.88900000000000001</v>
      </c>
      <c r="D91" s="860">
        <v>0.81200000000000006</v>
      </c>
      <c r="E91" s="860">
        <v>0.81200000000000006</v>
      </c>
      <c r="F91" s="860">
        <v>0.81200000000000006</v>
      </c>
      <c r="G91" s="860">
        <v>0.81200000000000006</v>
      </c>
      <c r="H91" s="860">
        <v>0.81200000000000006</v>
      </c>
      <c r="I91" s="860">
        <v>0.6724</v>
      </c>
      <c r="J91" s="860">
        <v>0.6724</v>
      </c>
      <c r="K91" s="860">
        <v>0.6724</v>
      </c>
      <c r="L91" s="860">
        <v>0.6724</v>
      </c>
      <c r="M91" s="860">
        <v>0.6724</v>
      </c>
    </row>
    <row r="92" spans="1:14">
      <c r="A92" s="868">
        <v>9.9</v>
      </c>
      <c r="B92" s="860">
        <v>0.88790000000000002</v>
      </c>
      <c r="C92" s="860">
        <v>0.88790000000000002</v>
      </c>
      <c r="D92" s="860">
        <v>0.8105</v>
      </c>
      <c r="E92" s="860">
        <v>0.8105</v>
      </c>
      <c r="F92" s="860">
        <v>0.8105</v>
      </c>
      <c r="G92" s="860">
        <v>0.8105</v>
      </c>
      <c r="H92" s="860">
        <v>0.8105</v>
      </c>
      <c r="I92" s="860">
        <v>0.67049999999999998</v>
      </c>
      <c r="J92" s="860">
        <v>0.67049999999999998</v>
      </c>
      <c r="K92" s="860">
        <v>0.67049999999999998</v>
      </c>
      <c r="L92" s="860">
        <v>0.67049999999999998</v>
      </c>
      <c r="M92" s="860">
        <v>0.67049999999999998</v>
      </c>
    </row>
    <row r="93" spans="1:14" ht="14.25">
      <c r="A93" s="2991" t="s">
        <v>2683</v>
      </c>
      <c r="B93" s="860"/>
      <c r="C93" s="860"/>
      <c r="D93" s="860"/>
      <c r="E93" s="860"/>
      <c r="F93" s="860"/>
      <c r="G93" s="860"/>
      <c r="H93" s="860"/>
      <c r="I93" s="860"/>
      <c r="J93" s="860"/>
      <c r="K93" s="860"/>
      <c r="L93" s="860"/>
      <c r="M93" s="860"/>
    </row>
    <row r="94" spans="1:14">
      <c r="A94" s="868" t="s">
        <v>1469</v>
      </c>
      <c r="B94" s="860" t="s">
        <v>990</v>
      </c>
      <c r="C94" s="860" t="s">
        <v>1031</v>
      </c>
      <c r="D94" s="860" t="s">
        <v>1145</v>
      </c>
      <c r="E94" s="860" t="s">
        <v>853</v>
      </c>
      <c r="F94" s="860" t="s">
        <v>1152</v>
      </c>
      <c r="G94" s="860" t="s">
        <v>1153</v>
      </c>
      <c r="H94" s="860" t="s">
        <v>1154</v>
      </c>
      <c r="I94" s="860" t="s">
        <v>1155</v>
      </c>
      <c r="J94" s="860" t="s">
        <v>1156</v>
      </c>
      <c r="K94" s="860" t="s">
        <v>1157</v>
      </c>
      <c r="L94" s="860" t="s">
        <v>2669</v>
      </c>
      <c r="M94" s="860" t="s">
        <v>2670</v>
      </c>
      <c r="N94" s="850" t="e">
        <f>SUMPRODUCT((A95:A184=ROUNDDOWN([7]基准地价修正!G3,1))*(B94:M94=[7]基准地价修正!G2)*(B95:M184))</f>
        <v>#REF!</v>
      </c>
    </row>
    <row r="95" spans="1:14">
      <c r="A95" s="868">
        <v>1</v>
      </c>
      <c r="B95" s="860">
        <v>1.2501</v>
      </c>
      <c r="C95" s="860">
        <v>1.2501</v>
      </c>
      <c r="D95" s="860">
        <v>1.2158</v>
      </c>
      <c r="E95" s="860">
        <v>1.2158</v>
      </c>
      <c r="F95" s="860">
        <v>1.2158</v>
      </c>
      <c r="G95" s="860">
        <v>1.2158</v>
      </c>
      <c r="H95" s="860">
        <v>1.2158</v>
      </c>
      <c r="I95" s="860">
        <v>1.2302</v>
      </c>
      <c r="J95" s="860">
        <v>1.2302</v>
      </c>
      <c r="K95" s="860">
        <v>1.2302</v>
      </c>
      <c r="L95" s="860">
        <v>1.2302</v>
      </c>
      <c r="M95" s="860">
        <v>1.2302</v>
      </c>
    </row>
    <row r="96" spans="1:14">
      <c r="A96" s="868">
        <v>1.1000000000000001</v>
      </c>
      <c r="B96" s="860">
        <v>1.2310000000000001</v>
      </c>
      <c r="C96" s="860">
        <v>1.2310000000000001</v>
      </c>
      <c r="D96" s="860">
        <v>1.1947000000000001</v>
      </c>
      <c r="E96" s="860">
        <v>1.1947000000000001</v>
      </c>
      <c r="F96" s="860">
        <v>1.1947000000000001</v>
      </c>
      <c r="G96" s="860">
        <v>1.1947000000000001</v>
      </c>
      <c r="H96" s="860">
        <v>1.1947000000000001</v>
      </c>
      <c r="I96" s="860">
        <v>1.2008000000000001</v>
      </c>
      <c r="J96" s="860">
        <v>1.2008000000000001</v>
      </c>
      <c r="K96" s="860">
        <v>1.2008000000000001</v>
      </c>
      <c r="L96" s="860">
        <v>1.2008000000000001</v>
      </c>
      <c r="M96" s="860">
        <v>1.2008000000000001</v>
      </c>
    </row>
    <row r="97" spans="1:14">
      <c r="A97" s="868">
        <v>1.2</v>
      </c>
      <c r="B97" s="860">
        <v>1.2130000000000001</v>
      </c>
      <c r="C97" s="860">
        <v>1.2130000000000001</v>
      </c>
      <c r="D97" s="860">
        <v>1.1748000000000001</v>
      </c>
      <c r="E97" s="860">
        <v>1.1748000000000001</v>
      </c>
      <c r="F97" s="860">
        <v>1.1748000000000001</v>
      </c>
      <c r="G97" s="860">
        <v>1.1748000000000001</v>
      </c>
      <c r="H97" s="860">
        <v>1.1748000000000001</v>
      </c>
      <c r="I97" s="860">
        <v>1.173</v>
      </c>
      <c r="J97" s="860">
        <v>1.173</v>
      </c>
      <c r="K97" s="860">
        <v>1.173</v>
      </c>
      <c r="L97" s="860">
        <v>1.173</v>
      </c>
      <c r="M97" s="860">
        <v>1.173</v>
      </c>
    </row>
    <row r="98" spans="1:14">
      <c r="A98" s="868">
        <v>1.3</v>
      </c>
      <c r="B98" s="860">
        <v>1.196</v>
      </c>
      <c r="C98" s="860">
        <v>1.196</v>
      </c>
      <c r="D98" s="860">
        <v>1.1559999999999999</v>
      </c>
      <c r="E98" s="860">
        <v>1.1559999999999999</v>
      </c>
      <c r="F98" s="860">
        <v>1.1559999999999999</v>
      </c>
      <c r="G98" s="860">
        <v>1.1559999999999999</v>
      </c>
      <c r="H98" s="860">
        <v>1.1559999999999999</v>
      </c>
      <c r="I98" s="860">
        <v>1.1468</v>
      </c>
      <c r="J98" s="860">
        <v>1.1468</v>
      </c>
      <c r="K98" s="860">
        <v>1.1468</v>
      </c>
      <c r="L98" s="860">
        <v>1.1468</v>
      </c>
      <c r="M98" s="860">
        <v>1.1468</v>
      </c>
    </row>
    <row r="99" spans="1:14">
      <c r="A99" s="868">
        <v>1.4</v>
      </c>
      <c r="B99" s="860">
        <v>1.18</v>
      </c>
      <c r="C99" s="860">
        <v>1.18</v>
      </c>
      <c r="D99" s="860">
        <v>1.1382000000000001</v>
      </c>
      <c r="E99" s="860">
        <v>1.1382000000000001</v>
      </c>
      <c r="F99" s="860">
        <v>1.1382000000000001</v>
      </c>
      <c r="G99" s="860">
        <v>1.1382000000000001</v>
      </c>
      <c r="H99" s="860">
        <v>1.1382000000000001</v>
      </c>
      <c r="I99" s="860">
        <v>1.1220000000000001</v>
      </c>
      <c r="J99" s="860">
        <v>1.1220000000000001</v>
      </c>
      <c r="K99" s="860">
        <v>1.1220000000000001</v>
      </c>
      <c r="L99" s="860">
        <v>1.1220000000000001</v>
      </c>
      <c r="M99" s="860">
        <v>1.1220000000000001</v>
      </c>
    </row>
    <row r="100" spans="1:14">
      <c r="A100" s="868">
        <v>1.5</v>
      </c>
      <c r="B100" s="860">
        <v>1.1649</v>
      </c>
      <c r="C100" s="860">
        <v>1.1649</v>
      </c>
      <c r="D100" s="860">
        <v>1.1214999999999999</v>
      </c>
      <c r="E100" s="860">
        <v>1.1214999999999999</v>
      </c>
      <c r="F100" s="860">
        <v>1.1214999999999999</v>
      </c>
      <c r="G100" s="860">
        <v>1.1214999999999999</v>
      </c>
      <c r="H100" s="860">
        <v>1.1214999999999999</v>
      </c>
      <c r="I100" s="860">
        <v>1.0985</v>
      </c>
      <c r="J100" s="860">
        <v>1.0985</v>
      </c>
      <c r="K100" s="860">
        <v>1.0985</v>
      </c>
      <c r="L100" s="860">
        <v>1.0985</v>
      </c>
      <c r="M100" s="860">
        <v>1.0985</v>
      </c>
    </row>
    <row r="101" spans="1:14">
      <c r="A101" s="868">
        <v>1.6</v>
      </c>
      <c r="B101" s="860">
        <v>1.1507000000000001</v>
      </c>
      <c r="C101" s="860">
        <v>1.1507000000000001</v>
      </c>
      <c r="D101" s="860">
        <v>1.1056999999999999</v>
      </c>
      <c r="E101" s="860">
        <v>1.1056999999999999</v>
      </c>
      <c r="F101" s="860">
        <v>1.1056999999999999</v>
      </c>
      <c r="G101" s="860">
        <v>1.1056999999999999</v>
      </c>
      <c r="H101" s="860">
        <v>1.1056999999999999</v>
      </c>
      <c r="I101" s="860">
        <v>1.0764</v>
      </c>
      <c r="J101" s="860">
        <v>1.0764</v>
      </c>
      <c r="K101" s="860">
        <v>1.0764</v>
      </c>
      <c r="L101" s="860">
        <v>1.0764</v>
      </c>
      <c r="M101" s="860">
        <v>1.0764</v>
      </c>
    </row>
    <row r="102" spans="1:14">
      <c r="A102" s="868">
        <v>1.7</v>
      </c>
      <c r="B102" s="860">
        <v>1.1373</v>
      </c>
      <c r="C102" s="860">
        <v>1.1373</v>
      </c>
      <c r="D102" s="860">
        <v>1.0908</v>
      </c>
      <c r="E102" s="860">
        <v>1.0908</v>
      </c>
      <c r="F102" s="860">
        <v>1.0908</v>
      </c>
      <c r="G102" s="860">
        <v>1.0908</v>
      </c>
      <c r="H102" s="860">
        <v>1.0908</v>
      </c>
      <c r="I102" s="860">
        <v>1.0556000000000001</v>
      </c>
      <c r="J102" s="860">
        <v>1.0556000000000001</v>
      </c>
      <c r="K102" s="860">
        <v>1.0556000000000001</v>
      </c>
      <c r="L102" s="860">
        <v>1.0556000000000001</v>
      </c>
      <c r="M102" s="860">
        <v>1.0556000000000001</v>
      </c>
    </row>
    <row r="103" spans="1:14">
      <c r="A103" s="868">
        <v>1.8</v>
      </c>
      <c r="B103" s="860">
        <v>1.1247</v>
      </c>
      <c r="C103" s="860">
        <v>1.1247</v>
      </c>
      <c r="D103" s="860">
        <v>1.0768</v>
      </c>
      <c r="E103" s="860">
        <v>1.0768</v>
      </c>
      <c r="F103" s="860">
        <v>1.0768</v>
      </c>
      <c r="G103" s="860">
        <v>1.0768</v>
      </c>
      <c r="H103" s="860">
        <v>1.0768</v>
      </c>
      <c r="I103" s="860">
        <v>1.0359</v>
      </c>
      <c r="J103" s="860">
        <v>1.0359</v>
      </c>
      <c r="K103" s="860">
        <v>1.0359</v>
      </c>
      <c r="L103" s="860">
        <v>1.0359</v>
      </c>
      <c r="M103" s="860">
        <v>1.0359</v>
      </c>
    </row>
    <row r="104" spans="1:14" ht="14.25">
      <c r="A104" s="851">
        <v>1.9</v>
      </c>
      <c r="B104" s="852">
        <v>1.1128</v>
      </c>
      <c r="C104" s="852">
        <v>1.1128</v>
      </c>
      <c r="D104" s="852">
        <v>1.0637000000000001</v>
      </c>
      <c r="E104" s="852">
        <v>1.0637000000000001</v>
      </c>
      <c r="F104" s="852">
        <v>1.0637000000000001</v>
      </c>
      <c r="G104" s="852">
        <v>1.0637000000000001</v>
      </c>
      <c r="H104" s="853">
        <v>1.0637000000000001</v>
      </c>
      <c r="I104" s="853">
        <v>1.0174000000000001</v>
      </c>
      <c r="J104" s="854">
        <v>1.0174000000000001</v>
      </c>
      <c r="K104" s="854">
        <v>1.0174000000000001</v>
      </c>
      <c r="L104" s="854">
        <v>1.0174000000000001</v>
      </c>
      <c r="M104" s="854">
        <v>1.0174000000000001</v>
      </c>
      <c r="N104" s="849"/>
    </row>
    <row r="105" spans="1:14">
      <c r="A105" s="851">
        <v>2</v>
      </c>
      <c r="B105" s="860">
        <v>1.1016999999999999</v>
      </c>
      <c r="C105" s="860">
        <v>1.1016999999999999</v>
      </c>
      <c r="D105" s="860">
        <v>1.0512999999999999</v>
      </c>
      <c r="E105" s="860">
        <v>1.0512999999999999</v>
      </c>
      <c r="F105" s="860">
        <v>1.0512999999999999</v>
      </c>
      <c r="G105" s="860">
        <v>1.0512999999999999</v>
      </c>
      <c r="H105" s="860">
        <v>1.0512999999999999</v>
      </c>
      <c r="I105" s="860">
        <v>1</v>
      </c>
      <c r="J105" s="860">
        <v>1</v>
      </c>
      <c r="K105" s="860">
        <v>1</v>
      </c>
      <c r="L105" s="860">
        <v>1</v>
      </c>
      <c r="M105" s="860">
        <v>1</v>
      </c>
    </row>
    <row r="106" spans="1:14">
      <c r="A106" s="851">
        <v>2.1</v>
      </c>
      <c r="B106" s="860">
        <v>1.0912999999999999</v>
      </c>
      <c r="C106" s="860">
        <v>1.0912999999999999</v>
      </c>
      <c r="D106" s="860">
        <v>1.0397000000000001</v>
      </c>
      <c r="E106" s="860">
        <v>1.0397000000000001</v>
      </c>
      <c r="F106" s="860">
        <v>1.0397000000000001</v>
      </c>
      <c r="G106" s="860">
        <v>1.0397000000000001</v>
      </c>
      <c r="H106" s="860">
        <v>1.0397000000000001</v>
      </c>
      <c r="I106" s="860">
        <v>0.98360000000000003</v>
      </c>
      <c r="J106" s="860">
        <v>0.98360000000000003</v>
      </c>
      <c r="K106" s="860">
        <v>0.98360000000000003</v>
      </c>
      <c r="L106" s="860">
        <v>0.98360000000000003</v>
      </c>
      <c r="M106" s="860">
        <v>0.98360000000000003</v>
      </c>
    </row>
    <row r="107" spans="1:14">
      <c r="A107" s="851">
        <v>2.2000000000000002</v>
      </c>
      <c r="B107" s="860">
        <v>1.0814999999999999</v>
      </c>
      <c r="C107" s="860">
        <v>1.0814999999999999</v>
      </c>
      <c r="D107" s="860">
        <v>1.0287999999999999</v>
      </c>
      <c r="E107" s="860">
        <v>1.0287999999999999</v>
      </c>
      <c r="F107" s="860">
        <v>1.0287999999999999</v>
      </c>
      <c r="G107" s="860">
        <v>1.0287999999999999</v>
      </c>
      <c r="H107" s="860">
        <v>1.0287999999999999</v>
      </c>
      <c r="I107" s="860">
        <v>0.96819999999999995</v>
      </c>
      <c r="J107" s="860">
        <v>0.96819999999999995</v>
      </c>
      <c r="K107" s="860">
        <v>0.96819999999999995</v>
      </c>
      <c r="L107" s="860">
        <v>0.96819999999999995</v>
      </c>
      <c r="M107" s="860">
        <v>0.96819999999999995</v>
      </c>
    </row>
    <row r="108" spans="1:14">
      <c r="A108" s="851">
        <v>2.2999999999999998</v>
      </c>
      <c r="B108" s="860">
        <v>1.0724</v>
      </c>
      <c r="C108" s="860">
        <v>1.0724</v>
      </c>
      <c r="D108" s="860">
        <v>1.0185999999999999</v>
      </c>
      <c r="E108" s="860">
        <v>1.0185999999999999</v>
      </c>
      <c r="F108" s="860">
        <v>1.0185999999999999</v>
      </c>
      <c r="G108" s="860">
        <v>1.0185999999999999</v>
      </c>
      <c r="H108" s="860">
        <v>1.0185999999999999</v>
      </c>
      <c r="I108" s="860">
        <v>0.95369999999999999</v>
      </c>
      <c r="J108" s="860">
        <v>0.95369999999999999</v>
      </c>
      <c r="K108" s="860">
        <v>0.95369999999999999</v>
      </c>
      <c r="L108" s="860">
        <v>0.95369999999999999</v>
      </c>
      <c r="M108" s="860">
        <v>0.95369999999999999</v>
      </c>
    </row>
    <row r="109" spans="1:14">
      <c r="A109" s="851">
        <v>2.4</v>
      </c>
      <c r="B109" s="860">
        <v>1.0638000000000001</v>
      </c>
      <c r="C109" s="860">
        <v>1.0638000000000001</v>
      </c>
      <c r="D109" s="860">
        <v>1.0089999999999999</v>
      </c>
      <c r="E109" s="860">
        <v>1.0089999999999999</v>
      </c>
      <c r="F109" s="860">
        <v>1.0089999999999999</v>
      </c>
      <c r="G109" s="860">
        <v>1.0089999999999999</v>
      </c>
      <c r="H109" s="860">
        <v>1.0089999999999999</v>
      </c>
      <c r="I109" s="860">
        <v>0.94010000000000005</v>
      </c>
      <c r="J109" s="860">
        <v>0.94010000000000005</v>
      </c>
      <c r="K109" s="860">
        <v>0.94010000000000005</v>
      </c>
      <c r="L109" s="860">
        <v>0.94010000000000005</v>
      </c>
      <c r="M109" s="860">
        <v>0.94010000000000005</v>
      </c>
    </row>
    <row r="110" spans="1:14">
      <c r="A110" s="851">
        <v>2.5</v>
      </c>
      <c r="B110" s="860">
        <v>1.0558000000000001</v>
      </c>
      <c r="C110" s="860">
        <v>1.0558000000000001</v>
      </c>
      <c r="D110" s="860">
        <v>1</v>
      </c>
      <c r="E110" s="860">
        <v>1</v>
      </c>
      <c r="F110" s="860">
        <v>1</v>
      </c>
      <c r="G110" s="860">
        <v>1</v>
      </c>
      <c r="H110" s="860">
        <v>1</v>
      </c>
      <c r="I110" s="860">
        <v>0.9274</v>
      </c>
      <c r="J110" s="860">
        <v>0.9274</v>
      </c>
      <c r="K110" s="860">
        <v>0.9274</v>
      </c>
      <c r="L110" s="860">
        <v>0.9274</v>
      </c>
      <c r="M110" s="860">
        <v>0.9274</v>
      </c>
    </row>
    <row r="111" spans="1:14">
      <c r="A111" s="851">
        <v>2.6</v>
      </c>
      <c r="B111" s="860">
        <v>1.0483</v>
      </c>
      <c r="C111" s="860">
        <v>1.0483</v>
      </c>
      <c r="D111" s="860">
        <v>0.99160000000000004</v>
      </c>
      <c r="E111" s="860">
        <v>0.99160000000000004</v>
      </c>
      <c r="F111" s="860">
        <v>0.99160000000000004</v>
      </c>
      <c r="G111" s="860">
        <v>0.99160000000000004</v>
      </c>
      <c r="H111" s="860">
        <v>0.99160000000000004</v>
      </c>
      <c r="I111" s="860">
        <v>0.91539999999999999</v>
      </c>
      <c r="J111" s="860">
        <v>0.91539999999999999</v>
      </c>
      <c r="K111" s="860">
        <v>0.91539999999999999</v>
      </c>
      <c r="L111" s="860">
        <v>0.91539999999999999</v>
      </c>
      <c r="M111" s="860">
        <v>0.91539999999999999</v>
      </c>
    </row>
    <row r="112" spans="1:14">
      <c r="A112" s="851">
        <v>2.7</v>
      </c>
      <c r="B112" s="860">
        <v>1.0412999999999999</v>
      </c>
      <c r="C112" s="860">
        <v>1.0412999999999999</v>
      </c>
      <c r="D112" s="860">
        <v>0.98370000000000002</v>
      </c>
      <c r="E112" s="860">
        <v>0.98370000000000002</v>
      </c>
      <c r="F112" s="860">
        <v>0.98370000000000002</v>
      </c>
      <c r="G112" s="860">
        <v>0.98370000000000002</v>
      </c>
      <c r="H112" s="860">
        <v>0.98370000000000002</v>
      </c>
      <c r="I112" s="860">
        <v>0.90429999999999999</v>
      </c>
      <c r="J112" s="860">
        <v>0.90429999999999999</v>
      </c>
      <c r="K112" s="860">
        <v>0.90429999999999999</v>
      </c>
      <c r="L112" s="860">
        <v>0.90429999999999999</v>
      </c>
      <c r="M112" s="860">
        <v>0.90429999999999999</v>
      </c>
    </row>
    <row r="113" spans="1:13">
      <c r="A113" s="851">
        <v>2.8</v>
      </c>
      <c r="B113" s="860">
        <v>1.0347999999999999</v>
      </c>
      <c r="C113" s="860">
        <v>1.0347999999999999</v>
      </c>
      <c r="D113" s="860">
        <v>0.97640000000000005</v>
      </c>
      <c r="E113" s="860">
        <v>0.97640000000000005</v>
      </c>
      <c r="F113" s="860">
        <v>0.97640000000000005</v>
      </c>
      <c r="G113" s="860">
        <v>0.97640000000000005</v>
      </c>
      <c r="H113" s="860">
        <v>0.97640000000000005</v>
      </c>
      <c r="I113" s="860">
        <v>0.89370000000000005</v>
      </c>
      <c r="J113" s="860">
        <v>0.89370000000000005</v>
      </c>
      <c r="K113" s="860">
        <v>0.89370000000000005</v>
      </c>
      <c r="L113" s="860">
        <v>0.89370000000000005</v>
      </c>
      <c r="M113" s="860">
        <v>0.89370000000000005</v>
      </c>
    </row>
    <row r="114" spans="1:13">
      <c r="A114" s="851">
        <v>2.9</v>
      </c>
      <c r="B114" s="860">
        <v>1.0286999999999999</v>
      </c>
      <c r="C114" s="860">
        <v>1.0286999999999999</v>
      </c>
      <c r="D114" s="860">
        <v>0.96950000000000003</v>
      </c>
      <c r="E114" s="860">
        <v>0.96950000000000003</v>
      </c>
      <c r="F114" s="860">
        <v>0.96950000000000003</v>
      </c>
      <c r="G114" s="860">
        <v>0.96950000000000003</v>
      </c>
      <c r="H114" s="860">
        <v>0.96950000000000003</v>
      </c>
      <c r="I114" s="860">
        <v>0.88390000000000002</v>
      </c>
      <c r="J114" s="860">
        <v>0.88390000000000002</v>
      </c>
      <c r="K114" s="860">
        <v>0.88390000000000002</v>
      </c>
      <c r="L114" s="860">
        <v>0.88390000000000002</v>
      </c>
      <c r="M114" s="860">
        <v>0.88390000000000002</v>
      </c>
    </row>
    <row r="115" spans="1:13">
      <c r="A115" s="851">
        <v>3</v>
      </c>
      <c r="B115" s="860">
        <v>1.0229999999999999</v>
      </c>
      <c r="C115" s="860">
        <v>1.0229999999999999</v>
      </c>
      <c r="D115" s="860">
        <v>0.96309999999999996</v>
      </c>
      <c r="E115" s="860">
        <v>0.96309999999999996</v>
      </c>
      <c r="F115" s="860">
        <v>0.96309999999999996</v>
      </c>
      <c r="G115" s="860">
        <v>0.96309999999999996</v>
      </c>
      <c r="H115" s="860">
        <v>0.96309999999999996</v>
      </c>
      <c r="I115" s="860">
        <v>0.87460000000000004</v>
      </c>
      <c r="J115" s="860">
        <v>0.87460000000000004</v>
      </c>
      <c r="K115" s="860">
        <v>0.87460000000000004</v>
      </c>
      <c r="L115" s="860">
        <v>0.87460000000000004</v>
      </c>
      <c r="M115" s="860">
        <v>0.87460000000000004</v>
      </c>
    </row>
    <row r="116" spans="1:13">
      <c r="A116" s="851">
        <v>3.1</v>
      </c>
      <c r="B116" s="860">
        <v>1.0177</v>
      </c>
      <c r="C116" s="860">
        <v>1.0177</v>
      </c>
      <c r="D116" s="860">
        <v>0.95709999999999995</v>
      </c>
      <c r="E116" s="860">
        <v>0.95709999999999995</v>
      </c>
      <c r="F116" s="860">
        <v>0.95709999999999995</v>
      </c>
      <c r="G116" s="860">
        <v>0.95709999999999995</v>
      </c>
      <c r="H116" s="860">
        <v>0.95709999999999995</v>
      </c>
      <c r="I116" s="860">
        <v>0.8659</v>
      </c>
      <c r="J116" s="860">
        <v>0.8659</v>
      </c>
      <c r="K116" s="860">
        <v>0.8659</v>
      </c>
      <c r="L116" s="860">
        <v>0.8659</v>
      </c>
      <c r="M116" s="860">
        <v>0.8659</v>
      </c>
    </row>
    <row r="117" spans="1:13">
      <c r="A117" s="851">
        <v>3.2</v>
      </c>
      <c r="B117" s="860">
        <v>1.0127999999999999</v>
      </c>
      <c r="C117" s="860">
        <v>1.0127999999999999</v>
      </c>
      <c r="D117" s="860">
        <v>0.9516</v>
      </c>
      <c r="E117" s="860">
        <v>0.9516</v>
      </c>
      <c r="F117" s="860">
        <v>0.9516</v>
      </c>
      <c r="G117" s="860">
        <v>0.9516</v>
      </c>
      <c r="H117" s="860">
        <v>0.9516</v>
      </c>
      <c r="I117" s="860">
        <v>0.85780000000000001</v>
      </c>
      <c r="J117" s="860">
        <v>0.85780000000000001</v>
      </c>
      <c r="K117" s="860">
        <v>0.85780000000000001</v>
      </c>
      <c r="L117" s="860">
        <v>0.85780000000000001</v>
      </c>
      <c r="M117" s="860">
        <v>0.85780000000000001</v>
      </c>
    </row>
    <row r="118" spans="1:13">
      <c r="A118" s="851">
        <v>3.3</v>
      </c>
      <c r="B118" s="860">
        <v>1.0082</v>
      </c>
      <c r="C118" s="860">
        <v>1.0082</v>
      </c>
      <c r="D118" s="860">
        <v>0.94640000000000002</v>
      </c>
      <c r="E118" s="860">
        <v>0.94640000000000002</v>
      </c>
      <c r="F118" s="860">
        <v>0.94640000000000002</v>
      </c>
      <c r="G118" s="860">
        <v>0.94640000000000002</v>
      </c>
      <c r="H118" s="860">
        <v>0.94640000000000002</v>
      </c>
      <c r="I118" s="860">
        <v>0.85029999999999994</v>
      </c>
      <c r="J118" s="860">
        <v>0.85029999999999994</v>
      </c>
      <c r="K118" s="860">
        <v>0.85029999999999994</v>
      </c>
      <c r="L118" s="860">
        <v>0.85029999999999994</v>
      </c>
      <c r="M118" s="860">
        <v>0.85029999999999994</v>
      </c>
    </row>
    <row r="119" spans="1:13">
      <c r="A119" s="851">
        <v>3.4</v>
      </c>
      <c r="B119" s="860">
        <v>1.004</v>
      </c>
      <c r="C119" s="860">
        <v>1.004</v>
      </c>
      <c r="D119" s="860">
        <v>0.9415</v>
      </c>
      <c r="E119" s="860">
        <v>0.9415</v>
      </c>
      <c r="F119" s="860">
        <v>0.9415</v>
      </c>
      <c r="G119" s="860">
        <v>0.9415</v>
      </c>
      <c r="H119" s="860">
        <v>0.9415</v>
      </c>
      <c r="I119" s="860">
        <v>0.84319999999999995</v>
      </c>
      <c r="J119" s="860">
        <v>0.84319999999999995</v>
      </c>
      <c r="K119" s="860">
        <v>0.84319999999999995</v>
      </c>
      <c r="L119" s="860">
        <v>0.84319999999999995</v>
      </c>
      <c r="M119" s="860">
        <v>0.84319999999999995</v>
      </c>
    </row>
    <row r="120" spans="1:13">
      <c r="A120" s="851">
        <v>3.5</v>
      </c>
      <c r="B120" s="860">
        <v>1</v>
      </c>
      <c r="C120" s="860">
        <v>1</v>
      </c>
      <c r="D120" s="860">
        <v>0.93700000000000006</v>
      </c>
      <c r="E120" s="860">
        <v>0.93700000000000006</v>
      </c>
      <c r="F120" s="860">
        <v>0.93700000000000006</v>
      </c>
      <c r="G120" s="860">
        <v>0.93700000000000006</v>
      </c>
      <c r="H120" s="860">
        <v>0.93700000000000006</v>
      </c>
      <c r="I120" s="860">
        <v>0.83660000000000001</v>
      </c>
      <c r="J120" s="860">
        <v>0.83660000000000001</v>
      </c>
      <c r="K120" s="860">
        <v>0.83660000000000001</v>
      </c>
      <c r="L120" s="860">
        <v>0.83660000000000001</v>
      </c>
      <c r="M120" s="860">
        <v>0.83660000000000001</v>
      </c>
    </row>
    <row r="121" spans="1:13">
      <c r="A121" s="851">
        <v>3.6</v>
      </c>
      <c r="B121" s="860">
        <v>0.99629999999999996</v>
      </c>
      <c r="C121" s="860">
        <v>0.99629999999999996</v>
      </c>
      <c r="D121" s="860">
        <v>0.93279999999999996</v>
      </c>
      <c r="E121" s="860">
        <v>0.93279999999999996</v>
      </c>
      <c r="F121" s="860">
        <v>0.93279999999999996</v>
      </c>
      <c r="G121" s="860">
        <v>0.93279999999999996</v>
      </c>
      <c r="H121" s="860">
        <v>0.93279999999999996</v>
      </c>
      <c r="I121" s="860">
        <v>0.83040000000000003</v>
      </c>
      <c r="J121" s="860">
        <v>0.83040000000000003</v>
      </c>
      <c r="K121" s="860">
        <v>0.83040000000000003</v>
      </c>
      <c r="L121" s="860">
        <v>0.83040000000000003</v>
      </c>
      <c r="M121" s="860">
        <v>0.83040000000000003</v>
      </c>
    </row>
    <row r="122" spans="1:13">
      <c r="A122" s="851">
        <v>3.7</v>
      </c>
      <c r="B122" s="860">
        <v>0.9929</v>
      </c>
      <c r="C122" s="860">
        <v>0.9929</v>
      </c>
      <c r="D122" s="860">
        <v>0.92879999999999996</v>
      </c>
      <c r="E122" s="860">
        <v>0.92879999999999996</v>
      </c>
      <c r="F122" s="860">
        <v>0.92879999999999996</v>
      </c>
      <c r="G122" s="860">
        <v>0.92879999999999996</v>
      </c>
      <c r="H122" s="860">
        <v>0.92879999999999996</v>
      </c>
      <c r="I122" s="860">
        <v>0.8246</v>
      </c>
      <c r="J122" s="860">
        <v>0.8246</v>
      </c>
      <c r="K122" s="860">
        <v>0.8246</v>
      </c>
      <c r="L122" s="860">
        <v>0.8246</v>
      </c>
      <c r="M122" s="860">
        <v>0.8246</v>
      </c>
    </row>
    <row r="123" spans="1:13">
      <c r="A123" s="851">
        <v>3.8</v>
      </c>
      <c r="B123" s="860">
        <v>0.98970000000000002</v>
      </c>
      <c r="C123" s="860">
        <v>0.98970000000000002</v>
      </c>
      <c r="D123" s="860">
        <v>0.92520000000000002</v>
      </c>
      <c r="E123" s="860">
        <v>0.92520000000000002</v>
      </c>
      <c r="F123" s="860">
        <v>0.92520000000000002</v>
      </c>
      <c r="G123" s="860">
        <v>0.92520000000000002</v>
      </c>
      <c r="H123" s="860">
        <v>0.92520000000000002</v>
      </c>
      <c r="I123" s="860">
        <v>0.81920000000000004</v>
      </c>
      <c r="J123" s="860">
        <v>0.81920000000000004</v>
      </c>
      <c r="K123" s="860">
        <v>0.81920000000000004</v>
      </c>
      <c r="L123" s="860">
        <v>0.81920000000000004</v>
      </c>
      <c r="M123" s="860">
        <v>0.81920000000000004</v>
      </c>
    </row>
    <row r="124" spans="1:13">
      <c r="A124" s="851">
        <v>3.9</v>
      </c>
      <c r="B124" s="860">
        <v>0.98670000000000002</v>
      </c>
      <c r="C124" s="860">
        <v>0.98670000000000002</v>
      </c>
      <c r="D124" s="860">
        <v>0.92179999999999995</v>
      </c>
      <c r="E124" s="860">
        <v>0.92179999999999995</v>
      </c>
      <c r="F124" s="860">
        <v>0.92179999999999995</v>
      </c>
      <c r="G124" s="860">
        <v>0.92179999999999995</v>
      </c>
      <c r="H124" s="860">
        <v>0.92179999999999995</v>
      </c>
      <c r="I124" s="860">
        <v>0.81410000000000005</v>
      </c>
      <c r="J124" s="860">
        <v>0.81410000000000005</v>
      </c>
      <c r="K124" s="860">
        <v>0.81410000000000005</v>
      </c>
      <c r="L124" s="860">
        <v>0.81410000000000005</v>
      </c>
      <c r="M124" s="860">
        <v>0.81410000000000005</v>
      </c>
    </row>
    <row r="125" spans="1:13">
      <c r="A125" s="868">
        <v>4</v>
      </c>
      <c r="B125" s="860">
        <v>0.98380000000000001</v>
      </c>
      <c r="C125" s="860">
        <v>0.98380000000000001</v>
      </c>
      <c r="D125" s="860">
        <v>0.91859999999999997</v>
      </c>
      <c r="E125" s="860">
        <v>0.91859999999999997</v>
      </c>
      <c r="F125" s="860">
        <v>0.91859999999999997</v>
      </c>
      <c r="G125" s="860">
        <v>0.91859999999999997</v>
      </c>
      <c r="H125" s="860">
        <v>0.91859999999999997</v>
      </c>
      <c r="I125" s="860">
        <v>0.80940000000000001</v>
      </c>
      <c r="J125" s="860">
        <v>0.80940000000000001</v>
      </c>
      <c r="K125" s="860">
        <v>0.80940000000000001</v>
      </c>
      <c r="L125" s="860">
        <v>0.80940000000000001</v>
      </c>
      <c r="M125" s="860">
        <v>0.80940000000000001</v>
      </c>
    </row>
    <row r="126" spans="1:13">
      <c r="A126" s="868">
        <v>4.0999999999999996</v>
      </c>
      <c r="B126" s="860">
        <v>0.98099999999999998</v>
      </c>
      <c r="C126" s="860">
        <v>0.98099999999999998</v>
      </c>
      <c r="D126" s="860">
        <v>0.91559999999999997</v>
      </c>
      <c r="E126" s="860">
        <v>0.91559999999999997</v>
      </c>
      <c r="F126" s="860">
        <v>0.91559999999999997</v>
      </c>
      <c r="G126" s="860">
        <v>0.91559999999999997</v>
      </c>
      <c r="H126" s="860">
        <v>0.91559999999999997</v>
      </c>
      <c r="I126" s="860">
        <v>0.80489999999999995</v>
      </c>
      <c r="J126" s="860">
        <v>0.80489999999999995</v>
      </c>
      <c r="K126" s="860">
        <v>0.80489999999999995</v>
      </c>
      <c r="L126" s="860">
        <v>0.80489999999999995</v>
      </c>
      <c r="M126" s="860">
        <v>0.80489999999999995</v>
      </c>
    </row>
    <row r="127" spans="1:13">
      <c r="A127" s="868">
        <v>4.2</v>
      </c>
      <c r="B127" s="860">
        <v>0.97829999999999995</v>
      </c>
      <c r="C127" s="860">
        <v>0.97829999999999995</v>
      </c>
      <c r="D127" s="860">
        <v>0.91269999999999996</v>
      </c>
      <c r="E127" s="860">
        <v>0.91269999999999996</v>
      </c>
      <c r="F127" s="860">
        <v>0.91269999999999996</v>
      </c>
      <c r="G127" s="860">
        <v>0.91269999999999996</v>
      </c>
      <c r="H127" s="860">
        <v>0.91269999999999996</v>
      </c>
      <c r="I127" s="860">
        <v>0.80059999999999998</v>
      </c>
      <c r="J127" s="860">
        <v>0.80059999999999998</v>
      </c>
      <c r="K127" s="860">
        <v>0.80059999999999998</v>
      </c>
      <c r="L127" s="860">
        <v>0.80059999999999998</v>
      </c>
      <c r="M127" s="860">
        <v>0.80059999999999998</v>
      </c>
    </row>
    <row r="128" spans="1:13">
      <c r="A128" s="868">
        <v>4.3</v>
      </c>
      <c r="B128" s="860">
        <v>0.97570000000000001</v>
      </c>
      <c r="C128" s="860">
        <v>0.97570000000000001</v>
      </c>
      <c r="D128" s="860">
        <v>0.90990000000000004</v>
      </c>
      <c r="E128" s="860">
        <v>0.90990000000000004</v>
      </c>
      <c r="F128" s="860">
        <v>0.90990000000000004</v>
      </c>
      <c r="G128" s="860">
        <v>0.90990000000000004</v>
      </c>
      <c r="H128" s="860">
        <v>0.90990000000000004</v>
      </c>
      <c r="I128" s="860">
        <v>0.79649999999999999</v>
      </c>
      <c r="J128" s="860">
        <v>0.79649999999999999</v>
      </c>
      <c r="K128" s="860">
        <v>0.79649999999999999</v>
      </c>
      <c r="L128" s="860">
        <v>0.79649999999999999</v>
      </c>
      <c r="M128" s="860">
        <v>0.79649999999999999</v>
      </c>
    </row>
    <row r="129" spans="1:13">
      <c r="A129" s="868">
        <v>4.4000000000000004</v>
      </c>
      <c r="B129" s="860">
        <v>0.97319999999999995</v>
      </c>
      <c r="C129" s="860">
        <v>0.97319999999999995</v>
      </c>
      <c r="D129" s="860">
        <v>0.90720000000000001</v>
      </c>
      <c r="E129" s="860">
        <v>0.90720000000000001</v>
      </c>
      <c r="F129" s="860">
        <v>0.90720000000000001</v>
      </c>
      <c r="G129" s="860">
        <v>0.90720000000000001</v>
      </c>
      <c r="H129" s="860">
        <v>0.90720000000000001</v>
      </c>
      <c r="I129" s="860">
        <v>0.79259999999999997</v>
      </c>
      <c r="J129" s="860">
        <v>0.79259999999999997</v>
      </c>
      <c r="K129" s="860">
        <v>0.79259999999999997</v>
      </c>
      <c r="L129" s="860">
        <v>0.79259999999999997</v>
      </c>
      <c r="M129" s="860">
        <v>0.79259999999999997</v>
      </c>
    </row>
    <row r="130" spans="1:13">
      <c r="A130" s="868">
        <v>4.5</v>
      </c>
      <c r="B130" s="860">
        <v>0.9708</v>
      </c>
      <c r="C130" s="860">
        <v>0.9708</v>
      </c>
      <c r="D130" s="860">
        <v>0.90459999999999996</v>
      </c>
      <c r="E130" s="860">
        <v>0.90459999999999996</v>
      </c>
      <c r="F130" s="860">
        <v>0.90459999999999996</v>
      </c>
      <c r="G130" s="860">
        <v>0.90459999999999996</v>
      </c>
      <c r="H130" s="860">
        <v>0.90459999999999996</v>
      </c>
      <c r="I130" s="860">
        <v>0.78890000000000005</v>
      </c>
      <c r="J130" s="860">
        <v>0.78890000000000005</v>
      </c>
      <c r="K130" s="860">
        <v>0.78890000000000005</v>
      </c>
      <c r="L130" s="860">
        <v>0.78890000000000005</v>
      </c>
      <c r="M130" s="860">
        <v>0.78890000000000005</v>
      </c>
    </row>
    <row r="131" spans="1:13">
      <c r="A131" s="868">
        <v>4.5999999999999996</v>
      </c>
      <c r="B131" s="860">
        <v>0.96850000000000003</v>
      </c>
      <c r="C131" s="860">
        <v>0.96850000000000003</v>
      </c>
      <c r="D131" s="860">
        <v>0.90210000000000001</v>
      </c>
      <c r="E131" s="860">
        <v>0.90210000000000001</v>
      </c>
      <c r="F131" s="860">
        <v>0.90210000000000001</v>
      </c>
      <c r="G131" s="860">
        <v>0.90210000000000001</v>
      </c>
      <c r="H131" s="860">
        <v>0.90210000000000001</v>
      </c>
      <c r="I131" s="860">
        <v>0.78539999999999999</v>
      </c>
      <c r="J131" s="860">
        <v>0.78539999999999999</v>
      </c>
      <c r="K131" s="860">
        <v>0.78539999999999999</v>
      </c>
      <c r="L131" s="860">
        <v>0.78539999999999999</v>
      </c>
      <c r="M131" s="860">
        <v>0.78539999999999999</v>
      </c>
    </row>
    <row r="132" spans="1:13">
      <c r="A132" s="868">
        <v>4.7</v>
      </c>
      <c r="B132" s="860">
        <v>0.96630000000000005</v>
      </c>
      <c r="C132" s="860">
        <v>0.96630000000000005</v>
      </c>
      <c r="D132" s="860">
        <v>0.89959999999999996</v>
      </c>
      <c r="E132" s="860">
        <v>0.89959999999999996</v>
      </c>
      <c r="F132" s="860">
        <v>0.89959999999999996</v>
      </c>
      <c r="G132" s="860">
        <v>0.89959999999999996</v>
      </c>
      <c r="H132" s="860">
        <v>0.89959999999999996</v>
      </c>
      <c r="I132" s="860">
        <v>0.78210000000000002</v>
      </c>
      <c r="J132" s="860">
        <v>0.78210000000000002</v>
      </c>
      <c r="K132" s="860">
        <v>0.78210000000000002</v>
      </c>
      <c r="L132" s="860">
        <v>0.78210000000000002</v>
      </c>
      <c r="M132" s="860">
        <v>0.78210000000000002</v>
      </c>
    </row>
    <row r="133" spans="1:13">
      <c r="A133" s="868">
        <v>4.8</v>
      </c>
      <c r="B133" s="860">
        <v>0.96409999999999996</v>
      </c>
      <c r="C133" s="860">
        <v>0.96409999999999996</v>
      </c>
      <c r="D133" s="860">
        <v>0.8972</v>
      </c>
      <c r="E133" s="860">
        <v>0.8972</v>
      </c>
      <c r="F133" s="860">
        <v>0.8972</v>
      </c>
      <c r="G133" s="860">
        <v>0.8972</v>
      </c>
      <c r="H133" s="860">
        <v>0.8972</v>
      </c>
      <c r="I133" s="860">
        <v>0.77890000000000004</v>
      </c>
      <c r="J133" s="860">
        <v>0.77890000000000004</v>
      </c>
      <c r="K133" s="860">
        <v>0.77890000000000004</v>
      </c>
      <c r="L133" s="860">
        <v>0.77890000000000004</v>
      </c>
      <c r="M133" s="860">
        <v>0.77890000000000004</v>
      </c>
    </row>
    <row r="134" spans="1:13">
      <c r="A134" s="868">
        <v>4.9000000000000004</v>
      </c>
      <c r="B134" s="860">
        <v>0.96199999999999997</v>
      </c>
      <c r="C134" s="860">
        <v>0.96199999999999997</v>
      </c>
      <c r="D134" s="860">
        <v>0.89480000000000004</v>
      </c>
      <c r="E134" s="860">
        <v>0.89480000000000004</v>
      </c>
      <c r="F134" s="860">
        <v>0.89480000000000004</v>
      </c>
      <c r="G134" s="860">
        <v>0.89480000000000004</v>
      </c>
      <c r="H134" s="860">
        <v>0.89480000000000004</v>
      </c>
      <c r="I134" s="860">
        <v>0.77580000000000005</v>
      </c>
      <c r="J134" s="860">
        <v>0.77580000000000005</v>
      </c>
      <c r="K134" s="860">
        <v>0.77580000000000005</v>
      </c>
      <c r="L134" s="860">
        <v>0.77580000000000005</v>
      </c>
      <c r="M134" s="860">
        <v>0.77580000000000005</v>
      </c>
    </row>
    <row r="135" spans="1:13">
      <c r="A135" s="868">
        <v>5</v>
      </c>
      <c r="B135" s="860">
        <v>0.95989999999999998</v>
      </c>
      <c r="C135" s="860">
        <v>0.95989999999999998</v>
      </c>
      <c r="D135" s="860">
        <v>0.89239999999999997</v>
      </c>
      <c r="E135" s="860">
        <v>0.89239999999999997</v>
      </c>
      <c r="F135" s="860">
        <v>0.89239999999999997</v>
      </c>
      <c r="G135" s="860">
        <v>0.89239999999999997</v>
      </c>
      <c r="H135" s="860">
        <v>0.89239999999999997</v>
      </c>
      <c r="I135" s="860">
        <v>0.77280000000000004</v>
      </c>
      <c r="J135" s="860">
        <v>0.77280000000000004</v>
      </c>
      <c r="K135" s="860">
        <v>0.77280000000000004</v>
      </c>
      <c r="L135" s="860">
        <v>0.77280000000000004</v>
      </c>
      <c r="M135" s="860">
        <v>0.77280000000000004</v>
      </c>
    </row>
    <row r="136" spans="1:13">
      <c r="A136" s="868">
        <v>5.0999999999999996</v>
      </c>
      <c r="B136" s="860">
        <v>0.95779999999999998</v>
      </c>
      <c r="C136" s="860">
        <v>0.95779999999999998</v>
      </c>
      <c r="D136" s="860">
        <v>0.8901</v>
      </c>
      <c r="E136" s="860">
        <v>0.8901</v>
      </c>
      <c r="F136" s="860">
        <v>0.8901</v>
      </c>
      <c r="G136" s="860">
        <v>0.8901</v>
      </c>
      <c r="H136" s="860">
        <v>0.8901</v>
      </c>
      <c r="I136" s="860">
        <v>0.76990000000000003</v>
      </c>
      <c r="J136" s="860">
        <v>0.76990000000000003</v>
      </c>
      <c r="K136" s="860">
        <v>0.76990000000000003</v>
      </c>
      <c r="L136" s="860">
        <v>0.76990000000000003</v>
      </c>
      <c r="M136" s="860">
        <v>0.76990000000000003</v>
      </c>
    </row>
    <row r="137" spans="1:13">
      <c r="A137" s="868">
        <v>5.2</v>
      </c>
      <c r="B137" s="860">
        <v>0.95579999999999998</v>
      </c>
      <c r="C137" s="860">
        <v>0.95579999999999998</v>
      </c>
      <c r="D137" s="860">
        <v>0.88780000000000003</v>
      </c>
      <c r="E137" s="860">
        <v>0.88780000000000003</v>
      </c>
      <c r="F137" s="860">
        <v>0.88780000000000003</v>
      </c>
      <c r="G137" s="860">
        <v>0.88780000000000003</v>
      </c>
      <c r="H137" s="860">
        <v>0.88780000000000003</v>
      </c>
      <c r="I137" s="860">
        <v>0.76700000000000002</v>
      </c>
      <c r="J137" s="860">
        <v>0.76700000000000002</v>
      </c>
      <c r="K137" s="860">
        <v>0.76700000000000002</v>
      </c>
      <c r="L137" s="860">
        <v>0.76700000000000002</v>
      </c>
      <c r="M137" s="860">
        <v>0.76700000000000002</v>
      </c>
    </row>
    <row r="138" spans="1:13">
      <c r="A138" s="868">
        <v>5.3</v>
      </c>
      <c r="B138" s="860">
        <v>0.95379999999999998</v>
      </c>
      <c r="C138" s="860">
        <v>0.95379999999999998</v>
      </c>
      <c r="D138" s="860">
        <v>0.88549999999999995</v>
      </c>
      <c r="E138" s="860">
        <v>0.88549999999999995</v>
      </c>
      <c r="F138" s="860">
        <v>0.88549999999999995</v>
      </c>
      <c r="G138" s="860">
        <v>0.88549999999999995</v>
      </c>
      <c r="H138" s="860">
        <v>0.88549999999999995</v>
      </c>
      <c r="I138" s="860">
        <v>0.76419999999999999</v>
      </c>
      <c r="J138" s="860">
        <v>0.76419999999999999</v>
      </c>
      <c r="K138" s="860">
        <v>0.76419999999999999</v>
      </c>
      <c r="L138" s="860">
        <v>0.76419999999999999</v>
      </c>
      <c r="M138" s="860">
        <v>0.76419999999999999</v>
      </c>
    </row>
    <row r="139" spans="1:13">
      <c r="A139" s="868">
        <v>5.4</v>
      </c>
      <c r="B139" s="860">
        <v>0.95179999999999998</v>
      </c>
      <c r="C139" s="860">
        <v>0.95179999999999998</v>
      </c>
      <c r="D139" s="860">
        <v>0.88329999999999997</v>
      </c>
      <c r="E139" s="860">
        <v>0.88329999999999997</v>
      </c>
      <c r="F139" s="860">
        <v>0.88329999999999997</v>
      </c>
      <c r="G139" s="860">
        <v>0.88329999999999997</v>
      </c>
      <c r="H139" s="860">
        <v>0.88329999999999997</v>
      </c>
      <c r="I139" s="860">
        <v>0.76139999999999997</v>
      </c>
      <c r="J139" s="860">
        <v>0.76139999999999997</v>
      </c>
      <c r="K139" s="860">
        <v>0.76139999999999997</v>
      </c>
      <c r="L139" s="860">
        <v>0.76139999999999997</v>
      </c>
      <c r="M139" s="860">
        <v>0.76139999999999997</v>
      </c>
    </row>
    <row r="140" spans="1:13">
      <c r="A140" s="868">
        <v>5.5</v>
      </c>
      <c r="B140" s="860">
        <v>0.94979999999999998</v>
      </c>
      <c r="C140" s="860">
        <v>0.94979999999999998</v>
      </c>
      <c r="D140" s="860">
        <v>0.88109999999999999</v>
      </c>
      <c r="E140" s="860">
        <v>0.88109999999999999</v>
      </c>
      <c r="F140" s="860">
        <v>0.88109999999999999</v>
      </c>
      <c r="G140" s="860">
        <v>0.88109999999999999</v>
      </c>
      <c r="H140" s="860">
        <v>0.88109999999999999</v>
      </c>
      <c r="I140" s="860">
        <v>0.75860000000000005</v>
      </c>
      <c r="J140" s="860">
        <v>0.75860000000000005</v>
      </c>
      <c r="K140" s="860">
        <v>0.75860000000000005</v>
      </c>
      <c r="L140" s="860">
        <v>0.75860000000000005</v>
      </c>
      <c r="M140" s="860">
        <v>0.75860000000000005</v>
      </c>
    </row>
    <row r="141" spans="1:13">
      <c r="A141" s="868">
        <v>5.6</v>
      </c>
      <c r="B141" s="860">
        <v>0.94789999999999996</v>
      </c>
      <c r="C141" s="860">
        <v>0.94789999999999996</v>
      </c>
      <c r="D141" s="860">
        <v>0.87890000000000001</v>
      </c>
      <c r="E141" s="860">
        <v>0.87890000000000001</v>
      </c>
      <c r="F141" s="860">
        <v>0.87890000000000001</v>
      </c>
      <c r="G141" s="860">
        <v>0.87890000000000001</v>
      </c>
      <c r="H141" s="860">
        <v>0.87890000000000001</v>
      </c>
      <c r="I141" s="860">
        <v>0.75590000000000002</v>
      </c>
      <c r="J141" s="860">
        <v>0.75590000000000002</v>
      </c>
      <c r="K141" s="860">
        <v>0.75590000000000002</v>
      </c>
      <c r="L141" s="860">
        <v>0.75590000000000002</v>
      </c>
      <c r="M141" s="860">
        <v>0.75590000000000002</v>
      </c>
    </row>
    <row r="142" spans="1:13">
      <c r="A142" s="868">
        <v>5.7</v>
      </c>
      <c r="B142" s="860">
        <v>0.94599999999999995</v>
      </c>
      <c r="C142" s="860">
        <v>0.94599999999999995</v>
      </c>
      <c r="D142" s="860">
        <v>0.87670000000000003</v>
      </c>
      <c r="E142" s="860">
        <v>0.87670000000000003</v>
      </c>
      <c r="F142" s="860">
        <v>0.87670000000000003</v>
      </c>
      <c r="G142" s="860">
        <v>0.87670000000000003</v>
      </c>
      <c r="H142" s="860">
        <v>0.87670000000000003</v>
      </c>
      <c r="I142" s="860">
        <v>0.75319999999999998</v>
      </c>
      <c r="J142" s="860">
        <v>0.75319999999999998</v>
      </c>
      <c r="K142" s="860">
        <v>0.75319999999999998</v>
      </c>
      <c r="L142" s="860">
        <v>0.75319999999999998</v>
      </c>
      <c r="M142" s="860">
        <v>0.75319999999999998</v>
      </c>
    </row>
    <row r="143" spans="1:13">
      <c r="A143" s="868">
        <v>5.8</v>
      </c>
      <c r="B143" s="860">
        <v>0.94410000000000005</v>
      </c>
      <c r="C143" s="860">
        <v>0.94410000000000005</v>
      </c>
      <c r="D143" s="860">
        <v>0.87460000000000004</v>
      </c>
      <c r="E143" s="860">
        <v>0.87460000000000004</v>
      </c>
      <c r="F143" s="860">
        <v>0.87460000000000004</v>
      </c>
      <c r="G143" s="860">
        <v>0.87460000000000004</v>
      </c>
      <c r="H143" s="860">
        <v>0.87460000000000004</v>
      </c>
      <c r="I143" s="860">
        <v>0.75049999999999994</v>
      </c>
      <c r="J143" s="860">
        <v>0.75049999999999994</v>
      </c>
      <c r="K143" s="860">
        <v>0.75049999999999994</v>
      </c>
      <c r="L143" s="860">
        <v>0.75049999999999994</v>
      </c>
      <c r="M143" s="860">
        <v>0.75049999999999994</v>
      </c>
    </row>
    <row r="144" spans="1:13">
      <c r="A144" s="868">
        <v>5.9</v>
      </c>
      <c r="B144" s="860">
        <v>0.94220000000000004</v>
      </c>
      <c r="C144" s="860">
        <v>0.94220000000000004</v>
      </c>
      <c r="D144" s="860">
        <v>0.87250000000000005</v>
      </c>
      <c r="E144" s="860">
        <v>0.87250000000000005</v>
      </c>
      <c r="F144" s="860">
        <v>0.87250000000000005</v>
      </c>
      <c r="G144" s="860">
        <v>0.87250000000000005</v>
      </c>
      <c r="H144" s="860">
        <v>0.87250000000000005</v>
      </c>
      <c r="I144" s="860">
        <v>0.74780000000000002</v>
      </c>
      <c r="J144" s="860">
        <v>0.74780000000000002</v>
      </c>
      <c r="K144" s="860">
        <v>0.74780000000000002</v>
      </c>
      <c r="L144" s="860">
        <v>0.74780000000000002</v>
      </c>
      <c r="M144" s="860">
        <v>0.74780000000000002</v>
      </c>
    </row>
    <row r="145" spans="1:13">
      <c r="A145" s="868">
        <v>6</v>
      </c>
      <c r="B145" s="860">
        <v>0.94040000000000001</v>
      </c>
      <c r="C145" s="860">
        <v>0.94040000000000001</v>
      </c>
      <c r="D145" s="860">
        <v>0.87039999999999995</v>
      </c>
      <c r="E145" s="860">
        <v>0.87039999999999995</v>
      </c>
      <c r="F145" s="860">
        <v>0.87039999999999995</v>
      </c>
      <c r="G145" s="860">
        <v>0.87039999999999995</v>
      </c>
      <c r="H145" s="860">
        <v>0.87039999999999995</v>
      </c>
      <c r="I145" s="860">
        <v>0.74519999999999997</v>
      </c>
      <c r="J145" s="860">
        <v>0.74519999999999997</v>
      </c>
      <c r="K145" s="860">
        <v>0.74519999999999997</v>
      </c>
      <c r="L145" s="860">
        <v>0.74519999999999997</v>
      </c>
      <c r="M145" s="860">
        <v>0.74519999999999997</v>
      </c>
    </row>
    <row r="146" spans="1:13">
      <c r="A146" s="868">
        <v>6.1</v>
      </c>
      <c r="B146" s="860">
        <v>0.93859999999999999</v>
      </c>
      <c r="C146" s="860">
        <v>0.93859999999999999</v>
      </c>
      <c r="D146" s="860">
        <v>0.86829999999999996</v>
      </c>
      <c r="E146" s="860">
        <v>0.86829999999999996</v>
      </c>
      <c r="F146" s="860">
        <v>0.86829999999999996</v>
      </c>
      <c r="G146" s="860">
        <v>0.86829999999999996</v>
      </c>
      <c r="H146" s="860">
        <v>0.86829999999999996</v>
      </c>
      <c r="I146" s="860">
        <v>0.74260000000000004</v>
      </c>
      <c r="J146" s="860">
        <v>0.74260000000000004</v>
      </c>
      <c r="K146" s="860">
        <v>0.74260000000000004</v>
      </c>
      <c r="L146" s="860">
        <v>0.74260000000000004</v>
      </c>
      <c r="M146" s="860">
        <v>0.74260000000000004</v>
      </c>
    </row>
    <row r="147" spans="1:13">
      <c r="A147" s="868">
        <v>6.2</v>
      </c>
      <c r="B147" s="860">
        <v>0.93679999999999997</v>
      </c>
      <c r="C147" s="860">
        <v>0.93679999999999997</v>
      </c>
      <c r="D147" s="860">
        <v>0.86619999999999997</v>
      </c>
      <c r="E147" s="860">
        <v>0.86619999999999997</v>
      </c>
      <c r="F147" s="860">
        <v>0.86619999999999997</v>
      </c>
      <c r="G147" s="860">
        <v>0.86619999999999997</v>
      </c>
      <c r="H147" s="860">
        <v>0.86619999999999997</v>
      </c>
      <c r="I147" s="860">
        <v>0.74</v>
      </c>
      <c r="J147" s="860">
        <v>0.74</v>
      </c>
      <c r="K147" s="860">
        <v>0.74</v>
      </c>
      <c r="L147" s="860">
        <v>0.74</v>
      </c>
      <c r="M147" s="860">
        <v>0.74</v>
      </c>
    </row>
    <row r="148" spans="1:13">
      <c r="A148" s="868">
        <v>6.3</v>
      </c>
      <c r="B148" s="860">
        <v>0.93500000000000005</v>
      </c>
      <c r="C148" s="860">
        <v>0.93500000000000005</v>
      </c>
      <c r="D148" s="860">
        <v>0.86409999999999998</v>
      </c>
      <c r="E148" s="860">
        <v>0.86409999999999998</v>
      </c>
      <c r="F148" s="860">
        <v>0.86409999999999998</v>
      </c>
      <c r="G148" s="860">
        <v>0.86409999999999998</v>
      </c>
      <c r="H148" s="860">
        <v>0.86409999999999998</v>
      </c>
      <c r="I148" s="860">
        <v>0.73740000000000006</v>
      </c>
      <c r="J148" s="860">
        <v>0.73740000000000006</v>
      </c>
      <c r="K148" s="860">
        <v>0.73740000000000006</v>
      </c>
      <c r="L148" s="860">
        <v>0.73740000000000006</v>
      </c>
      <c r="M148" s="860">
        <v>0.73740000000000006</v>
      </c>
    </row>
    <row r="149" spans="1:13">
      <c r="A149" s="868">
        <v>6.4</v>
      </c>
      <c r="B149" s="860">
        <v>0.93320000000000003</v>
      </c>
      <c r="C149" s="860">
        <v>0.93320000000000003</v>
      </c>
      <c r="D149" s="860">
        <v>0.86209999999999998</v>
      </c>
      <c r="E149" s="860">
        <v>0.86209999999999998</v>
      </c>
      <c r="F149" s="860">
        <v>0.86209999999999998</v>
      </c>
      <c r="G149" s="860">
        <v>0.86209999999999998</v>
      </c>
      <c r="H149" s="860">
        <v>0.86209999999999998</v>
      </c>
      <c r="I149" s="860">
        <v>0.73480000000000001</v>
      </c>
      <c r="J149" s="860">
        <v>0.73480000000000001</v>
      </c>
      <c r="K149" s="860">
        <v>0.73480000000000001</v>
      </c>
      <c r="L149" s="860">
        <v>0.73480000000000001</v>
      </c>
      <c r="M149" s="860">
        <v>0.73480000000000001</v>
      </c>
    </row>
    <row r="150" spans="1:13">
      <c r="A150" s="868">
        <v>6.5</v>
      </c>
      <c r="B150" s="860">
        <v>0.93149999999999999</v>
      </c>
      <c r="C150" s="860">
        <v>0.93149999999999999</v>
      </c>
      <c r="D150" s="860">
        <v>0.86009999999999998</v>
      </c>
      <c r="E150" s="860">
        <v>0.86009999999999998</v>
      </c>
      <c r="F150" s="860">
        <v>0.86009999999999998</v>
      </c>
      <c r="G150" s="860">
        <v>0.86009999999999998</v>
      </c>
      <c r="H150" s="860">
        <v>0.86009999999999998</v>
      </c>
      <c r="I150" s="860">
        <v>0.73229999999999995</v>
      </c>
      <c r="J150" s="860">
        <v>0.73229999999999995</v>
      </c>
      <c r="K150" s="860">
        <v>0.73229999999999995</v>
      </c>
      <c r="L150" s="860">
        <v>0.73229999999999995</v>
      </c>
      <c r="M150" s="860">
        <v>0.73229999999999995</v>
      </c>
    </row>
    <row r="151" spans="1:13">
      <c r="A151" s="868">
        <v>6.6</v>
      </c>
      <c r="B151" s="860">
        <v>0.92979999999999996</v>
      </c>
      <c r="C151" s="860">
        <v>0.92979999999999996</v>
      </c>
      <c r="D151" s="860">
        <v>0.85809999999999997</v>
      </c>
      <c r="E151" s="860">
        <v>0.85809999999999997</v>
      </c>
      <c r="F151" s="860">
        <v>0.85809999999999997</v>
      </c>
      <c r="G151" s="860">
        <v>0.85809999999999997</v>
      </c>
      <c r="H151" s="860">
        <v>0.85809999999999997</v>
      </c>
      <c r="I151" s="860">
        <v>0.7298</v>
      </c>
      <c r="J151" s="860">
        <v>0.7298</v>
      </c>
      <c r="K151" s="860">
        <v>0.7298</v>
      </c>
      <c r="L151" s="860">
        <v>0.7298</v>
      </c>
      <c r="M151" s="860">
        <v>0.7298</v>
      </c>
    </row>
    <row r="152" spans="1:13">
      <c r="A152" s="868">
        <v>6.7</v>
      </c>
      <c r="B152" s="860">
        <v>0.92810000000000004</v>
      </c>
      <c r="C152" s="860">
        <v>0.92810000000000004</v>
      </c>
      <c r="D152" s="860">
        <v>0.85609999999999997</v>
      </c>
      <c r="E152" s="860">
        <v>0.85609999999999997</v>
      </c>
      <c r="F152" s="860">
        <v>0.85609999999999997</v>
      </c>
      <c r="G152" s="860">
        <v>0.85609999999999997</v>
      </c>
      <c r="H152" s="860">
        <v>0.85609999999999997</v>
      </c>
      <c r="I152" s="860">
        <v>0.72729999999999995</v>
      </c>
      <c r="J152" s="860">
        <v>0.72729999999999995</v>
      </c>
      <c r="K152" s="860">
        <v>0.72729999999999995</v>
      </c>
      <c r="L152" s="860">
        <v>0.72729999999999995</v>
      </c>
      <c r="M152" s="860">
        <v>0.72729999999999995</v>
      </c>
    </row>
    <row r="153" spans="1:13">
      <c r="A153" s="868">
        <v>6.8</v>
      </c>
      <c r="B153" s="860">
        <v>0.9264</v>
      </c>
      <c r="C153" s="860">
        <v>0.9264</v>
      </c>
      <c r="D153" s="860">
        <v>0.85409999999999997</v>
      </c>
      <c r="E153" s="860">
        <v>0.85409999999999997</v>
      </c>
      <c r="F153" s="860">
        <v>0.85409999999999997</v>
      </c>
      <c r="G153" s="860">
        <v>0.85409999999999997</v>
      </c>
      <c r="H153" s="860">
        <v>0.85409999999999997</v>
      </c>
      <c r="I153" s="860">
        <v>0.7248</v>
      </c>
      <c r="J153" s="860">
        <v>0.7248</v>
      </c>
      <c r="K153" s="860">
        <v>0.7248</v>
      </c>
      <c r="L153" s="860">
        <v>0.7248</v>
      </c>
      <c r="M153" s="860">
        <v>0.7248</v>
      </c>
    </row>
    <row r="154" spans="1:13">
      <c r="A154" s="868">
        <v>6.9</v>
      </c>
      <c r="B154" s="860">
        <v>0.92469999999999997</v>
      </c>
      <c r="C154" s="860">
        <v>0.92469999999999997</v>
      </c>
      <c r="D154" s="860">
        <v>0.85209999999999997</v>
      </c>
      <c r="E154" s="860">
        <v>0.85209999999999997</v>
      </c>
      <c r="F154" s="860">
        <v>0.85209999999999997</v>
      </c>
      <c r="G154" s="860">
        <v>0.85209999999999997</v>
      </c>
      <c r="H154" s="860">
        <v>0.85209999999999997</v>
      </c>
      <c r="I154" s="860">
        <v>0.72230000000000005</v>
      </c>
      <c r="J154" s="860">
        <v>0.72230000000000005</v>
      </c>
      <c r="K154" s="860">
        <v>0.72230000000000005</v>
      </c>
      <c r="L154" s="860">
        <v>0.72230000000000005</v>
      </c>
      <c r="M154" s="860">
        <v>0.72230000000000005</v>
      </c>
    </row>
    <row r="155" spans="1:13">
      <c r="A155" s="851">
        <v>7</v>
      </c>
      <c r="B155" s="860">
        <v>0.92300000000000004</v>
      </c>
      <c r="C155" s="860">
        <v>0.92300000000000004</v>
      </c>
      <c r="D155" s="860">
        <v>0.85019999999999996</v>
      </c>
      <c r="E155" s="860">
        <v>0.85019999999999996</v>
      </c>
      <c r="F155" s="860">
        <v>0.85019999999999996</v>
      </c>
      <c r="G155" s="860">
        <v>0.85019999999999996</v>
      </c>
      <c r="H155" s="860">
        <v>0.85019999999999996</v>
      </c>
      <c r="I155" s="860">
        <v>0.71989999999999998</v>
      </c>
      <c r="J155" s="860">
        <v>0.71989999999999998</v>
      </c>
      <c r="K155" s="860">
        <v>0.71989999999999998</v>
      </c>
      <c r="L155" s="860">
        <v>0.71989999999999998</v>
      </c>
      <c r="M155" s="860">
        <v>0.71989999999999998</v>
      </c>
    </row>
    <row r="156" spans="1:13">
      <c r="A156" s="851">
        <v>7.1</v>
      </c>
      <c r="B156" s="860">
        <v>0.9214</v>
      </c>
      <c r="C156" s="860">
        <v>0.9214</v>
      </c>
      <c r="D156" s="860">
        <v>0.84830000000000005</v>
      </c>
      <c r="E156" s="860">
        <v>0.84830000000000005</v>
      </c>
      <c r="F156" s="860">
        <v>0.84830000000000005</v>
      </c>
      <c r="G156" s="860">
        <v>0.84830000000000005</v>
      </c>
      <c r="H156" s="860">
        <v>0.84830000000000005</v>
      </c>
      <c r="I156" s="860">
        <v>0.71750000000000003</v>
      </c>
      <c r="J156" s="860">
        <v>0.71750000000000003</v>
      </c>
      <c r="K156" s="860">
        <v>0.71750000000000003</v>
      </c>
      <c r="L156" s="860">
        <v>0.71750000000000003</v>
      </c>
      <c r="M156" s="860">
        <v>0.71750000000000003</v>
      </c>
    </row>
    <row r="157" spans="1:13">
      <c r="A157" s="851">
        <v>7.2</v>
      </c>
      <c r="B157" s="860">
        <v>0.91979999999999995</v>
      </c>
      <c r="C157" s="860">
        <v>0.91979999999999995</v>
      </c>
      <c r="D157" s="860">
        <v>0.84640000000000004</v>
      </c>
      <c r="E157" s="860">
        <v>0.84640000000000004</v>
      </c>
      <c r="F157" s="860">
        <v>0.84640000000000004</v>
      </c>
      <c r="G157" s="860">
        <v>0.84640000000000004</v>
      </c>
      <c r="H157" s="860">
        <v>0.84640000000000004</v>
      </c>
      <c r="I157" s="860">
        <v>0.71509999999999996</v>
      </c>
      <c r="J157" s="860">
        <v>0.71509999999999996</v>
      </c>
      <c r="K157" s="860">
        <v>0.71509999999999996</v>
      </c>
      <c r="L157" s="860">
        <v>0.71509999999999996</v>
      </c>
      <c r="M157" s="860">
        <v>0.71509999999999996</v>
      </c>
    </row>
    <row r="158" spans="1:13">
      <c r="A158" s="851">
        <v>7.3</v>
      </c>
      <c r="B158" s="860">
        <v>0.91820000000000002</v>
      </c>
      <c r="C158" s="860">
        <v>0.91820000000000002</v>
      </c>
      <c r="D158" s="860">
        <v>0.84450000000000003</v>
      </c>
      <c r="E158" s="860">
        <v>0.84450000000000003</v>
      </c>
      <c r="F158" s="860">
        <v>0.84450000000000003</v>
      </c>
      <c r="G158" s="860">
        <v>0.84450000000000003</v>
      </c>
      <c r="H158" s="860">
        <v>0.84450000000000003</v>
      </c>
      <c r="I158" s="860">
        <v>0.7127</v>
      </c>
      <c r="J158" s="860">
        <v>0.7127</v>
      </c>
      <c r="K158" s="860">
        <v>0.7127</v>
      </c>
      <c r="L158" s="860">
        <v>0.7127</v>
      </c>
      <c r="M158" s="860">
        <v>0.7127</v>
      </c>
    </row>
    <row r="159" spans="1:13">
      <c r="A159" s="851">
        <v>7.4</v>
      </c>
      <c r="B159" s="860">
        <v>0.91659999999999997</v>
      </c>
      <c r="C159" s="860">
        <v>0.91659999999999997</v>
      </c>
      <c r="D159" s="860">
        <v>0.84260000000000002</v>
      </c>
      <c r="E159" s="860">
        <v>0.84260000000000002</v>
      </c>
      <c r="F159" s="860">
        <v>0.84260000000000002</v>
      </c>
      <c r="G159" s="860">
        <v>0.84260000000000002</v>
      </c>
      <c r="H159" s="860">
        <v>0.84260000000000002</v>
      </c>
      <c r="I159" s="860">
        <v>0.71030000000000004</v>
      </c>
      <c r="J159" s="860">
        <v>0.71030000000000004</v>
      </c>
      <c r="K159" s="860">
        <v>0.71030000000000004</v>
      </c>
      <c r="L159" s="860">
        <v>0.71030000000000004</v>
      </c>
      <c r="M159" s="860">
        <v>0.71030000000000004</v>
      </c>
    </row>
    <row r="160" spans="1:13">
      <c r="A160" s="851">
        <v>7.5</v>
      </c>
      <c r="B160" s="860">
        <v>0.91500000000000004</v>
      </c>
      <c r="C160" s="860">
        <v>0.91500000000000004</v>
      </c>
      <c r="D160" s="860">
        <v>0.8407</v>
      </c>
      <c r="E160" s="860">
        <v>0.8407</v>
      </c>
      <c r="F160" s="860">
        <v>0.8407</v>
      </c>
      <c r="G160" s="860">
        <v>0.8407</v>
      </c>
      <c r="H160" s="860">
        <v>0.8407</v>
      </c>
      <c r="I160" s="860">
        <v>0.70799999999999996</v>
      </c>
      <c r="J160" s="860">
        <v>0.70799999999999996</v>
      </c>
      <c r="K160" s="860">
        <v>0.70799999999999996</v>
      </c>
      <c r="L160" s="860">
        <v>0.70799999999999996</v>
      </c>
      <c r="M160" s="860">
        <v>0.70799999999999996</v>
      </c>
    </row>
    <row r="161" spans="1:13">
      <c r="A161" s="868">
        <v>7.6</v>
      </c>
      <c r="B161" s="860">
        <v>0.91339999999999999</v>
      </c>
      <c r="C161" s="860">
        <v>0.91339999999999999</v>
      </c>
      <c r="D161" s="860">
        <v>0.83889999999999998</v>
      </c>
      <c r="E161" s="860">
        <v>0.83889999999999998</v>
      </c>
      <c r="F161" s="860">
        <v>0.83889999999999998</v>
      </c>
      <c r="G161" s="860">
        <v>0.83889999999999998</v>
      </c>
      <c r="H161" s="860">
        <v>0.83889999999999998</v>
      </c>
      <c r="I161" s="860">
        <v>0.70569999999999999</v>
      </c>
      <c r="J161" s="860">
        <v>0.70569999999999999</v>
      </c>
      <c r="K161" s="860">
        <v>0.70569999999999999</v>
      </c>
      <c r="L161" s="860">
        <v>0.70569999999999999</v>
      </c>
      <c r="M161" s="860">
        <v>0.70569999999999999</v>
      </c>
    </row>
    <row r="162" spans="1:13">
      <c r="A162" s="851">
        <v>7.7</v>
      </c>
      <c r="B162" s="860">
        <v>0.91190000000000004</v>
      </c>
      <c r="C162" s="860">
        <v>0.91190000000000004</v>
      </c>
      <c r="D162" s="860">
        <v>0.83709999999999996</v>
      </c>
      <c r="E162" s="860">
        <v>0.83709999999999996</v>
      </c>
      <c r="F162" s="860">
        <v>0.83709999999999996</v>
      </c>
      <c r="G162" s="860">
        <v>0.83709999999999996</v>
      </c>
      <c r="H162" s="860">
        <v>0.83709999999999996</v>
      </c>
      <c r="I162" s="860">
        <v>0.70340000000000003</v>
      </c>
      <c r="J162" s="860">
        <v>0.70340000000000003</v>
      </c>
      <c r="K162" s="860">
        <v>0.70340000000000003</v>
      </c>
      <c r="L162" s="860">
        <v>0.70340000000000003</v>
      </c>
      <c r="M162" s="860">
        <v>0.70340000000000003</v>
      </c>
    </row>
    <row r="163" spans="1:13">
      <c r="A163" s="851">
        <v>7.8</v>
      </c>
      <c r="B163" s="860">
        <v>0.91039999999999999</v>
      </c>
      <c r="C163" s="860">
        <v>0.91039999999999999</v>
      </c>
      <c r="D163" s="860">
        <v>0.83530000000000004</v>
      </c>
      <c r="E163" s="860">
        <v>0.83530000000000004</v>
      </c>
      <c r="F163" s="860">
        <v>0.83530000000000004</v>
      </c>
      <c r="G163" s="860">
        <v>0.83530000000000004</v>
      </c>
      <c r="H163" s="860">
        <v>0.83530000000000004</v>
      </c>
      <c r="I163" s="860">
        <v>0.70109999999999995</v>
      </c>
      <c r="J163" s="860">
        <v>0.70109999999999995</v>
      </c>
      <c r="K163" s="860">
        <v>0.70109999999999995</v>
      </c>
      <c r="L163" s="860">
        <v>0.70109999999999995</v>
      </c>
      <c r="M163" s="860">
        <v>0.70109999999999995</v>
      </c>
    </row>
    <row r="164" spans="1:13">
      <c r="A164" s="851">
        <v>7.9</v>
      </c>
      <c r="B164" s="860">
        <v>0.90890000000000004</v>
      </c>
      <c r="C164" s="860">
        <v>0.90890000000000004</v>
      </c>
      <c r="D164" s="860">
        <v>0.83350000000000002</v>
      </c>
      <c r="E164" s="860">
        <v>0.83350000000000002</v>
      </c>
      <c r="F164" s="860">
        <v>0.83350000000000002</v>
      </c>
      <c r="G164" s="860">
        <v>0.83350000000000002</v>
      </c>
      <c r="H164" s="860">
        <v>0.83350000000000002</v>
      </c>
      <c r="I164" s="860">
        <v>0.69879999999999998</v>
      </c>
      <c r="J164" s="860">
        <v>0.69879999999999998</v>
      </c>
      <c r="K164" s="860">
        <v>0.69879999999999998</v>
      </c>
      <c r="L164" s="860">
        <v>0.69879999999999998</v>
      </c>
      <c r="M164" s="860">
        <v>0.69879999999999998</v>
      </c>
    </row>
    <row r="165" spans="1:13">
      <c r="A165" s="851">
        <v>8</v>
      </c>
      <c r="B165" s="860">
        <v>0.90739999999999998</v>
      </c>
      <c r="C165" s="860">
        <v>0.90739999999999998</v>
      </c>
      <c r="D165" s="860">
        <v>0.83169999999999999</v>
      </c>
      <c r="E165" s="860">
        <v>0.83169999999999999</v>
      </c>
      <c r="F165" s="860">
        <v>0.83169999999999999</v>
      </c>
      <c r="G165" s="860">
        <v>0.83169999999999999</v>
      </c>
      <c r="H165" s="860">
        <v>0.83169999999999999</v>
      </c>
      <c r="I165" s="860">
        <v>0.6966</v>
      </c>
      <c r="J165" s="860">
        <v>0.6966</v>
      </c>
      <c r="K165" s="860">
        <v>0.6966</v>
      </c>
      <c r="L165" s="860">
        <v>0.6966</v>
      </c>
      <c r="M165" s="860">
        <v>0.6966</v>
      </c>
    </row>
    <row r="166" spans="1:13">
      <c r="A166" s="851">
        <v>8.1</v>
      </c>
      <c r="B166" s="860">
        <v>0.90590000000000004</v>
      </c>
      <c r="C166" s="860">
        <v>0.90590000000000004</v>
      </c>
      <c r="D166" s="860">
        <v>0.82989999999999997</v>
      </c>
      <c r="E166" s="860">
        <v>0.82989999999999997</v>
      </c>
      <c r="F166" s="860">
        <v>0.82989999999999997</v>
      </c>
      <c r="G166" s="860">
        <v>0.82989999999999997</v>
      </c>
      <c r="H166" s="860">
        <v>0.82989999999999997</v>
      </c>
      <c r="I166" s="860">
        <v>0.69440000000000002</v>
      </c>
      <c r="J166" s="860">
        <v>0.69440000000000002</v>
      </c>
      <c r="K166" s="860">
        <v>0.69440000000000002</v>
      </c>
      <c r="L166" s="860">
        <v>0.69440000000000002</v>
      </c>
      <c r="M166" s="860">
        <v>0.69440000000000002</v>
      </c>
    </row>
    <row r="167" spans="1:13">
      <c r="A167" s="851">
        <v>8.1999999999999993</v>
      </c>
      <c r="B167" s="860">
        <v>0.90439999999999998</v>
      </c>
      <c r="C167" s="860">
        <v>0.90439999999999998</v>
      </c>
      <c r="D167" s="860">
        <v>0.82820000000000005</v>
      </c>
      <c r="E167" s="860">
        <v>0.82820000000000005</v>
      </c>
      <c r="F167" s="860">
        <v>0.82820000000000005</v>
      </c>
      <c r="G167" s="860">
        <v>0.82820000000000005</v>
      </c>
      <c r="H167" s="860">
        <v>0.82820000000000005</v>
      </c>
      <c r="I167" s="860">
        <v>0.69220000000000004</v>
      </c>
      <c r="J167" s="860">
        <v>0.69220000000000004</v>
      </c>
      <c r="K167" s="860">
        <v>0.69220000000000004</v>
      </c>
      <c r="L167" s="860">
        <v>0.69220000000000004</v>
      </c>
      <c r="M167" s="860">
        <v>0.69220000000000004</v>
      </c>
    </row>
    <row r="168" spans="1:13">
      <c r="A168" s="851">
        <v>8.3000000000000007</v>
      </c>
      <c r="B168" s="860">
        <v>0.90300000000000002</v>
      </c>
      <c r="C168" s="860">
        <v>0.90300000000000002</v>
      </c>
      <c r="D168" s="860">
        <v>0.82650000000000001</v>
      </c>
      <c r="E168" s="860">
        <v>0.82650000000000001</v>
      </c>
      <c r="F168" s="860">
        <v>0.82650000000000001</v>
      </c>
      <c r="G168" s="860">
        <v>0.82650000000000001</v>
      </c>
      <c r="H168" s="860">
        <v>0.82650000000000001</v>
      </c>
      <c r="I168" s="860">
        <v>0.69</v>
      </c>
      <c r="J168" s="860">
        <v>0.69</v>
      </c>
      <c r="K168" s="860">
        <v>0.69</v>
      </c>
      <c r="L168" s="860">
        <v>0.69</v>
      </c>
      <c r="M168" s="860">
        <v>0.69</v>
      </c>
    </row>
    <row r="169" spans="1:13">
      <c r="A169" s="851">
        <v>8.4</v>
      </c>
      <c r="B169" s="860">
        <v>0.90159999999999996</v>
      </c>
      <c r="C169" s="860">
        <v>0.90159999999999996</v>
      </c>
      <c r="D169" s="860">
        <v>0.82479999999999998</v>
      </c>
      <c r="E169" s="860">
        <v>0.82479999999999998</v>
      </c>
      <c r="F169" s="860">
        <v>0.82479999999999998</v>
      </c>
      <c r="G169" s="860">
        <v>0.82479999999999998</v>
      </c>
      <c r="H169" s="860">
        <v>0.82479999999999998</v>
      </c>
      <c r="I169" s="860">
        <v>0.68779999999999997</v>
      </c>
      <c r="J169" s="860">
        <v>0.68779999999999997</v>
      </c>
      <c r="K169" s="860">
        <v>0.68779999999999997</v>
      </c>
      <c r="L169" s="860">
        <v>0.68779999999999997</v>
      </c>
      <c r="M169" s="860">
        <v>0.68779999999999997</v>
      </c>
    </row>
    <row r="170" spans="1:13">
      <c r="A170" s="851">
        <v>8.5</v>
      </c>
      <c r="B170" s="860">
        <v>0.9002</v>
      </c>
      <c r="C170" s="860">
        <v>0.9002</v>
      </c>
      <c r="D170" s="860">
        <v>0.82310000000000005</v>
      </c>
      <c r="E170" s="860">
        <v>0.82310000000000005</v>
      </c>
      <c r="F170" s="860">
        <v>0.82310000000000005</v>
      </c>
      <c r="G170" s="860">
        <v>0.82310000000000005</v>
      </c>
      <c r="H170" s="860">
        <v>0.82310000000000005</v>
      </c>
      <c r="I170" s="860">
        <v>0.68569999999999998</v>
      </c>
      <c r="J170" s="860">
        <v>0.68569999999999998</v>
      </c>
      <c r="K170" s="860">
        <v>0.68569999999999998</v>
      </c>
      <c r="L170" s="860">
        <v>0.68569999999999998</v>
      </c>
      <c r="M170" s="860">
        <v>0.68569999999999998</v>
      </c>
    </row>
    <row r="171" spans="1:13">
      <c r="A171" s="851">
        <v>8.6</v>
      </c>
      <c r="B171" s="860">
        <v>0.89880000000000004</v>
      </c>
      <c r="C171" s="860">
        <v>0.89880000000000004</v>
      </c>
      <c r="D171" s="860">
        <v>0.82140000000000002</v>
      </c>
      <c r="E171" s="860">
        <v>0.82140000000000002</v>
      </c>
      <c r="F171" s="860">
        <v>0.82140000000000002</v>
      </c>
      <c r="G171" s="860">
        <v>0.82140000000000002</v>
      </c>
      <c r="H171" s="860">
        <v>0.82140000000000002</v>
      </c>
      <c r="I171" s="860">
        <v>0.68359999999999999</v>
      </c>
      <c r="J171" s="860">
        <v>0.68359999999999999</v>
      </c>
      <c r="K171" s="860">
        <v>0.68359999999999999</v>
      </c>
      <c r="L171" s="860">
        <v>0.68359999999999999</v>
      </c>
      <c r="M171" s="860">
        <v>0.68359999999999999</v>
      </c>
    </row>
    <row r="172" spans="1:13">
      <c r="A172" s="851">
        <v>8.6999999999999993</v>
      </c>
      <c r="B172" s="860">
        <v>0.89739999999999998</v>
      </c>
      <c r="C172" s="860">
        <v>0.89739999999999998</v>
      </c>
      <c r="D172" s="860">
        <v>0.81969999999999998</v>
      </c>
      <c r="E172" s="860">
        <v>0.81969999999999998</v>
      </c>
      <c r="F172" s="860">
        <v>0.81969999999999998</v>
      </c>
      <c r="G172" s="860">
        <v>0.81969999999999998</v>
      </c>
      <c r="H172" s="860">
        <v>0.81969999999999998</v>
      </c>
      <c r="I172" s="860">
        <v>0.68149999999999999</v>
      </c>
      <c r="J172" s="860">
        <v>0.68149999999999999</v>
      </c>
      <c r="K172" s="860">
        <v>0.68149999999999999</v>
      </c>
      <c r="L172" s="860">
        <v>0.68149999999999999</v>
      </c>
      <c r="M172" s="860">
        <v>0.68149999999999999</v>
      </c>
    </row>
    <row r="173" spans="1:13">
      <c r="A173" s="851">
        <v>8.8000000000000007</v>
      </c>
      <c r="B173" s="860">
        <v>0.89600000000000002</v>
      </c>
      <c r="C173" s="860">
        <v>0.89600000000000002</v>
      </c>
      <c r="D173" s="860">
        <v>0.81810000000000005</v>
      </c>
      <c r="E173" s="860">
        <v>0.81810000000000005</v>
      </c>
      <c r="F173" s="860">
        <v>0.81810000000000005</v>
      </c>
      <c r="G173" s="860">
        <v>0.81810000000000005</v>
      </c>
      <c r="H173" s="860">
        <v>0.81810000000000005</v>
      </c>
      <c r="I173" s="860">
        <v>0.6794</v>
      </c>
      <c r="J173" s="860">
        <v>0.6794</v>
      </c>
      <c r="K173" s="860">
        <v>0.6794</v>
      </c>
      <c r="L173" s="860">
        <v>0.6794</v>
      </c>
      <c r="M173" s="860">
        <v>0.6794</v>
      </c>
    </row>
    <row r="174" spans="1:13">
      <c r="A174" s="851">
        <v>8.9</v>
      </c>
      <c r="B174" s="860">
        <v>0.89470000000000005</v>
      </c>
      <c r="C174" s="860">
        <v>0.89470000000000005</v>
      </c>
      <c r="D174" s="860">
        <v>0.8165</v>
      </c>
      <c r="E174" s="860">
        <v>0.8165</v>
      </c>
      <c r="F174" s="860">
        <v>0.8165</v>
      </c>
      <c r="G174" s="860">
        <v>0.8165</v>
      </c>
      <c r="H174" s="860">
        <v>0.8165</v>
      </c>
      <c r="I174" s="860">
        <v>0.6774</v>
      </c>
      <c r="J174" s="860">
        <v>0.6774</v>
      </c>
      <c r="K174" s="860">
        <v>0.6774</v>
      </c>
      <c r="L174" s="860">
        <v>0.6774</v>
      </c>
      <c r="M174" s="860">
        <v>0.6774</v>
      </c>
    </row>
    <row r="175" spans="1:13">
      <c r="A175" s="851">
        <v>9</v>
      </c>
      <c r="B175" s="860">
        <v>0.89339999999999997</v>
      </c>
      <c r="C175" s="860">
        <v>0.89339999999999997</v>
      </c>
      <c r="D175" s="860">
        <v>0.81489999999999996</v>
      </c>
      <c r="E175" s="860">
        <v>0.81489999999999996</v>
      </c>
      <c r="F175" s="860">
        <v>0.81489999999999996</v>
      </c>
      <c r="G175" s="860">
        <v>0.81489999999999996</v>
      </c>
      <c r="H175" s="860">
        <v>0.81489999999999996</v>
      </c>
      <c r="I175" s="860">
        <v>0.6754</v>
      </c>
      <c r="J175" s="860">
        <v>0.6754</v>
      </c>
      <c r="K175" s="860">
        <v>0.6754</v>
      </c>
      <c r="L175" s="860">
        <v>0.6754</v>
      </c>
      <c r="M175" s="860">
        <v>0.6754</v>
      </c>
    </row>
    <row r="176" spans="1:13">
      <c r="A176" s="851">
        <v>9.1</v>
      </c>
      <c r="B176" s="860">
        <v>0.8921</v>
      </c>
      <c r="C176" s="860">
        <v>0.8921</v>
      </c>
      <c r="D176" s="860">
        <v>0.81330000000000002</v>
      </c>
      <c r="E176" s="860">
        <v>0.81330000000000002</v>
      </c>
      <c r="F176" s="860">
        <v>0.81330000000000002</v>
      </c>
      <c r="G176" s="860">
        <v>0.81330000000000002</v>
      </c>
      <c r="H176" s="860">
        <v>0.81330000000000002</v>
      </c>
      <c r="I176" s="860">
        <v>0.6734</v>
      </c>
      <c r="J176" s="860">
        <v>0.6734</v>
      </c>
      <c r="K176" s="860">
        <v>0.6734</v>
      </c>
      <c r="L176" s="860">
        <v>0.6734</v>
      </c>
      <c r="M176" s="860">
        <v>0.6734</v>
      </c>
    </row>
    <row r="177" spans="1:13">
      <c r="A177" s="851">
        <v>9.1999999999999993</v>
      </c>
      <c r="B177" s="860">
        <v>0.89080000000000004</v>
      </c>
      <c r="C177" s="860">
        <v>0.89080000000000004</v>
      </c>
      <c r="D177" s="860">
        <v>0.81169999999999998</v>
      </c>
      <c r="E177" s="860">
        <v>0.81169999999999998</v>
      </c>
      <c r="F177" s="860">
        <v>0.81169999999999998</v>
      </c>
      <c r="G177" s="860">
        <v>0.81169999999999998</v>
      </c>
      <c r="H177" s="860">
        <v>0.81169999999999998</v>
      </c>
      <c r="I177" s="860">
        <v>0.6714</v>
      </c>
      <c r="J177" s="860">
        <v>0.6714</v>
      </c>
      <c r="K177" s="860">
        <v>0.6714</v>
      </c>
      <c r="L177" s="860">
        <v>0.6714</v>
      </c>
      <c r="M177" s="860">
        <v>0.6714</v>
      </c>
    </row>
    <row r="178" spans="1:13">
      <c r="A178" s="851">
        <v>9.3000000000000007</v>
      </c>
      <c r="B178" s="860">
        <v>0.88949999999999996</v>
      </c>
      <c r="C178" s="860">
        <v>0.88949999999999996</v>
      </c>
      <c r="D178" s="860">
        <v>0.81010000000000004</v>
      </c>
      <c r="E178" s="860">
        <v>0.81010000000000004</v>
      </c>
      <c r="F178" s="860">
        <v>0.81010000000000004</v>
      </c>
      <c r="G178" s="860">
        <v>0.81010000000000004</v>
      </c>
      <c r="H178" s="860">
        <v>0.81010000000000004</v>
      </c>
      <c r="I178" s="860">
        <v>0.6694</v>
      </c>
      <c r="J178" s="860">
        <v>0.6694</v>
      </c>
      <c r="K178" s="860">
        <v>0.6694</v>
      </c>
      <c r="L178" s="860">
        <v>0.6694</v>
      </c>
      <c r="M178" s="860">
        <v>0.6694</v>
      </c>
    </row>
    <row r="179" spans="1:13">
      <c r="A179" s="851">
        <v>9.4</v>
      </c>
      <c r="B179" s="860">
        <v>0.88819999999999999</v>
      </c>
      <c r="C179" s="860">
        <v>0.88819999999999999</v>
      </c>
      <c r="D179" s="860">
        <v>0.8085</v>
      </c>
      <c r="E179" s="860">
        <v>0.8085</v>
      </c>
      <c r="F179" s="860">
        <v>0.8085</v>
      </c>
      <c r="G179" s="860">
        <v>0.8085</v>
      </c>
      <c r="H179" s="860">
        <v>0.8085</v>
      </c>
      <c r="I179" s="860">
        <v>0.66739999999999999</v>
      </c>
      <c r="J179" s="860">
        <v>0.66739999999999999</v>
      </c>
      <c r="K179" s="860">
        <v>0.66739999999999999</v>
      </c>
      <c r="L179" s="860">
        <v>0.66739999999999999</v>
      </c>
      <c r="M179" s="860">
        <v>0.66739999999999999</v>
      </c>
    </row>
    <row r="180" spans="1:13">
      <c r="A180" s="851">
        <v>9.5</v>
      </c>
      <c r="B180" s="860">
        <v>0.88700000000000001</v>
      </c>
      <c r="C180" s="860">
        <v>0.88700000000000001</v>
      </c>
      <c r="D180" s="860">
        <v>0.80700000000000005</v>
      </c>
      <c r="E180" s="860">
        <v>0.80700000000000005</v>
      </c>
      <c r="F180" s="860">
        <v>0.80700000000000005</v>
      </c>
      <c r="G180" s="860">
        <v>0.80700000000000005</v>
      </c>
      <c r="H180" s="860">
        <v>0.80700000000000005</v>
      </c>
      <c r="I180" s="860">
        <v>0.66549999999999998</v>
      </c>
      <c r="J180" s="860">
        <v>0.66549999999999998</v>
      </c>
      <c r="K180" s="860">
        <v>0.66549999999999998</v>
      </c>
      <c r="L180" s="860">
        <v>0.66549999999999998</v>
      </c>
      <c r="M180" s="860">
        <v>0.66549999999999998</v>
      </c>
    </row>
    <row r="181" spans="1:13">
      <c r="A181" s="851">
        <v>9.6</v>
      </c>
      <c r="B181" s="860">
        <v>0.88580000000000003</v>
      </c>
      <c r="C181" s="860">
        <v>0.88580000000000003</v>
      </c>
      <c r="D181" s="860">
        <v>0.80549999999999999</v>
      </c>
      <c r="E181" s="860">
        <v>0.80549999999999999</v>
      </c>
      <c r="F181" s="860">
        <v>0.80549999999999999</v>
      </c>
      <c r="G181" s="860">
        <v>0.80549999999999999</v>
      </c>
      <c r="H181" s="860">
        <v>0.80549999999999999</v>
      </c>
      <c r="I181" s="860">
        <v>0.66359999999999997</v>
      </c>
      <c r="J181" s="860">
        <v>0.66359999999999997</v>
      </c>
      <c r="K181" s="860">
        <v>0.66359999999999997</v>
      </c>
      <c r="L181" s="860">
        <v>0.66359999999999997</v>
      </c>
      <c r="M181" s="860">
        <v>0.66359999999999997</v>
      </c>
    </row>
    <row r="182" spans="1:13">
      <c r="A182" s="851">
        <v>9.6999999999999993</v>
      </c>
      <c r="B182" s="860">
        <v>0.88460000000000005</v>
      </c>
      <c r="C182" s="860">
        <v>0.88460000000000005</v>
      </c>
      <c r="D182" s="860">
        <v>0.80400000000000005</v>
      </c>
      <c r="E182" s="860">
        <v>0.80400000000000005</v>
      </c>
      <c r="F182" s="860">
        <v>0.80400000000000005</v>
      </c>
      <c r="G182" s="860">
        <v>0.80400000000000005</v>
      </c>
      <c r="H182" s="860">
        <v>0.80400000000000005</v>
      </c>
      <c r="I182" s="860">
        <v>0.66169999999999995</v>
      </c>
      <c r="J182" s="860">
        <v>0.66169999999999995</v>
      </c>
      <c r="K182" s="860">
        <v>0.66169999999999995</v>
      </c>
      <c r="L182" s="860">
        <v>0.66169999999999995</v>
      </c>
      <c r="M182" s="860">
        <v>0.66169999999999995</v>
      </c>
    </row>
    <row r="183" spans="1:13">
      <c r="A183" s="851">
        <v>9.8000000000000007</v>
      </c>
      <c r="B183" s="860">
        <v>0.88339999999999996</v>
      </c>
      <c r="C183" s="860">
        <v>0.88339999999999996</v>
      </c>
      <c r="D183" s="860">
        <v>0.80249999999999999</v>
      </c>
      <c r="E183" s="860">
        <v>0.80249999999999999</v>
      </c>
      <c r="F183" s="860">
        <v>0.80249999999999999</v>
      </c>
      <c r="G183" s="860">
        <v>0.80249999999999999</v>
      </c>
      <c r="H183" s="860">
        <v>0.80249999999999999</v>
      </c>
      <c r="I183" s="860">
        <v>0.65980000000000005</v>
      </c>
      <c r="J183" s="860">
        <v>0.65980000000000005</v>
      </c>
      <c r="K183" s="860">
        <v>0.65980000000000005</v>
      </c>
      <c r="L183" s="860">
        <v>0.65980000000000005</v>
      </c>
      <c r="M183" s="860">
        <v>0.65980000000000005</v>
      </c>
    </row>
    <row r="184" spans="1:13">
      <c r="A184" s="851">
        <v>9.9</v>
      </c>
      <c r="B184" s="860">
        <v>0.88219999999999998</v>
      </c>
      <c r="C184" s="860">
        <v>0.88219999999999998</v>
      </c>
      <c r="D184" s="860">
        <v>0.80100000000000005</v>
      </c>
      <c r="E184" s="860">
        <v>0.80100000000000005</v>
      </c>
      <c r="F184" s="860">
        <v>0.80100000000000005</v>
      </c>
      <c r="G184" s="860">
        <v>0.80100000000000005</v>
      </c>
      <c r="H184" s="860">
        <v>0.80100000000000005</v>
      </c>
      <c r="I184" s="860">
        <v>0.65790000000000004</v>
      </c>
      <c r="J184" s="860">
        <v>0.65790000000000004</v>
      </c>
      <c r="K184" s="860">
        <v>0.65790000000000004</v>
      </c>
      <c r="L184" s="860">
        <v>0.65790000000000004</v>
      </c>
      <c r="M184" s="860">
        <v>0.65790000000000004</v>
      </c>
    </row>
    <row r="185" spans="1:13" ht="14.25">
      <c r="A185" s="2991" t="s">
        <v>2684</v>
      </c>
      <c r="B185" s="860"/>
      <c r="C185" s="860"/>
      <c r="D185" s="860"/>
      <c r="E185" s="860"/>
      <c r="F185" s="860"/>
      <c r="G185" s="860"/>
      <c r="H185" s="860"/>
      <c r="I185" s="860"/>
      <c r="J185" s="860"/>
      <c r="K185" s="860"/>
      <c r="L185" s="860"/>
      <c r="M185" s="860"/>
    </row>
    <row r="186" spans="1:13">
      <c r="A186" s="851" t="s">
        <v>1469</v>
      </c>
      <c r="B186" s="860" t="s">
        <v>990</v>
      </c>
      <c r="C186" s="860" t="s">
        <v>1031</v>
      </c>
      <c r="D186" s="860" t="s">
        <v>1145</v>
      </c>
      <c r="E186" s="860" t="s">
        <v>853</v>
      </c>
      <c r="F186" s="860" t="s">
        <v>1152</v>
      </c>
      <c r="G186" s="860" t="s">
        <v>1153</v>
      </c>
      <c r="H186" s="860" t="s">
        <v>1154</v>
      </c>
      <c r="I186" s="860" t="s">
        <v>1155</v>
      </c>
      <c r="J186" s="860" t="s">
        <v>1156</v>
      </c>
      <c r="K186" s="860" t="s">
        <v>1157</v>
      </c>
      <c r="L186" s="860" t="s">
        <v>2669</v>
      </c>
      <c r="M186" s="860" t="s">
        <v>2670</v>
      </c>
    </row>
    <row r="187" spans="1:13">
      <c r="A187" s="851">
        <v>1</v>
      </c>
      <c r="B187" s="860">
        <v>1.1901999999999999</v>
      </c>
      <c r="C187" s="860">
        <v>1.1901999999999999</v>
      </c>
      <c r="D187" s="860">
        <v>1.222</v>
      </c>
      <c r="E187" s="860">
        <v>1.222</v>
      </c>
      <c r="F187" s="860">
        <v>1.222</v>
      </c>
      <c r="G187" s="860">
        <v>1.222</v>
      </c>
      <c r="H187" s="860">
        <v>1.222</v>
      </c>
      <c r="I187" s="860">
        <v>1.1054999999999999</v>
      </c>
      <c r="J187" s="860">
        <v>1.1054999999999999</v>
      </c>
      <c r="K187" s="860">
        <v>1.1054999999999999</v>
      </c>
      <c r="L187" s="860">
        <v>1.1054999999999999</v>
      </c>
      <c r="M187" s="860">
        <v>1.1054999999999999</v>
      </c>
    </row>
    <row r="188" spans="1:13">
      <c r="A188" s="851">
        <v>1.1000000000000001</v>
      </c>
      <c r="B188" s="860">
        <v>1.1715</v>
      </c>
      <c r="C188" s="860">
        <v>1.1715</v>
      </c>
      <c r="D188" s="860">
        <v>1.2002999999999999</v>
      </c>
      <c r="E188" s="860">
        <v>1.2002999999999999</v>
      </c>
      <c r="F188" s="860">
        <v>1.2002999999999999</v>
      </c>
      <c r="G188" s="860">
        <v>1.2002999999999999</v>
      </c>
      <c r="H188" s="860">
        <v>1.2002999999999999</v>
      </c>
      <c r="I188" s="860">
        <v>1.0819000000000001</v>
      </c>
      <c r="J188" s="860">
        <v>1.0819000000000001</v>
      </c>
      <c r="K188" s="860">
        <v>1.0819000000000001</v>
      </c>
      <c r="L188" s="860">
        <v>1.0819000000000001</v>
      </c>
      <c r="M188" s="860">
        <v>1.0819000000000001</v>
      </c>
    </row>
    <row r="189" spans="1:13">
      <c r="A189" s="851">
        <v>1.2</v>
      </c>
      <c r="B189" s="860">
        <v>1.1538999999999999</v>
      </c>
      <c r="C189" s="860">
        <v>1.1538999999999999</v>
      </c>
      <c r="D189" s="860">
        <v>1.1798</v>
      </c>
      <c r="E189" s="860">
        <v>1.1798</v>
      </c>
      <c r="F189" s="860">
        <v>1.1798</v>
      </c>
      <c r="G189" s="860">
        <v>1.1798</v>
      </c>
      <c r="H189" s="860">
        <v>1.1798</v>
      </c>
      <c r="I189" s="860">
        <v>1.0597000000000001</v>
      </c>
      <c r="J189" s="860">
        <v>1.0597000000000001</v>
      </c>
      <c r="K189" s="860">
        <v>1.0597000000000001</v>
      </c>
      <c r="L189" s="860">
        <v>1.0597000000000001</v>
      </c>
      <c r="M189" s="860">
        <v>1.0597000000000001</v>
      </c>
    </row>
    <row r="190" spans="1:13">
      <c r="A190" s="851">
        <v>1.3</v>
      </c>
      <c r="B190" s="860">
        <v>1.1372</v>
      </c>
      <c r="C190" s="860">
        <v>1.1372</v>
      </c>
      <c r="D190" s="860">
        <v>1.1605000000000001</v>
      </c>
      <c r="E190" s="860">
        <v>1.1605000000000001</v>
      </c>
      <c r="F190" s="860">
        <v>1.1605000000000001</v>
      </c>
      <c r="G190" s="860">
        <v>1.1605000000000001</v>
      </c>
      <c r="H190" s="860">
        <v>1.1605000000000001</v>
      </c>
      <c r="I190" s="860">
        <v>1.0386</v>
      </c>
      <c r="J190" s="860">
        <v>1.0386</v>
      </c>
      <c r="K190" s="860">
        <v>1.0386</v>
      </c>
      <c r="L190" s="860">
        <v>1.0386</v>
      </c>
      <c r="M190" s="860">
        <v>1.0386</v>
      </c>
    </row>
    <row r="191" spans="1:13">
      <c r="A191" s="851">
        <v>1.4</v>
      </c>
      <c r="B191" s="860">
        <v>1.1215999999999999</v>
      </c>
      <c r="C191" s="860">
        <v>1.1215999999999999</v>
      </c>
      <c r="D191" s="860">
        <v>1.1422000000000001</v>
      </c>
      <c r="E191" s="860">
        <v>1.1422000000000001</v>
      </c>
      <c r="F191" s="860">
        <v>1.1422000000000001</v>
      </c>
      <c r="G191" s="860">
        <v>1.1422000000000001</v>
      </c>
      <c r="H191" s="860">
        <v>1.1422000000000001</v>
      </c>
      <c r="I191" s="860">
        <v>1.0187999999999999</v>
      </c>
      <c r="J191" s="860">
        <v>1.0187999999999999</v>
      </c>
      <c r="K191" s="860">
        <v>1.0187999999999999</v>
      </c>
      <c r="L191" s="860">
        <v>1.0187999999999999</v>
      </c>
      <c r="M191" s="860">
        <v>1.0187999999999999</v>
      </c>
    </row>
    <row r="192" spans="1:13">
      <c r="A192" s="851">
        <v>1.5</v>
      </c>
      <c r="B192" s="860">
        <v>1.1069</v>
      </c>
      <c r="C192" s="860">
        <v>1.1069</v>
      </c>
      <c r="D192" s="860">
        <v>1.125</v>
      </c>
      <c r="E192" s="860">
        <v>1.125</v>
      </c>
      <c r="F192" s="860">
        <v>1.125</v>
      </c>
      <c r="G192" s="860">
        <v>1.125</v>
      </c>
      <c r="H192" s="860">
        <v>1.125</v>
      </c>
      <c r="I192" s="860">
        <v>1</v>
      </c>
      <c r="J192" s="860">
        <v>1</v>
      </c>
      <c r="K192" s="860">
        <v>1</v>
      </c>
      <c r="L192" s="860">
        <v>1</v>
      </c>
      <c r="M192" s="860">
        <v>1</v>
      </c>
    </row>
    <row r="193" spans="1:13">
      <c r="A193" s="851">
        <v>1.6</v>
      </c>
      <c r="B193" s="860">
        <v>1.0929</v>
      </c>
      <c r="C193" s="860">
        <v>1.0929</v>
      </c>
      <c r="D193" s="860">
        <v>1.1087</v>
      </c>
      <c r="E193" s="860">
        <v>1.1087</v>
      </c>
      <c r="F193" s="860">
        <v>1.1087</v>
      </c>
      <c r="G193" s="860">
        <v>1.1087</v>
      </c>
      <c r="H193" s="860">
        <v>1.1087</v>
      </c>
      <c r="I193" s="860">
        <v>0.98229999999999995</v>
      </c>
      <c r="J193" s="860">
        <v>0.98229999999999995</v>
      </c>
      <c r="K193" s="860">
        <v>0.98229999999999995</v>
      </c>
      <c r="L193" s="860">
        <v>0.98229999999999995</v>
      </c>
      <c r="M193" s="860">
        <v>0.98229999999999995</v>
      </c>
    </row>
    <row r="194" spans="1:13">
      <c r="A194" s="868">
        <v>1.7</v>
      </c>
      <c r="B194" s="860">
        <v>1.0798000000000001</v>
      </c>
      <c r="C194" s="860">
        <v>1.0798000000000001</v>
      </c>
      <c r="D194" s="860">
        <v>1.0933999999999999</v>
      </c>
      <c r="E194" s="860">
        <v>1.0933999999999999</v>
      </c>
      <c r="F194" s="860">
        <v>1.0933999999999999</v>
      </c>
      <c r="G194" s="860">
        <v>1.0933999999999999</v>
      </c>
      <c r="H194" s="860">
        <v>1.0933999999999999</v>
      </c>
      <c r="I194" s="860">
        <v>0.96560000000000001</v>
      </c>
      <c r="J194" s="860">
        <v>0.96560000000000001</v>
      </c>
      <c r="K194" s="860">
        <v>0.96560000000000001</v>
      </c>
      <c r="L194" s="860">
        <v>0.96560000000000001</v>
      </c>
      <c r="M194" s="860">
        <v>0.96560000000000001</v>
      </c>
    </row>
    <row r="195" spans="1:13">
      <c r="A195" s="868">
        <v>1.8</v>
      </c>
      <c r="B195" s="860">
        <v>1.0674999999999999</v>
      </c>
      <c r="C195" s="860">
        <v>1.0674999999999999</v>
      </c>
      <c r="D195" s="860">
        <v>1.0790999999999999</v>
      </c>
      <c r="E195" s="860">
        <v>1.0790999999999999</v>
      </c>
      <c r="F195" s="860">
        <v>1.0790999999999999</v>
      </c>
      <c r="G195" s="860">
        <v>1.0790999999999999</v>
      </c>
      <c r="H195" s="860">
        <v>1.0790999999999999</v>
      </c>
      <c r="I195" s="860">
        <v>0.94989999999999997</v>
      </c>
      <c r="J195" s="860">
        <v>0.94989999999999997</v>
      </c>
      <c r="K195" s="860">
        <v>0.94989999999999997</v>
      </c>
      <c r="L195" s="860">
        <v>0.94989999999999997</v>
      </c>
      <c r="M195" s="860">
        <v>0.94989999999999997</v>
      </c>
    </row>
    <row r="196" spans="1:13">
      <c r="A196" s="868">
        <v>1.9</v>
      </c>
      <c r="B196" s="860">
        <v>1.0558000000000001</v>
      </c>
      <c r="C196" s="860">
        <v>1.0558000000000001</v>
      </c>
      <c r="D196" s="860">
        <v>1.0654999999999999</v>
      </c>
      <c r="E196" s="860">
        <v>1.0654999999999999</v>
      </c>
      <c r="F196" s="860">
        <v>1.0654999999999999</v>
      </c>
      <c r="G196" s="860">
        <v>1.0654999999999999</v>
      </c>
      <c r="H196" s="860">
        <v>1.0654999999999999</v>
      </c>
      <c r="I196" s="860">
        <v>0.93520000000000003</v>
      </c>
      <c r="J196" s="860">
        <v>0.93520000000000003</v>
      </c>
      <c r="K196" s="860">
        <v>0.93520000000000003</v>
      </c>
      <c r="L196" s="860">
        <v>0.93520000000000003</v>
      </c>
      <c r="M196" s="860">
        <v>0.93520000000000003</v>
      </c>
    </row>
    <row r="197" spans="1:13">
      <c r="A197" s="868">
        <v>2</v>
      </c>
      <c r="B197" s="860">
        <v>1.0449999999999999</v>
      </c>
      <c r="C197" s="860">
        <v>1.0449999999999999</v>
      </c>
      <c r="D197" s="860">
        <v>1.0528</v>
      </c>
      <c r="E197" s="860">
        <v>1.0528</v>
      </c>
      <c r="F197" s="860">
        <v>1.0528</v>
      </c>
      <c r="G197" s="860">
        <v>1.0528</v>
      </c>
      <c r="H197" s="860">
        <v>1.0528</v>
      </c>
      <c r="I197" s="860">
        <v>0.92130000000000001</v>
      </c>
      <c r="J197" s="860">
        <v>0.92130000000000001</v>
      </c>
      <c r="K197" s="860">
        <v>0.92130000000000001</v>
      </c>
      <c r="L197" s="860">
        <v>0.92130000000000001</v>
      </c>
      <c r="M197" s="860">
        <v>0.92130000000000001</v>
      </c>
    </row>
    <row r="198" spans="1:13">
      <c r="A198" s="868">
        <v>2.1</v>
      </c>
      <c r="B198" s="860">
        <v>1.0347999999999999</v>
      </c>
      <c r="C198" s="860">
        <v>1.0347999999999999</v>
      </c>
      <c r="D198" s="860">
        <v>1.0407999999999999</v>
      </c>
      <c r="E198" s="860">
        <v>1.0407999999999999</v>
      </c>
      <c r="F198" s="860">
        <v>1.0407999999999999</v>
      </c>
      <c r="G198" s="860">
        <v>1.0407999999999999</v>
      </c>
      <c r="H198" s="860">
        <v>1.0407999999999999</v>
      </c>
      <c r="I198" s="860">
        <v>0.90820000000000001</v>
      </c>
      <c r="J198" s="860">
        <v>0.90820000000000001</v>
      </c>
      <c r="K198" s="860">
        <v>0.90820000000000001</v>
      </c>
      <c r="L198" s="860">
        <v>0.90820000000000001</v>
      </c>
      <c r="M198" s="860">
        <v>0.90820000000000001</v>
      </c>
    </row>
    <row r="199" spans="1:13">
      <c r="A199" s="868">
        <v>2.2000000000000002</v>
      </c>
      <c r="B199" s="860">
        <v>1.0251999999999999</v>
      </c>
      <c r="C199" s="860">
        <v>1.0251999999999999</v>
      </c>
      <c r="D199" s="860">
        <v>1.0296000000000001</v>
      </c>
      <c r="E199" s="860">
        <v>1.0296000000000001</v>
      </c>
      <c r="F199" s="860">
        <v>1.0296000000000001</v>
      </c>
      <c r="G199" s="860">
        <v>1.0296000000000001</v>
      </c>
      <c r="H199" s="860">
        <v>1.0296000000000001</v>
      </c>
      <c r="I199" s="860">
        <v>0.89570000000000005</v>
      </c>
      <c r="J199" s="860">
        <v>0.89570000000000005</v>
      </c>
      <c r="K199" s="860">
        <v>0.89570000000000005</v>
      </c>
      <c r="L199" s="860">
        <v>0.89570000000000005</v>
      </c>
      <c r="M199" s="860">
        <v>0.89570000000000005</v>
      </c>
    </row>
    <row r="200" spans="1:13">
      <c r="A200" s="868">
        <v>2.2999999999999998</v>
      </c>
      <c r="B200" s="860">
        <v>1.0162</v>
      </c>
      <c r="C200" s="860">
        <v>1.0162</v>
      </c>
      <c r="D200" s="860">
        <v>1.0190999999999999</v>
      </c>
      <c r="E200" s="860">
        <v>1.0190999999999999</v>
      </c>
      <c r="F200" s="860">
        <v>1.0190999999999999</v>
      </c>
      <c r="G200" s="860">
        <v>1.0190999999999999</v>
      </c>
      <c r="H200" s="860">
        <v>1.0190999999999999</v>
      </c>
      <c r="I200" s="860">
        <v>0.88419999999999999</v>
      </c>
      <c r="J200" s="860">
        <v>0.88419999999999999</v>
      </c>
      <c r="K200" s="860">
        <v>0.88419999999999999</v>
      </c>
      <c r="L200" s="860">
        <v>0.88419999999999999</v>
      </c>
      <c r="M200" s="860">
        <v>0.88419999999999999</v>
      </c>
    </row>
    <row r="201" spans="1:13">
      <c r="A201" s="868">
        <v>2.4</v>
      </c>
      <c r="B201" s="860">
        <v>1.0078</v>
      </c>
      <c r="C201" s="860">
        <v>1.0078</v>
      </c>
      <c r="D201" s="860">
        <v>1.0092000000000001</v>
      </c>
      <c r="E201" s="860">
        <v>1.0092000000000001</v>
      </c>
      <c r="F201" s="860">
        <v>1.0092000000000001</v>
      </c>
      <c r="G201" s="860">
        <v>1.0092000000000001</v>
      </c>
      <c r="H201" s="860">
        <v>1.0092000000000001</v>
      </c>
      <c r="I201" s="860">
        <v>0.87329999999999997</v>
      </c>
      <c r="J201" s="860">
        <v>0.87329999999999997</v>
      </c>
      <c r="K201" s="860">
        <v>0.87329999999999997</v>
      </c>
      <c r="L201" s="860">
        <v>0.87329999999999997</v>
      </c>
      <c r="M201" s="860">
        <v>0.87329999999999997</v>
      </c>
    </row>
    <row r="202" spans="1:13">
      <c r="A202" s="868">
        <v>2.5</v>
      </c>
      <c r="B202" s="860">
        <v>1</v>
      </c>
      <c r="C202" s="860">
        <v>1</v>
      </c>
      <c r="D202" s="860">
        <v>1</v>
      </c>
      <c r="E202" s="860">
        <v>1</v>
      </c>
      <c r="F202" s="860">
        <v>1</v>
      </c>
      <c r="G202" s="860">
        <v>1</v>
      </c>
      <c r="H202" s="860">
        <v>1</v>
      </c>
      <c r="I202" s="860">
        <v>0.86299999999999999</v>
      </c>
      <c r="J202" s="860">
        <v>0.86299999999999999</v>
      </c>
      <c r="K202" s="860">
        <v>0.86299999999999999</v>
      </c>
      <c r="L202" s="860">
        <v>0.86299999999999999</v>
      </c>
      <c r="M202" s="860">
        <v>0.86299999999999999</v>
      </c>
    </row>
    <row r="203" spans="1:13">
      <c r="A203" s="868">
        <v>2.6</v>
      </c>
      <c r="B203" s="860">
        <v>0.99270000000000003</v>
      </c>
      <c r="C203" s="860">
        <v>0.99270000000000003</v>
      </c>
      <c r="D203" s="860">
        <v>0.99139999999999995</v>
      </c>
      <c r="E203" s="860">
        <v>0.99139999999999995</v>
      </c>
      <c r="F203" s="860">
        <v>0.99139999999999995</v>
      </c>
      <c r="G203" s="860">
        <v>0.99139999999999995</v>
      </c>
      <c r="H203" s="860">
        <v>0.99139999999999995</v>
      </c>
      <c r="I203" s="860">
        <v>0.85340000000000005</v>
      </c>
      <c r="J203" s="860">
        <v>0.85340000000000005</v>
      </c>
      <c r="K203" s="860">
        <v>0.85340000000000005</v>
      </c>
      <c r="L203" s="860">
        <v>0.85340000000000005</v>
      </c>
      <c r="M203" s="860">
        <v>0.85340000000000005</v>
      </c>
    </row>
    <row r="204" spans="1:13">
      <c r="A204" s="868">
        <v>2.7</v>
      </c>
      <c r="B204" s="860">
        <v>0.98580000000000001</v>
      </c>
      <c r="C204" s="860">
        <v>0.98580000000000001</v>
      </c>
      <c r="D204" s="860">
        <v>0.98329999999999995</v>
      </c>
      <c r="E204" s="860">
        <v>0.98329999999999995</v>
      </c>
      <c r="F204" s="860">
        <v>0.98329999999999995</v>
      </c>
      <c r="G204" s="860">
        <v>0.98329999999999995</v>
      </c>
      <c r="H204" s="860">
        <v>0.98329999999999995</v>
      </c>
      <c r="I204" s="860">
        <v>0.84440000000000004</v>
      </c>
      <c r="J204" s="860">
        <v>0.84440000000000004</v>
      </c>
      <c r="K204" s="860">
        <v>0.84440000000000004</v>
      </c>
      <c r="L204" s="860">
        <v>0.84440000000000004</v>
      </c>
      <c r="M204" s="860">
        <v>0.84440000000000004</v>
      </c>
    </row>
    <row r="205" spans="1:13">
      <c r="A205" s="868">
        <v>2.8</v>
      </c>
      <c r="B205" s="860">
        <v>0.97940000000000005</v>
      </c>
      <c r="C205" s="860">
        <v>0.97940000000000005</v>
      </c>
      <c r="D205" s="860">
        <v>0.97570000000000001</v>
      </c>
      <c r="E205" s="860">
        <v>0.97570000000000001</v>
      </c>
      <c r="F205" s="860">
        <v>0.97570000000000001</v>
      </c>
      <c r="G205" s="860">
        <v>0.97570000000000001</v>
      </c>
      <c r="H205" s="860">
        <v>0.97570000000000001</v>
      </c>
      <c r="I205" s="860">
        <v>0.83599999999999997</v>
      </c>
      <c r="J205" s="860">
        <v>0.83599999999999997</v>
      </c>
      <c r="K205" s="860">
        <v>0.83599999999999997</v>
      </c>
      <c r="L205" s="860">
        <v>0.83599999999999997</v>
      </c>
      <c r="M205" s="860">
        <v>0.83599999999999997</v>
      </c>
    </row>
    <row r="206" spans="1:13">
      <c r="A206" s="851">
        <v>2.9</v>
      </c>
      <c r="B206" s="852">
        <v>0.97350000000000003</v>
      </c>
      <c r="C206" s="852">
        <v>0.97350000000000003</v>
      </c>
      <c r="D206" s="852">
        <v>0.96870000000000001</v>
      </c>
      <c r="E206" s="852">
        <v>0.96870000000000001</v>
      </c>
      <c r="F206" s="852">
        <v>0.96870000000000001</v>
      </c>
      <c r="G206" s="852">
        <v>0.96870000000000001</v>
      </c>
      <c r="H206" s="853">
        <v>0.96870000000000001</v>
      </c>
      <c r="I206" s="853">
        <v>0.82820000000000005</v>
      </c>
      <c r="J206" s="854">
        <v>0.82820000000000005</v>
      </c>
      <c r="K206" s="854">
        <v>0.82820000000000005</v>
      </c>
      <c r="L206" s="854">
        <v>0.82820000000000005</v>
      </c>
      <c r="M206" s="854">
        <v>0.82820000000000005</v>
      </c>
    </row>
    <row r="207" spans="1:13">
      <c r="A207" s="851">
        <v>3</v>
      </c>
      <c r="B207" s="860">
        <v>0.96789999999999998</v>
      </c>
      <c r="C207" s="860">
        <v>0.96789999999999998</v>
      </c>
      <c r="D207" s="860">
        <v>0.96209999999999996</v>
      </c>
      <c r="E207" s="860">
        <v>0.96209999999999996</v>
      </c>
      <c r="F207" s="860">
        <v>0.96209999999999996</v>
      </c>
      <c r="G207" s="860">
        <v>0.96209999999999996</v>
      </c>
      <c r="H207" s="860">
        <v>0.96209999999999996</v>
      </c>
      <c r="I207" s="860">
        <v>0.82079999999999997</v>
      </c>
      <c r="J207" s="860">
        <v>0.82079999999999997</v>
      </c>
      <c r="K207" s="860">
        <v>0.82079999999999997</v>
      </c>
      <c r="L207" s="860">
        <v>0.82079999999999997</v>
      </c>
      <c r="M207" s="860">
        <v>0.82079999999999997</v>
      </c>
    </row>
    <row r="208" spans="1:13">
      <c r="A208" s="851">
        <v>3.1</v>
      </c>
      <c r="B208" s="860">
        <v>0.9627</v>
      </c>
      <c r="C208" s="860">
        <v>0.9627</v>
      </c>
      <c r="D208" s="860">
        <v>0.95589999999999997</v>
      </c>
      <c r="E208" s="860">
        <v>0.95589999999999997</v>
      </c>
      <c r="F208" s="860">
        <v>0.95589999999999997</v>
      </c>
      <c r="G208" s="860">
        <v>0.95589999999999997</v>
      </c>
      <c r="H208" s="860">
        <v>0.95589999999999997</v>
      </c>
      <c r="I208" s="860">
        <v>0.81389999999999996</v>
      </c>
      <c r="J208" s="860">
        <v>0.81389999999999996</v>
      </c>
      <c r="K208" s="860">
        <v>0.81389999999999996</v>
      </c>
      <c r="L208" s="860">
        <v>0.81389999999999996</v>
      </c>
      <c r="M208" s="860">
        <v>0.81389999999999996</v>
      </c>
    </row>
    <row r="209" spans="1:13">
      <c r="A209" s="851">
        <v>3.2</v>
      </c>
      <c r="B209" s="860">
        <v>0.95789999999999997</v>
      </c>
      <c r="C209" s="860">
        <v>0.95789999999999997</v>
      </c>
      <c r="D209" s="860">
        <v>0.95020000000000004</v>
      </c>
      <c r="E209" s="860">
        <v>0.95020000000000004</v>
      </c>
      <c r="F209" s="860">
        <v>0.95020000000000004</v>
      </c>
      <c r="G209" s="860">
        <v>0.95020000000000004</v>
      </c>
      <c r="H209" s="860">
        <v>0.95020000000000004</v>
      </c>
      <c r="I209" s="860">
        <v>0.8075</v>
      </c>
      <c r="J209" s="860">
        <v>0.8075</v>
      </c>
      <c r="K209" s="860">
        <v>0.8075</v>
      </c>
      <c r="L209" s="860">
        <v>0.8075</v>
      </c>
      <c r="M209" s="860">
        <v>0.8075</v>
      </c>
    </row>
    <row r="210" spans="1:13">
      <c r="A210" s="851">
        <v>3.3</v>
      </c>
      <c r="B210" s="860">
        <v>0.95340000000000003</v>
      </c>
      <c r="C210" s="860">
        <v>0.95340000000000003</v>
      </c>
      <c r="D210" s="860">
        <v>0.94479999999999997</v>
      </c>
      <c r="E210" s="860">
        <v>0.94479999999999997</v>
      </c>
      <c r="F210" s="860">
        <v>0.94479999999999997</v>
      </c>
      <c r="G210" s="860">
        <v>0.94479999999999997</v>
      </c>
      <c r="H210" s="860">
        <v>0.94479999999999997</v>
      </c>
      <c r="I210" s="860">
        <v>0.80149999999999999</v>
      </c>
      <c r="J210" s="860">
        <v>0.80149999999999999</v>
      </c>
      <c r="K210" s="860">
        <v>0.80149999999999999</v>
      </c>
      <c r="L210" s="860">
        <v>0.80149999999999999</v>
      </c>
      <c r="M210" s="860">
        <v>0.80149999999999999</v>
      </c>
    </row>
    <row r="211" spans="1:13">
      <c r="A211" s="851">
        <v>3.4</v>
      </c>
      <c r="B211" s="860">
        <v>0.94920000000000004</v>
      </c>
      <c r="C211" s="860">
        <v>0.94920000000000004</v>
      </c>
      <c r="D211" s="860">
        <v>0.93989999999999996</v>
      </c>
      <c r="E211" s="860">
        <v>0.93989999999999996</v>
      </c>
      <c r="F211" s="860">
        <v>0.93989999999999996</v>
      </c>
      <c r="G211" s="860">
        <v>0.93989999999999996</v>
      </c>
      <c r="H211" s="860">
        <v>0.93989999999999996</v>
      </c>
      <c r="I211" s="860">
        <v>0.79590000000000005</v>
      </c>
      <c r="J211" s="860">
        <v>0.79590000000000005</v>
      </c>
      <c r="K211" s="860">
        <v>0.79590000000000005</v>
      </c>
      <c r="L211" s="860">
        <v>0.79590000000000005</v>
      </c>
      <c r="M211" s="860">
        <v>0.79590000000000005</v>
      </c>
    </row>
    <row r="212" spans="1:13">
      <c r="A212" s="851">
        <v>3.5</v>
      </c>
      <c r="B212" s="860">
        <v>0.94540000000000002</v>
      </c>
      <c r="C212" s="860">
        <v>0.94540000000000002</v>
      </c>
      <c r="D212" s="860">
        <v>0.93520000000000003</v>
      </c>
      <c r="E212" s="860">
        <v>0.93520000000000003</v>
      </c>
      <c r="F212" s="860">
        <v>0.93520000000000003</v>
      </c>
      <c r="G212" s="860">
        <v>0.93520000000000003</v>
      </c>
      <c r="H212" s="860">
        <v>0.93520000000000003</v>
      </c>
      <c r="I212" s="860">
        <v>0.79059999999999997</v>
      </c>
      <c r="J212" s="860">
        <v>0.79059999999999997</v>
      </c>
      <c r="K212" s="860">
        <v>0.79059999999999997</v>
      </c>
      <c r="L212" s="860">
        <v>0.79059999999999997</v>
      </c>
      <c r="M212" s="860">
        <v>0.79059999999999997</v>
      </c>
    </row>
    <row r="213" spans="1:13">
      <c r="A213" s="851">
        <v>3.6</v>
      </c>
      <c r="B213" s="860">
        <v>0.94179999999999997</v>
      </c>
      <c r="C213" s="860">
        <v>0.94179999999999997</v>
      </c>
      <c r="D213" s="860">
        <v>0.93089999999999995</v>
      </c>
      <c r="E213" s="860">
        <v>0.93089999999999995</v>
      </c>
      <c r="F213" s="860">
        <v>0.93089999999999995</v>
      </c>
      <c r="G213" s="860">
        <v>0.93089999999999995</v>
      </c>
      <c r="H213" s="860">
        <v>0.93089999999999995</v>
      </c>
      <c r="I213" s="860">
        <v>0.78569999999999995</v>
      </c>
      <c r="J213" s="860">
        <v>0.78569999999999995</v>
      </c>
      <c r="K213" s="860">
        <v>0.78569999999999995</v>
      </c>
      <c r="L213" s="860">
        <v>0.78569999999999995</v>
      </c>
      <c r="M213" s="860">
        <v>0.78569999999999995</v>
      </c>
    </row>
    <row r="214" spans="1:13">
      <c r="A214" s="851">
        <v>3.7</v>
      </c>
      <c r="B214" s="860">
        <v>0.93840000000000001</v>
      </c>
      <c r="C214" s="860">
        <v>0.93840000000000001</v>
      </c>
      <c r="D214" s="860">
        <v>0.92689999999999995</v>
      </c>
      <c r="E214" s="860">
        <v>0.92689999999999995</v>
      </c>
      <c r="F214" s="860">
        <v>0.92689999999999995</v>
      </c>
      <c r="G214" s="860">
        <v>0.92689999999999995</v>
      </c>
      <c r="H214" s="860">
        <v>0.92689999999999995</v>
      </c>
      <c r="I214" s="860">
        <v>0.78110000000000002</v>
      </c>
      <c r="J214" s="860">
        <v>0.78110000000000002</v>
      </c>
      <c r="K214" s="860">
        <v>0.78110000000000002</v>
      </c>
      <c r="L214" s="860">
        <v>0.78110000000000002</v>
      </c>
      <c r="M214" s="860">
        <v>0.78110000000000002</v>
      </c>
    </row>
    <row r="215" spans="1:13">
      <c r="A215" s="851">
        <v>3.8</v>
      </c>
      <c r="B215" s="860">
        <v>0.93530000000000002</v>
      </c>
      <c r="C215" s="860">
        <v>0.93530000000000002</v>
      </c>
      <c r="D215" s="860">
        <v>0.92310000000000003</v>
      </c>
      <c r="E215" s="860">
        <v>0.92310000000000003</v>
      </c>
      <c r="F215" s="860">
        <v>0.92310000000000003</v>
      </c>
      <c r="G215" s="860">
        <v>0.92310000000000003</v>
      </c>
      <c r="H215" s="860">
        <v>0.92310000000000003</v>
      </c>
      <c r="I215" s="860">
        <v>0.77680000000000005</v>
      </c>
      <c r="J215" s="860">
        <v>0.77680000000000005</v>
      </c>
      <c r="K215" s="860">
        <v>0.77680000000000005</v>
      </c>
      <c r="L215" s="860">
        <v>0.77680000000000005</v>
      </c>
      <c r="M215" s="860">
        <v>0.77680000000000005</v>
      </c>
    </row>
    <row r="216" spans="1:13">
      <c r="A216" s="851">
        <v>3.9</v>
      </c>
      <c r="B216" s="860">
        <v>0.93240000000000001</v>
      </c>
      <c r="C216" s="860">
        <v>0.93240000000000001</v>
      </c>
      <c r="D216" s="860">
        <v>0.91959999999999997</v>
      </c>
      <c r="E216" s="860">
        <v>0.91959999999999997</v>
      </c>
      <c r="F216" s="860">
        <v>0.91959999999999997</v>
      </c>
      <c r="G216" s="860">
        <v>0.91959999999999997</v>
      </c>
      <c r="H216" s="860">
        <v>0.91959999999999997</v>
      </c>
      <c r="I216" s="860">
        <v>0.77270000000000005</v>
      </c>
      <c r="J216" s="860">
        <v>0.77270000000000005</v>
      </c>
      <c r="K216" s="860">
        <v>0.77270000000000005</v>
      </c>
      <c r="L216" s="860">
        <v>0.77270000000000005</v>
      </c>
      <c r="M216" s="860">
        <v>0.77270000000000005</v>
      </c>
    </row>
    <row r="217" spans="1:13">
      <c r="A217" s="851">
        <v>4</v>
      </c>
      <c r="B217" s="860">
        <v>0.92969999999999997</v>
      </c>
      <c r="C217" s="860">
        <v>0.92969999999999997</v>
      </c>
      <c r="D217" s="860">
        <v>0.9163</v>
      </c>
      <c r="E217" s="860">
        <v>0.9163</v>
      </c>
      <c r="F217" s="860">
        <v>0.9163</v>
      </c>
      <c r="G217" s="860">
        <v>0.9163</v>
      </c>
      <c r="H217" s="860">
        <v>0.9163</v>
      </c>
      <c r="I217" s="860">
        <v>0.76880000000000004</v>
      </c>
      <c r="J217" s="860">
        <v>0.76880000000000004</v>
      </c>
      <c r="K217" s="860">
        <v>0.76880000000000004</v>
      </c>
      <c r="L217" s="860">
        <v>0.76880000000000004</v>
      </c>
      <c r="M217" s="860">
        <v>0.76880000000000004</v>
      </c>
    </row>
    <row r="218" spans="1:13">
      <c r="A218" s="851">
        <v>4.0999999999999996</v>
      </c>
      <c r="B218" s="860">
        <v>0.92720000000000002</v>
      </c>
      <c r="C218" s="860">
        <v>0.92720000000000002</v>
      </c>
      <c r="D218" s="860">
        <v>0.91320000000000001</v>
      </c>
      <c r="E218" s="860">
        <v>0.91320000000000001</v>
      </c>
      <c r="F218" s="860">
        <v>0.91320000000000001</v>
      </c>
      <c r="G218" s="860">
        <v>0.91320000000000001</v>
      </c>
      <c r="H218" s="860">
        <v>0.91320000000000001</v>
      </c>
      <c r="I218" s="860">
        <v>0.7651</v>
      </c>
      <c r="J218" s="860">
        <v>0.7651</v>
      </c>
      <c r="K218" s="860">
        <v>0.7651</v>
      </c>
      <c r="L218" s="860">
        <v>0.7651</v>
      </c>
      <c r="M218" s="860">
        <v>0.7651</v>
      </c>
    </row>
    <row r="219" spans="1:13">
      <c r="A219" s="851">
        <v>4.2</v>
      </c>
      <c r="B219" s="860">
        <v>0.92479999999999996</v>
      </c>
      <c r="C219" s="860">
        <v>0.92479999999999996</v>
      </c>
      <c r="D219" s="860">
        <v>0.91020000000000001</v>
      </c>
      <c r="E219" s="860">
        <v>0.91020000000000001</v>
      </c>
      <c r="F219" s="860">
        <v>0.91020000000000001</v>
      </c>
      <c r="G219" s="860">
        <v>0.91020000000000001</v>
      </c>
      <c r="H219" s="860">
        <v>0.91020000000000001</v>
      </c>
      <c r="I219" s="860">
        <v>0.76149999999999995</v>
      </c>
      <c r="J219" s="860">
        <v>0.76149999999999995</v>
      </c>
      <c r="K219" s="860">
        <v>0.76149999999999995</v>
      </c>
      <c r="L219" s="860">
        <v>0.76149999999999995</v>
      </c>
      <c r="M219" s="860">
        <v>0.76149999999999995</v>
      </c>
    </row>
    <row r="220" spans="1:13">
      <c r="A220" s="851">
        <v>4.3</v>
      </c>
      <c r="B220" s="860">
        <v>0.92249999999999999</v>
      </c>
      <c r="C220" s="860">
        <v>0.92249999999999999</v>
      </c>
      <c r="D220" s="860">
        <v>0.9073</v>
      </c>
      <c r="E220" s="860">
        <v>0.9073</v>
      </c>
      <c r="F220" s="860">
        <v>0.9073</v>
      </c>
      <c r="G220" s="860">
        <v>0.9073</v>
      </c>
      <c r="H220" s="860">
        <v>0.9073</v>
      </c>
      <c r="I220" s="860">
        <v>0.75800000000000001</v>
      </c>
      <c r="J220" s="860">
        <v>0.75800000000000001</v>
      </c>
      <c r="K220" s="860">
        <v>0.75800000000000001</v>
      </c>
      <c r="L220" s="860">
        <v>0.75800000000000001</v>
      </c>
      <c r="M220" s="860">
        <v>0.75800000000000001</v>
      </c>
    </row>
    <row r="221" spans="1:13">
      <c r="A221" s="851">
        <v>4.4000000000000004</v>
      </c>
      <c r="B221" s="860">
        <v>0.92030000000000001</v>
      </c>
      <c r="C221" s="860">
        <v>0.92030000000000001</v>
      </c>
      <c r="D221" s="860">
        <v>0.90449999999999997</v>
      </c>
      <c r="E221" s="860">
        <v>0.90449999999999997</v>
      </c>
      <c r="F221" s="860">
        <v>0.90449999999999997</v>
      </c>
      <c r="G221" s="860">
        <v>0.90449999999999997</v>
      </c>
      <c r="H221" s="860">
        <v>0.90449999999999997</v>
      </c>
      <c r="I221" s="860">
        <v>0.75460000000000005</v>
      </c>
      <c r="J221" s="860">
        <v>0.75460000000000005</v>
      </c>
      <c r="K221" s="860">
        <v>0.75460000000000005</v>
      </c>
      <c r="L221" s="860">
        <v>0.75460000000000005</v>
      </c>
      <c r="M221" s="860">
        <v>0.75460000000000005</v>
      </c>
    </row>
    <row r="222" spans="1:13">
      <c r="A222" s="851">
        <v>4.5</v>
      </c>
      <c r="B222" s="860">
        <v>0.91810000000000003</v>
      </c>
      <c r="C222" s="860">
        <v>0.91810000000000003</v>
      </c>
      <c r="D222" s="860">
        <v>0.90180000000000005</v>
      </c>
      <c r="E222" s="860">
        <v>0.90180000000000005</v>
      </c>
      <c r="F222" s="860">
        <v>0.90180000000000005</v>
      </c>
      <c r="G222" s="860">
        <v>0.90180000000000005</v>
      </c>
      <c r="H222" s="860">
        <v>0.90180000000000005</v>
      </c>
      <c r="I222" s="860">
        <v>0.75129999999999997</v>
      </c>
      <c r="J222" s="860">
        <v>0.75129999999999997</v>
      </c>
      <c r="K222" s="860">
        <v>0.75129999999999997</v>
      </c>
      <c r="L222" s="860">
        <v>0.75129999999999997</v>
      </c>
      <c r="M222" s="860">
        <v>0.75129999999999997</v>
      </c>
    </row>
    <row r="223" spans="1:13">
      <c r="A223" s="851">
        <v>4.5999999999999996</v>
      </c>
      <c r="B223" s="860">
        <v>0.91600000000000004</v>
      </c>
      <c r="C223" s="860">
        <v>0.91600000000000004</v>
      </c>
      <c r="D223" s="860">
        <v>0.8992</v>
      </c>
      <c r="E223" s="860">
        <v>0.8992</v>
      </c>
      <c r="F223" s="860">
        <v>0.8992</v>
      </c>
      <c r="G223" s="860">
        <v>0.8992</v>
      </c>
      <c r="H223" s="860">
        <v>0.8992</v>
      </c>
      <c r="I223" s="860">
        <v>0.748</v>
      </c>
      <c r="J223" s="860">
        <v>0.748</v>
      </c>
      <c r="K223" s="860">
        <v>0.748</v>
      </c>
      <c r="L223" s="860">
        <v>0.748</v>
      </c>
      <c r="M223" s="860">
        <v>0.748</v>
      </c>
    </row>
    <row r="224" spans="1:13">
      <c r="A224" s="851">
        <v>4.7</v>
      </c>
      <c r="B224" s="860">
        <v>0.91390000000000005</v>
      </c>
      <c r="C224" s="860">
        <v>0.91390000000000005</v>
      </c>
      <c r="D224" s="860">
        <v>0.89659999999999995</v>
      </c>
      <c r="E224" s="860">
        <v>0.89659999999999995</v>
      </c>
      <c r="F224" s="860">
        <v>0.89659999999999995</v>
      </c>
      <c r="G224" s="860">
        <v>0.89659999999999995</v>
      </c>
      <c r="H224" s="860">
        <v>0.89659999999999995</v>
      </c>
      <c r="I224" s="860">
        <v>0.74480000000000002</v>
      </c>
      <c r="J224" s="860">
        <v>0.74480000000000002</v>
      </c>
      <c r="K224" s="860">
        <v>0.74480000000000002</v>
      </c>
      <c r="L224" s="860">
        <v>0.74480000000000002</v>
      </c>
      <c r="M224" s="860">
        <v>0.74480000000000002</v>
      </c>
    </row>
    <row r="225" spans="1:13">
      <c r="A225" s="851">
        <v>4.8</v>
      </c>
      <c r="B225" s="860">
        <v>0.91180000000000005</v>
      </c>
      <c r="C225" s="860">
        <v>0.91180000000000005</v>
      </c>
      <c r="D225" s="860">
        <v>0.89410000000000001</v>
      </c>
      <c r="E225" s="860">
        <v>0.89410000000000001</v>
      </c>
      <c r="F225" s="860">
        <v>0.89410000000000001</v>
      </c>
      <c r="G225" s="860">
        <v>0.89410000000000001</v>
      </c>
      <c r="H225" s="860">
        <v>0.89410000000000001</v>
      </c>
      <c r="I225" s="860">
        <v>0.74160000000000004</v>
      </c>
      <c r="J225" s="860">
        <v>0.74160000000000004</v>
      </c>
      <c r="K225" s="860">
        <v>0.74160000000000004</v>
      </c>
      <c r="L225" s="860">
        <v>0.74160000000000004</v>
      </c>
      <c r="M225" s="860">
        <v>0.74160000000000004</v>
      </c>
    </row>
    <row r="226" spans="1:13">
      <c r="A226" s="851">
        <v>4.9000000000000004</v>
      </c>
      <c r="B226" s="860">
        <v>0.90980000000000005</v>
      </c>
      <c r="C226" s="860">
        <v>0.90980000000000005</v>
      </c>
      <c r="D226" s="860">
        <v>0.89159999999999995</v>
      </c>
      <c r="E226" s="860">
        <v>0.89159999999999995</v>
      </c>
      <c r="F226" s="860">
        <v>0.89159999999999995</v>
      </c>
      <c r="G226" s="860">
        <v>0.89159999999999995</v>
      </c>
      <c r="H226" s="860">
        <v>0.89159999999999995</v>
      </c>
      <c r="I226" s="860">
        <v>0.73839999999999995</v>
      </c>
      <c r="J226" s="860">
        <v>0.73839999999999995</v>
      </c>
      <c r="K226" s="860">
        <v>0.73839999999999995</v>
      </c>
      <c r="L226" s="860">
        <v>0.73839999999999995</v>
      </c>
      <c r="M226" s="860">
        <v>0.73839999999999995</v>
      </c>
    </row>
    <row r="227" spans="1:13">
      <c r="A227" s="868">
        <v>5</v>
      </c>
      <c r="B227" s="860">
        <v>0.90780000000000005</v>
      </c>
      <c r="C227" s="860">
        <v>0.90780000000000005</v>
      </c>
      <c r="D227" s="860">
        <v>0.8891</v>
      </c>
      <c r="E227" s="860">
        <v>0.8891</v>
      </c>
      <c r="F227" s="860">
        <v>0.8891</v>
      </c>
      <c r="G227" s="860">
        <v>0.8891</v>
      </c>
      <c r="H227" s="860">
        <v>0.8891</v>
      </c>
      <c r="I227" s="860">
        <v>0.73529999999999995</v>
      </c>
      <c r="J227" s="860">
        <v>0.73529999999999995</v>
      </c>
      <c r="K227" s="860">
        <v>0.73529999999999995</v>
      </c>
      <c r="L227" s="860">
        <v>0.73529999999999995</v>
      </c>
      <c r="M227" s="860">
        <v>0.73529999999999995</v>
      </c>
    </row>
    <row r="228" spans="1:13">
      <c r="A228" s="868">
        <v>5.0999999999999996</v>
      </c>
      <c r="B228" s="860">
        <v>0.90580000000000005</v>
      </c>
      <c r="C228" s="860">
        <v>0.90580000000000005</v>
      </c>
      <c r="D228" s="860">
        <v>0.88670000000000004</v>
      </c>
      <c r="E228" s="860">
        <v>0.88670000000000004</v>
      </c>
      <c r="F228" s="860">
        <v>0.88670000000000004</v>
      </c>
      <c r="G228" s="860">
        <v>0.88670000000000004</v>
      </c>
      <c r="H228" s="860">
        <v>0.88670000000000004</v>
      </c>
      <c r="I228" s="860">
        <v>0.73219999999999996</v>
      </c>
      <c r="J228" s="860">
        <v>0.73219999999999996</v>
      </c>
      <c r="K228" s="860">
        <v>0.73219999999999996</v>
      </c>
      <c r="L228" s="860">
        <v>0.73219999999999996</v>
      </c>
      <c r="M228" s="860">
        <v>0.73219999999999996</v>
      </c>
    </row>
    <row r="229" spans="1:13">
      <c r="A229" s="868">
        <v>5.2</v>
      </c>
      <c r="B229" s="860">
        <v>0.90380000000000005</v>
      </c>
      <c r="C229" s="860">
        <v>0.90380000000000005</v>
      </c>
      <c r="D229" s="860">
        <v>0.88429999999999997</v>
      </c>
      <c r="E229" s="860">
        <v>0.88429999999999997</v>
      </c>
      <c r="F229" s="860">
        <v>0.88429999999999997</v>
      </c>
      <c r="G229" s="860">
        <v>0.88429999999999997</v>
      </c>
      <c r="H229" s="860">
        <v>0.88429999999999997</v>
      </c>
      <c r="I229" s="860">
        <v>0.72909999999999997</v>
      </c>
      <c r="J229" s="860">
        <v>0.72909999999999997</v>
      </c>
      <c r="K229" s="860">
        <v>0.72909999999999997</v>
      </c>
      <c r="L229" s="860">
        <v>0.72909999999999997</v>
      </c>
      <c r="M229" s="860">
        <v>0.72909999999999997</v>
      </c>
    </row>
    <row r="230" spans="1:13">
      <c r="A230" s="868">
        <v>5.3</v>
      </c>
      <c r="B230" s="860">
        <v>0.90190000000000003</v>
      </c>
      <c r="C230" s="860">
        <v>0.90190000000000003</v>
      </c>
      <c r="D230" s="860">
        <v>0.88190000000000002</v>
      </c>
      <c r="E230" s="860">
        <v>0.88190000000000002</v>
      </c>
      <c r="F230" s="860">
        <v>0.88190000000000002</v>
      </c>
      <c r="G230" s="860">
        <v>0.88190000000000002</v>
      </c>
      <c r="H230" s="860">
        <v>0.88190000000000002</v>
      </c>
      <c r="I230" s="860">
        <v>0.72609999999999997</v>
      </c>
      <c r="J230" s="860">
        <v>0.72609999999999997</v>
      </c>
      <c r="K230" s="860">
        <v>0.72609999999999997</v>
      </c>
      <c r="L230" s="860">
        <v>0.72609999999999997</v>
      </c>
      <c r="M230" s="860">
        <v>0.72609999999999997</v>
      </c>
    </row>
    <row r="231" spans="1:13">
      <c r="A231" s="868">
        <v>5.4</v>
      </c>
      <c r="B231" s="860">
        <v>0.9</v>
      </c>
      <c r="C231" s="860">
        <v>0.9</v>
      </c>
      <c r="D231" s="860">
        <v>0.87949999999999995</v>
      </c>
      <c r="E231" s="860">
        <v>0.87949999999999995</v>
      </c>
      <c r="F231" s="860">
        <v>0.87949999999999995</v>
      </c>
      <c r="G231" s="860">
        <v>0.87949999999999995</v>
      </c>
      <c r="H231" s="860">
        <v>0.87949999999999995</v>
      </c>
      <c r="I231" s="860">
        <v>0.72309999999999997</v>
      </c>
      <c r="J231" s="860">
        <v>0.72309999999999997</v>
      </c>
      <c r="K231" s="860">
        <v>0.72309999999999997</v>
      </c>
      <c r="L231" s="860">
        <v>0.72309999999999997</v>
      </c>
      <c r="M231" s="860">
        <v>0.72309999999999997</v>
      </c>
    </row>
    <row r="232" spans="1:13">
      <c r="A232" s="868">
        <v>5.5</v>
      </c>
      <c r="B232" s="860">
        <v>0.89810000000000001</v>
      </c>
      <c r="C232" s="860">
        <v>0.89810000000000001</v>
      </c>
      <c r="D232" s="860">
        <v>0.87719999999999998</v>
      </c>
      <c r="E232" s="860">
        <v>0.87719999999999998</v>
      </c>
      <c r="F232" s="860">
        <v>0.87719999999999998</v>
      </c>
      <c r="G232" s="860">
        <v>0.87719999999999998</v>
      </c>
      <c r="H232" s="860">
        <v>0.87719999999999998</v>
      </c>
      <c r="I232" s="860">
        <v>0.72009999999999996</v>
      </c>
      <c r="J232" s="860">
        <v>0.72009999999999996</v>
      </c>
      <c r="K232" s="860">
        <v>0.72009999999999996</v>
      </c>
      <c r="L232" s="860">
        <v>0.72009999999999996</v>
      </c>
      <c r="M232" s="860">
        <v>0.72009999999999996</v>
      </c>
    </row>
    <row r="233" spans="1:13">
      <c r="A233" s="868">
        <v>5.6</v>
      </c>
      <c r="B233" s="860">
        <v>0.8962</v>
      </c>
      <c r="C233" s="860">
        <v>0.8962</v>
      </c>
      <c r="D233" s="860">
        <v>0.87490000000000001</v>
      </c>
      <c r="E233" s="860">
        <v>0.87490000000000001</v>
      </c>
      <c r="F233" s="860">
        <v>0.87490000000000001</v>
      </c>
      <c r="G233" s="860">
        <v>0.87490000000000001</v>
      </c>
      <c r="H233" s="860">
        <v>0.87490000000000001</v>
      </c>
      <c r="I233" s="860">
        <v>0.71709999999999996</v>
      </c>
      <c r="J233" s="860">
        <v>0.71709999999999996</v>
      </c>
      <c r="K233" s="860">
        <v>0.71709999999999996</v>
      </c>
      <c r="L233" s="860">
        <v>0.71709999999999996</v>
      </c>
      <c r="M233" s="860">
        <v>0.71709999999999996</v>
      </c>
    </row>
    <row r="234" spans="1:13">
      <c r="A234" s="868">
        <v>5.7</v>
      </c>
      <c r="B234" s="860">
        <v>0.89429999999999998</v>
      </c>
      <c r="C234" s="860">
        <v>0.89429999999999998</v>
      </c>
      <c r="D234" s="860">
        <v>0.87260000000000004</v>
      </c>
      <c r="E234" s="860">
        <v>0.87260000000000004</v>
      </c>
      <c r="F234" s="860">
        <v>0.87260000000000004</v>
      </c>
      <c r="G234" s="860">
        <v>0.87260000000000004</v>
      </c>
      <c r="H234" s="860">
        <v>0.87260000000000004</v>
      </c>
      <c r="I234" s="860">
        <v>0.71419999999999995</v>
      </c>
      <c r="J234" s="860">
        <v>0.71419999999999995</v>
      </c>
      <c r="K234" s="860">
        <v>0.71419999999999995</v>
      </c>
      <c r="L234" s="860">
        <v>0.71419999999999995</v>
      </c>
      <c r="M234" s="860">
        <v>0.71419999999999995</v>
      </c>
    </row>
    <row r="235" spans="1:13">
      <c r="A235" s="868">
        <v>5.8</v>
      </c>
      <c r="B235" s="860">
        <v>0.89249999999999996</v>
      </c>
      <c r="C235" s="860">
        <v>0.89249999999999996</v>
      </c>
      <c r="D235" s="860">
        <v>0.87029999999999996</v>
      </c>
      <c r="E235" s="860">
        <v>0.87029999999999996</v>
      </c>
      <c r="F235" s="860">
        <v>0.87029999999999996</v>
      </c>
      <c r="G235" s="860">
        <v>0.87029999999999996</v>
      </c>
      <c r="H235" s="860">
        <v>0.87029999999999996</v>
      </c>
      <c r="I235" s="860">
        <v>0.71130000000000004</v>
      </c>
      <c r="J235" s="860">
        <v>0.71130000000000004</v>
      </c>
      <c r="K235" s="860">
        <v>0.71130000000000004</v>
      </c>
      <c r="L235" s="860">
        <v>0.71130000000000004</v>
      </c>
      <c r="M235" s="860">
        <v>0.71130000000000004</v>
      </c>
    </row>
    <row r="236" spans="1:13">
      <c r="A236" s="868">
        <v>5.9</v>
      </c>
      <c r="B236" s="860">
        <v>0.89070000000000005</v>
      </c>
      <c r="C236" s="860">
        <v>0.89070000000000005</v>
      </c>
      <c r="D236" s="860">
        <v>0.86799999999999999</v>
      </c>
      <c r="E236" s="860">
        <v>0.86799999999999999</v>
      </c>
      <c r="F236" s="860">
        <v>0.86799999999999999</v>
      </c>
      <c r="G236" s="860">
        <v>0.86799999999999999</v>
      </c>
      <c r="H236" s="860">
        <v>0.86799999999999999</v>
      </c>
      <c r="I236" s="860">
        <v>0.70840000000000003</v>
      </c>
      <c r="J236" s="860">
        <v>0.70840000000000003</v>
      </c>
      <c r="K236" s="860">
        <v>0.70840000000000003</v>
      </c>
      <c r="L236" s="860">
        <v>0.70840000000000003</v>
      </c>
      <c r="M236" s="860">
        <v>0.70840000000000003</v>
      </c>
    </row>
    <row r="237" spans="1:13">
      <c r="A237" s="868">
        <v>6</v>
      </c>
      <c r="B237" s="860">
        <v>0.88890000000000002</v>
      </c>
      <c r="C237" s="860">
        <v>0.88890000000000002</v>
      </c>
      <c r="D237" s="860">
        <v>0.86580000000000001</v>
      </c>
      <c r="E237" s="860">
        <v>0.86580000000000001</v>
      </c>
      <c r="F237" s="860">
        <v>0.86580000000000001</v>
      </c>
      <c r="G237" s="860">
        <v>0.86580000000000001</v>
      </c>
      <c r="H237" s="860">
        <v>0.86580000000000001</v>
      </c>
      <c r="I237" s="860">
        <v>0.70550000000000002</v>
      </c>
      <c r="J237" s="860">
        <v>0.70550000000000002</v>
      </c>
      <c r="K237" s="860">
        <v>0.70550000000000002</v>
      </c>
      <c r="L237" s="860">
        <v>0.70550000000000002</v>
      </c>
      <c r="M237" s="860">
        <v>0.70550000000000002</v>
      </c>
    </row>
    <row r="238" spans="1:13">
      <c r="A238" s="868">
        <v>6.1</v>
      </c>
      <c r="B238" s="860">
        <v>0.8871</v>
      </c>
      <c r="C238" s="860">
        <v>0.8871</v>
      </c>
      <c r="D238" s="860">
        <v>0.86360000000000003</v>
      </c>
      <c r="E238" s="860">
        <v>0.86360000000000003</v>
      </c>
      <c r="F238" s="860">
        <v>0.86360000000000003</v>
      </c>
      <c r="G238" s="860">
        <v>0.86360000000000003</v>
      </c>
      <c r="H238" s="860">
        <v>0.86360000000000003</v>
      </c>
      <c r="I238" s="860">
        <v>0.70269999999999999</v>
      </c>
      <c r="J238" s="860">
        <v>0.70269999999999999</v>
      </c>
      <c r="K238" s="860">
        <v>0.70269999999999999</v>
      </c>
      <c r="L238" s="860">
        <v>0.70269999999999999</v>
      </c>
      <c r="M238" s="860">
        <v>0.70269999999999999</v>
      </c>
    </row>
    <row r="239" spans="1:13">
      <c r="A239" s="868">
        <v>6.2</v>
      </c>
      <c r="B239" s="860">
        <v>0.88529999999999998</v>
      </c>
      <c r="C239" s="860">
        <v>0.88529999999999998</v>
      </c>
      <c r="D239" s="860">
        <v>0.86140000000000005</v>
      </c>
      <c r="E239" s="860">
        <v>0.86140000000000005</v>
      </c>
      <c r="F239" s="860">
        <v>0.86140000000000005</v>
      </c>
      <c r="G239" s="860">
        <v>0.86140000000000005</v>
      </c>
      <c r="H239" s="860">
        <v>0.86140000000000005</v>
      </c>
      <c r="I239" s="860">
        <v>0.69989999999999997</v>
      </c>
      <c r="J239" s="860">
        <v>0.69989999999999997</v>
      </c>
      <c r="K239" s="860">
        <v>0.69989999999999997</v>
      </c>
      <c r="L239" s="860">
        <v>0.69989999999999997</v>
      </c>
      <c r="M239" s="860">
        <v>0.69989999999999997</v>
      </c>
    </row>
    <row r="240" spans="1:13">
      <c r="A240" s="868">
        <v>6.3</v>
      </c>
      <c r="B240" s="860">
        <v>0.88349999999999995</v>
      </c>
      <c r="C240" s="860">
        <v>0.88349999999999995</v>
      </c>
      <c r="D240" s="860">
        <v>0.85919999999999996</v>
      </c>
      <c r="E240" s="860">
        <v>0.85919999999999996</v>
      </c>
      <c r="F240" s="860">
        <v>0.85919999999999996</v>
      </c>
      <c r="G240" s="860">
        <v>0.85919999999999996</v>
      </c>
      <c r="H240" s="860">
        <v>0.85919999999999996</v>
      </c>
      <c r="I240" s="860">
        <v>0.69710000000000005</v>
      </c>
      <c r="J240" s="860">
        <v>0.69710000000000005</v>
      </c>
      <c r="K240" s="860">
        <v>0.69710000000000005</v>
      </c>
      <c r="L240" s="860">
        <v>0.69710000000000005</v>
      </c>
      <c r="M240" s="860">
        <v>0.69710000000000005</v>
      </c>
    </row>
    <row r="241" spans="1:13">
      <c r="A241" s="868">
        <v>6.4</v>
      </c>
      <c r="B241" s="860">
        <v>0.88180000000000003</v>
      </c>
      <c r="C241" s="860">
        <v>0.88180000000000003</v>
      </c>
      <c r="D241" s="860">
        <v>0.85699999999999998</v>
      </c>
      <c r="E241" s="860">
        <v>0.85699999999999998</v>
      </c>
      <c r="F241" s="860">
        <v>0.85699999999999998</v>
      </c>
      <c r="G241" s="860">
        <v>0.85699999999999998</v>
      </c>
      <c r="H241" s="860">
        <v>0.85699999999999998</v>
      </c>
      <c r="I241" s="860">
        <v>0.69430000000000003</v>
      </c>
      <c r="J241" s="860">
        <v>0.69430000000000003</v>
      </c>
      <c r="K241" s="860">
        <v>0.69430000000000003</v>
      </c>
      <c r="L241" s="860">
        <v>0.69430000000000003</v>
      </c>
      <c r="M241" s="860">
        <v>0.69430000000000003</v>
      </c>
    </row>
    <row r="242" spans="1:13">
      <c r="A242" s="868">
        <v>6.5</v>
      </c>
      <c r="B242" s="860">
        <v>0.88009999999999999</v>
      </c>
      <c r="C242" s="860">
        <v>0.88009999999999999</v>
      </c>
      <c r="D242" s="860">
        <v>0.85489999999999999</v>
      </c>
      <c r="E242" s="860">
        <v>0.85489999999999999</v>
      </c>
      <c r="F242" s="860">
        <v>0.85489999999999999</v>
      </c>
      <c r="G242" s="860">
        <v>0.85489999999999999</v>
      </c>
      <c r="H242" s="860">
        <v>0.85489999999999999</v>
      </c>
      <c r="I242" s="860">
        <v>0.69159999999999999</v>
      </c>
      <c r="J242" s="860">
        <v>0.69159999999999999</v>
      </c>
      <c r="K242" s="860">
        <v>0.69159999999999999</v>
      </c>
      <c r="L242" s="860">
        <v>0.69159999999999999</v>
      </c>
      <c r="M242" s="860">
        <v>0.69159999999999999</v>
      </c>
    </row>
    <row r="243" spans="1:13">
      <c r="A243" s="868">
        <v>6.6</v>
      </c>
      <c r="B243" s="860">
        <v>0.87839999999999996</v>
      </c>
      <c r="C243" s="860">
        <v>0.87839999999999996</v>
      </c>
      <c r="D243" s="860">
        <v>0.8528</v>
      </c>
      <c r="E243" s="860">
        <v>0.8528</v>
      </c>
      <c r="F243" s="860">
        <v>0.8528</v>
      </c>
      <c r="G243" s="860">
        <v>0.8528</v>
      </c>
      <c r="H243" s="860">
        <v>0.8528</v>
      </c>
      <c r="I243" s="860">
        <v>0.68889999999999996</v>
      </c>
      <c r="J243" s="860">
        <v>0.68889999999999996</v>
      </c>
      <c r="K243" s="860">
        <v>0.68889999999999996</v>
      </c>
      <c r="L243" s="860">
        <v>0.68889999999999996</v>
      </c>
      <c r="M243" s="860">
        <v>0.68889999999999996</v>
      </c>
    </row>
    <row r="244" spans="1:13">
      <c r="A244" s="868">
        <v>6.7</v>
      </c>
      <c r="B244" s="860">
        <v>0.87670000000000003</v>
      </c>
      <c r="C244" s="860">
        <v>0.87670000000000003</v>
      </c>
      <c r="D244" s="860">
        <v>0.85070000000000001</v>
      </c>
      <c r="E244" s="860">
        <v>0.85070000000000001</v>
      </c>
      <c r="F244" s="860">
        <v>0.85070000000000001</v>
      </c>
      <c r="G244" s="860">
        <v>0.85070000000000001</v>
      </c>
      <c r="H244" s="860">
        <v>0.85070000000000001</v>
      </c>
      <c r="I244" s="860">
        <v>0.68620000000000003</v>
      </c>
      <c r="J244" s="860">
        <v>0.68620000000000003</v>
      </c>
      <c r="K244" s="860">
        <v>0.68620000000000003</v>
      </c>
      <c r="L244" s="860">
        <v>0.68620000000000003</v>
      </c>
      <c r="M244" s="860">
        <v>0.68620000000000003</v>
      </c>
    </row>
    <row r="245" spans="1:13">
      <c r="A245" s="868">
        <v>6.8</v>
      </c>
      <c r="B245" s="860">
        <v>0.875</v>
      </c>
      <c r="C245" s="860">
        <v>0.875</v>
      </c>
      <c r="D245" s="860">
        <v>0.84860000000000002</v>
      </c>
      <c r="E245" s="860">
        <v>0.84860000000000002</v>
      </c>
      <c r="F245" s="860">
        <v>0.84860000000000002</v>
      </c>
      <c r="G245" s="860">
        <v>0.84860000000000002</v>
      </c>
      <c r="H245" s="860">
        <v>0.84860000000000002</v>
      </c>
      <c r="I245" s="860">
        <v>0.6835</v>
      </c>
      <c r="J245" s="860">
        <v>0.6835</v>
      </c>
      <c r="K245" s="860">
        <v>0.6835</v>
      </c>
      <c r="L245" s="860">
        <v>0.6835</v>
      </c>
      <c r="M245" s="860">
        <v>0.6835</v>
      </c>
    </row>
    <row r="246" spans="1:13">
      <c r="A246" s="868">
        <v>6.9</v>
      </c>
      <c r="B246" s="860">
        <v>0.87329999999999997</v>
      </c>
      <c r="C246" s="860">
        <v>0.87329999999999997</v>
      </c>
      <c r="D246" s="860">
        <v>0.84650000000000003</v>
      </c>
      <c r="E246" s="860">
        <v>0.84650000000000003</v>
      </c>
      <c r="F246" s="860">
        <v>0.84650000000000003</v>
      </c>
      <c r="G246" s="860">
        <v>0.84650000000000003</v>
      </c>
      <c r="H246" s="860">
        <v>0.84650000000000003</v>
      </c>
      <c r="I246" s="860">
        <v>0.68089999999999995</v>
      </c>
      <c r="J246" s="860">
        <v>0.68089999999999995</v>
      </c>
      <c r="K246" s="860">
        <v>0.68089999999999995</v>
      </c>
      <c r="L246" s="860">
        <v>0.68089999999999995</v>
      </c>
      <c r="M246" s="860">
        <v>0.68089999999999995</v>
      </c>
    </row>
    <row r="247" spans="1:13">
      <c r="A247" s="868">
        <v>7</v>
      </c>
      <c r="B247" s="860">
        <v>0.87170000000000003</v>
      </c>
      <c r="C247" s="860">
        <v>0.87170000000000003</v>
      </c>
      <c r="D247" s="860">
        <v>0.84450000000000003</v>
      </c>
      <c r="E247" s="860">
        <v>0.84450000000000003</v>
      </c>
      <c r="F247" s="860">
        <v>0.84450000000000003</v>
      </c>
      <c r="G247" s="860">
        <v>0.84450000000000003</v>
      </c>
      <c r="H247" s="860">
        <v>0.84450000000000003</v>
      </c>
      <c r="I247" s="860">
        <v>0.67830000000000001</v>
      </c>
      <c r="J247" s="860">
        <v>0.67830000000000001</v>
      </c>
      <c r="K247" s="860">
        <v>0.67830000000000001</v>
      </c>
      <c r="L247" s="860">
        <v>0.67830000000000001</v>
      </c>
      <c r="M247" s="860">
        <v>0.67830000000000001</v>
      </c>
    </row>
    <row r="248" spans="1:13">
      <c r="A248" s="868">
        <v>7.1</v>
      </c>
      <c r="B248" s="860">
        <v>0.87009999999999998</v>
      </c>
      <c r="C248" s="860">
        <v>0.87009999999999998</v>
      </c>
      <c r="D248" s="860">
        <v>0.84250000000000003</v>
      </c>
      <c r="E248" s="860">
        <v>0.84250000000000003</v>
      </c>
      <c r="F248" s="860">
        <v>0.84250000000000003</v>
      </c>
      <c r="G248" s="860">
        <v>0.84250000000000003</v>
      </c>
      <c r="H248" s="860">
        <v>0.84250000000000003</v>
      </c>
      <c r="I248" s="860">
        <v>0.67569999999999997</v>
      </c>
      <c r="J248" s="860">
        <v>0.67569999999999997</v>
      </c>
      <c r="K248" s="860">
        <v>0.67569999999999997</v>
      </c>
      <c r="L248" s="860">
        <v>0.67569999999999997</v>
      </c>
      <c r="M248" s="860">
        <v>0.67569999999999997</v>
      </c>
    </row>
    <row r="249" spans="1:13">
      <c r="A249" s="868">
        <v>7.2</v>
      </c>
      <c r="B249" s="860">
        <v>0.86850000000000005</v>
      </c>
      <c r="C249" s="860">
        <v>0.86850000000000005</v>
      </c>
      <c r="D249" s="860">
        <v>0.84050000000000002</v>
      </c>
      <c r="E249" s="860">
        <v>0.84050000000000002</v>
      </c>
      <c r="F249" s="860">
        <v>0.84050000000000002</v>
      </c>
      <c r="G249" s="860">
        <v>0.84050000000000002</v>
      </c>
      <c r="H249" s="860">
        <v>0.84050000000000002</v>
      </c>
      <c r="I249" s="860">
        <v>0.67310000000000003</v>
      </c>
      <c r="J249" s="860">
        <v>0.67310000000000003</v>
      </c>
      <c r="K249" s="860">
        <v>0.67310000000000003</v>
      </c>
      <c r="L249" s="860">
        <v>0.67310000000000003</v>
      </c>
      <c r="M249" s="860">
        <v>0.67310000000000003</v>
      </c>
    </row>
    <row r="250" spans="1:13">
      <c r="A250" s="868">
        <v>7.3</v>
      </c>
      <c r="B250" s="860">
        <v>0.8669</v>
      </c>
      <c r="C250" s="860">
        <v>0.8669</v>
      </c>
      <c r="D250" s="860">
        <v>0.83850000000000002</v>
      </c>
      <c r="E250" s="860">
        <v>0.83850000000000002</v>
      </c>
      <c r="F250" s="860">
        <v>0.83850000000000002</v>
      </c>
      <c r="G250" s="860">
        <v>0.83850000000000002</v>
      </c>
      <c r="H250" s="860">
        <v>0.83850000000000002</v>
      </c>
      <c r="I250" s="860">
        <v>0.67059999999999997</v>
      </c>
      <c r="J250" s="860">
        <v>0.67059999999999997</v>
      </c>
      <c r="K250" s="860">
        <v>0.67059999999999997</v>
      </c>
      <c r="L250" s="860">
        <v>0.67059999999999997</v>
      </c>
      <c r="M250" s="860">
        <v>0.67059999999999997</v>
      </c>
    </row>
    <row r="251" spans="1:13">
      <c r="A251" s="868">
        <v>7.4</v>
      </c>
      <c r="B251" s="860">
        <v>0.86529999999999996</v>
      </c>
      <c r="C251" s="860">
        <v>0.86529999999999996</v>
      </c>
      <c r="D251" s="860">
        <v>0.83650000000000002</v>
      </c>
      <c r="E251" s="860">
        <v>0.83650000000000002</v>
      </c>
      <c r="F251" s="860">
        <v>0.83650000000000002</v>
      </c>
      <c r="G251" s="860">
        <v>0.83650000000000002</v>
      </c>
      <c r="H251" s="860">
        <v>0.83650000000000002</v>
      </c>
      <c r="I251" s="860">
        <v>0.66810000000000003</v>
      </c>
      <c r="J251" s="860">
        <v>0.66810000000000003</v>
      </c>
      <c r="K251" s="860">
        <v>0.66810000000000003</v>
      </c>
      <c r="L251" s="860">
        <v>0.66810000000000003</v>
      </c>
      <c r="M251" s="860">
        <v>0.66810000000000003</v>
      </c>
    </row>
    <row r="252" spans="1:13">
      <c r="A252" s="868">
        <v>7.5</v>
      </c>
      <c r="B252" s="860">
        <v>0.86370000000000002</v>
      </c>
      <c r="C252" s="860">
        <v>0.86370000000000002</v>
      </c>
      <c r="D252" s="860">
        <v>0.83460000000000001</v>
      </c>
      <c r="E252" s="860">
        <v>0.83460000000000001</v>
      </c>
      <c r="F252" s="860">
        <v>0.83460000000000001</v>
      </c>
      <c r="G252" s="860">
        <v>0.83460000000000001</v>
      </c>
      <c r="H252" s="860">
        <v>0.83460000000000001</v>
      </c>
      <c r="I252" s="860">
        <v>0.66559999999999997</v>
      </c>
      <c r="J252" s="860">
        <v>0.66559999999999997</v>
      </c>
      <c r="K252" s="860">
        <v>0.66559999999999997</v>
      </c>
      <c r="L252" s="860">
        <v>0.66559999999999997</v>
      </c>
      <c r="M252" s="860">
        <v>0.66559999999999997</v>
      </c>
    </row>
    <row r="253" spans="1:13">
      <c r="A253" s="868">
        <v>7.6</v>
      </c>
      <c r="B253" s="860">
        <v>0.86219999999999997</v>
      </c>
      <c r="C253" s="860">
        <v>0.86219999999999997</v>
      </c>
      <c r="D253" s="860">
        <v>0.8327</v>
      </c>
      <c r="E253" s="860">
        <v>0.8327</v>
      </c>
      <c r="F253" s="860">
        <v>0.8327</v>
      </c>
      <c r="G253" s="860">
        <v>0.8327</v>
      </c>
      <c r="H253" s="860">
        <v>0.8327</v>
      </c>
      <c r="I253" s="860">
        <v>0.66310000000000002</v>
      </c>
      <c r="J253" s="860">
        <v>0.66310000000000002</v>
      </c>
      <c r="K253" s="860">
        <v>0.66310000000000002</v>
      </c>
      <c r="L253" s="860">
        <v>0.66310000000000002</v>
      </c>
      <c r="M253" s="860">
        <v>0.66310000000000002</v>
      </c>
    </row>
    <row r="254" spans="1:13">
      <c r="A254" s="868">
        <v>7.7</v>
      </c>
      <c r="B254" s="860">
        <v>0.86070000000000002</v>
      </c>
      <c r="C254" s="860">
        <v>0.86070000000000002</v>
      </c>
      <c r="D254" s="860">
        <v>0.83079999999999998</v>
      </c>
      <c r="E254" s="860">
        <v>0.83079999999999998</v>
      </c>
      <c r="F254" s="860">
        <v>0.83079999999999998</v>
      </c>
      <c r="G254" s="860">
        <v>0.83079999999999998</v>
      </c>
      <c r="H254" s="860">
        <v>0.83079999999999998</v>
      </c>
      <c r="I254" s="860">
        <v>0.66069999999999995</v>
      </c>
      <c r="J254" s="860">
        <v>0.66069999999999995</v>
      </c>
      <c r="K254" s="860">
        <v>0.66069999999999995</v>
      </c>
      <c r="L254" s="860">
        <v>0.66069999999999995</v>
      </c>
      <c r="M254" s="860">
        <v>0.66069999999999995</v>
      </c>
    </row>
    <row r="255" spans="1:13">
      <c r="A255" s="868">
        <v>7.8</v>
      </c>
      <c r="B255" s="860">
        <v>0.85919999999999996</v>
      </c>
      <c r="C255" s="860">
        <v>0.85919999999999996</v>
      </c>
      <c r="D255" s="860">
        <v>0.82889999999999997</v>
      </c>
      <c r="E255" s="860">
        <v>0.82889999999999997</v>
      </c>
      <c r="F255" s="860">
        <v>0.82889999999999997</v>
      </c>
      <c r="G255" s="860">
        <v>0.82889999999999997</v>
      </c>
      <c r="H255" s="860">
        <v>0.82889999999999997</v>
      </c>
      <c r="I255" s="860">
        <v>0.6583</v>
      </c>
      <c r="J255" s="860">
        <v>0.6583</v>
      </c>
      <c r="K255" s="860">
        <v>0.6583</v>
      </c>
      <c r="L255" s="860">
        <v>0.6583</v>
      </c>
      <c r="M255" s="860">
        <v>0.6583</v>
      </c>
    </row>
    <row r="256" spans="1:13">
      <c r="A256" s="868">
        <v>7.9</v>
      </c>
      <c r="B256" s="860">
        <v>0.85770000000000002</v>
      </c>
      <c r="C256" s="860">
        <v>0.85770000000000002</v>
      </c>
      <c r="D256" s="860">
        <v>0.82699999999999996</v>
      </c>
      <c r="E256" s="860">
        <v>0.82699999999999996</v>
      </c>
      <c r="F256" s="860">
        <v>0.82699999999999996</v>
      </c>
      <c r="G256" s="860">
        <v>0.82699999999999996</v>
      </c>
      <c r="H256" s="860">
        <v>0.82699999999999996</v>
      </c>
      <c r="I256" s="860">
        <v>0.65590000000000004</v>
      </c>
      <c r="J256" s="860">
        <v>0.65590000000000004</v>
      </c>
      <c r="K256" s="860">
        <v>0.65590000000000004</v>
      </c>
      <c r="L256" s="860">
        <v>0.65590000000000004</v>
      </c>
      <c r="M256" s="860">
        <v>0.65590000000000004</v>
      </c>
    </row>
    <row r="257" spans="1:13">
      <c r="A257" s="851">
        <v>8</v>
      </c>
      <c r="B257" s="860">
        <v>0.85619999999999996</v>
      </c>
      <c r="C257" s="860">
        <v>0.85619999999999996</v>
      </c>
      <c r="D257" s="860">
        <v>0.82509999999999994</v>
      </c>
      <c r="E257" s="860">
        <v>0.82509999999999994</v>
      </c>
      <c r="F257" s="860">
        <v>0.82509999999999994</v>
      </c>
      <c r="G257" s="860">
        <v>0.82509999999999994</v>
      </c>
      <c r="H257" s="860">
        <v>0.82509999999999994</v>
      </c>
      <c r="I257" s="860">
        <v>0.65349999999999997</v>
      </c>
      <c r="J257" s="860">
        <v>0.65349999999999997</v>
      </c>
      <c r="K257" s="860">
        <v>0.65349999999999997</v>
      </c>
      <c r="L257" s="860">
        <v>0.65349999999999997</v>
      </c>
      <c r="M257" s="860">
        <v>0.65349999999999997</v>
      </c>
    </row>
    <row r="258" spans="1:13">
      <c r="A258" s="851">
        <v>8.1</v>
      </c>
      <c r="B258" s="860">
        <v>0.85470000000000002</v>
      </c>
      <c r="C258" s="860">
        <v>0.85470000000000002</v>
      </c>
      <c r="D258" s="860">
        <v>0.82330000000000003</v>
      </c>
      <c r="E258" s="860">
        <v>0.82330000000000003</v>
      </c>
      <c r="F258" s="860">
        <v>0.82330000000000003</v>
      </c>
      <c r="G258" s="860">
        <v>0.82330000000000003</v>
      </c>
      <c r="H258" s="860">
        <v>0.82330000000000003</v>
      </c>
      <c r="I258" s="860">
        <v>0.6512</v>
      </c>
      <c r="J258" s="860">
        <v>0.6512</v>
      </c>
      <c r="K258" s="860">
        <v>0.6512</v>
      </c>
      <c r="L258" s="860">
        <v>0.6512</v>
      </c>
      <c r="M258" s="860">
        <v>0.6512</v>
      </c>
    </row>
    <row r="259" spans="1:13">
      <c r="A259" s="851">
        <v>8.1999999999999993</v>
      </c>
      <c r="B259" s="860">
        <v>0.85329999999999995</v>
      </c>
      <c r="C259" s="860">
        <v>0.85329999999999995</v>
      </c>
      <c r="D259" s="860">
        <v>0.82150000000000001</v>
      </c>
      <c r="E259" s="860">
        <v>0.82150000000000001</v>
      </c>
      <c r="F259" s="860">
        <v>0.82150000000000001</v>
      </c>
      <c r="G259" s="860">
        <v>0.82150000000000001</v>
      </c>
      <c r="H259" s="860">
        <v>0.82150000000000001</v>
      </c>
      <c r="I259" s="860">
        <v>0.64890000000000003</v>
      </c>
      <c r="J259" s="860">
        <v>0.64890000000000003</v>
      </c>
      <c r="K259" s="860">
        <v>0.64890000000000003</v>
      </c>
      <c r="L259" s="860">
        <v>0.64890000000000003</v>
      </c>
      <c r="M259" s="860">
        <v>0.64890000000000003</v>
      </c>
    </row>
    <row r="260" spans="1:13">
      <c r="A260" s="851">
        <v>8.3000000000000007</v>
      </c>
      <c r="B260" s="860">
        <v>0.85189999999999999</v>
      </c>
      <c r="C260" s="860">
        <v>0.85189999999999999</v>
      </c>
      <c r="D260" s="860">
        <v>0.81969999999999998</v>
      </c>
      <c r="E260" s="860">
        <v>0.81969999999999998</v>
      </c>
      <c r="F260" s="860">
        <v>0.81969999999999998</v>
      </c>
      <c r="G260" s="860">
        <v>0.81969999999999998</v>
      </c>
      <c r="H260" s="860">
        <v>0.81969999999999998</v>
      </c>
      <c r="I260" s="860">
        <v>0.64659999999999995</v>
      </c>
      <c r="J260" s="860">
        <v>0.64659999999999995</v>
      </c>
      <c r="K260" s="860">
        <v>0.64659999999999995</v>
      </c>
      <c r="L260" s="860">
        <v>0.64659999999999995</v>
      </c>
      <c r="M260" s="860">
        <v>0.64659999999999995</v>
      </c>
    </row>
    <row r="261" spans="1:13">
      <c r="A261" s="851">
        <v>8.4</v>
      </c>
      <c r="B261" s="860">
        <v>0.85050000000000003</v>
      </c>
      <c r="C261" s="860">
        <v>0.85050000000000003</v>
      </c>
      <c r="D261" s="860">
        <v>0.81789999999999996</v>
      </c>
      <c r="E261" s="860">
        <v>0.81789999999999996</v>
      </c>
      <c r="F261" s="860">
        <v>0.81789999999999996</v>
      </c>
      <c r="G261" s="860">
        <v>0.81789999999999996</v>
      </c>
      <c r="H261" s="860">
        <v>0.81789999999999996</v>
      </c>
      <c r="I261" s="860">
        <v>0.64429999999999998</v>
      </c>
      <c r="J261" s="860">
        <v>0.64429999999999998</v>
      </c>
      <c r="K261" s="860">
        <v>0.64429999999999998</v>
      </c>
      <c r="L261" s="860">
        <v>0.64429999999999998</v>
      </c>
      <c r="M261" s="860">
        <v>0.64429999999999998</v>
      </c>
    </row>
    <row r="262" spans="1:13">
      <c r="A262" s="851">
        <v>8.5</v>
      </c>
      <c r="B262" s="860">
        <v>0.84909999999999997</v>
      </c>
      <c r="C262" s="860">
        <v>0.84909999999999997</v>
      </c>
      <c r="D262" s="860">
        <v>0.81610000000000005</v>
      </c>
      <c r="E262" s="860">
        <v>0.81610000000000005</v>
      </c>
      <c r="F262" s="860">
        <v>0.81610000000000005</v>
      </c>
      <c r="G262" s="860">
        <v>0.81610000000000005</v>
      </c>
      <c r="H262" s="860">
        <v>0.81610000000000005</v>
      </c>
      <c r="I262" s="860">
        <v>0.6421</v>
      </c>
      <c r="J262" s="860">
        <v>0.6421</v>
      </c>
      <c r="K262" s="860">
        <v>0.6421</v>
      </c>
      <c r="L262" s="860">
        <v>0.6421</v>
      </c>
      <c r="M262" s="860">
        <v>0.6421</v>
      </c>
    </row>
    <row r="263" spans="1:13">
      <c r="A263" s="868">
        <v>8.6</v>
      </c>
      <c r="B263" s="860">
        <v>0.84770000000000001</v>
      </c>
      <c r="C263" s="860">
        <v>0.84770000000000001</v>
      </c>
      <c r="D263" s="860">
        <v>0.81440000000000001</v>
      </c>
      <c r="E263" s="860">
        <v>0.81440000000000001</v>
      </c>
      <c r="F263" s="860">
        <v>0.81440000000000001</v>
      </c>
      <c r="G263" s="860">
        <v>0.81440000000000001</v>
      </c>
      <c r="H263" s="860">
        <v>0.81440000000000001</v>
      </c>
      <c r="I263" s="860">
        <v>0.63990000000000002</v>
      </c>
      <c r="J263" s="860">
        <v>0.63990000000000002</v>
      </c>
      <c r="K263" s="860">
        <v>0.63990000000000002</v>
      </c>
      <c r="L263" s="860">
        <v>0.63990000000000002</v>
      </c>
      <c r="M263" s="860">
        <v>0.63990000000000002</v>
      </c>
    </row>
    <row r="264" spans="1:13">
      <c r="A264" s="851">
        <v>8.6999999999999993</v>
      </c>
      <c r="B264" s="860">
        <v>0.84630000000000005</v>
      </c>
      <c r="C264" s="860">
        <v>0.84630000000000005</v>
      </c>
      <c r="D264" s="860">
        <v>0.81269999999999998</v>
      </c>
      <c r="E264" s="860">
        <v>0.81269999999999998</v>
      </c>
      <c r="F264" s="860">
        <v>0.81269999999999998</v>
      </c>
      <c r="G264" s="860">
        <v>0.81269999999999998</v>
      </c>
      <c r="H264" s="860">
        <v>0.81269999999999998</v>
      </c>
      <c r="I264" s="860">
        <v>0.63770000000000004</v>
      </c>
      <c r="J264" s="860">
        <v>0.63770000000000004</v>
      </c>
      <c r="K264" s="860">
        <v>0.63770000000000004</v>
      </c>
      <c r="L264" s="860">
        <v>0.63770000000000004</v>
      </c>
      <c r="M264" s="860">
        <v>0.63770000000000004</v>
      </c>
    </row>
    <row r="265" spans="1:13">
      <c r="A265" s="851">
        <v>8.8000000000000007</v>
      </c>
      <c r="B265" s="860">
        <v>0.84489999999999998</v>
      </c>
      <c r="C265" s="860">
        <v>0.84489999999999998</v>
      </c>
      <c r="D265" s="860">
        <v>0.81100000000000005</v>
      </c>
      <c r="E265" s="860">
        <v>0.81100000000000005</v>
      </c>
      <c r="F265" s="860">
        <v>0.81100000000000005</v>
      </c>
      <c r="G265" s="860">
        <v>0.81100000000000005</v>
      </c>
      <c r="H265" s="860">
        <v>0.81100000000000005</v>
      </c>
      <c r="I265" s="860">
        <v>0.63549999999999995</v>
      </c>
      <c r="J265" s="860">
        <v>0.63549999999999995</v>
      </c>
      <c r="K265" s="860">
        <v>0.63549999999999995</v>
      </c>
      <c r="L265" s="860">
        <v>0.63549999999999995</v>
      </c>
      <c r="M265" s="860">
        <v>0.63549999999999995</v>
      </c>
    </row>
    <row r="266" spans="1:13">
      <c r="A266" s="851">
        <v>8.9</v>
      </c>
      <c r="B266" s="860">
        <v>0.84360000000000002</v>
      </c>
      <c r="C266" s="860">
        <v>0.84360000000000002</v>
      </c>
      <c r="D266" s="860">
        <v>0.80930000000000002</v>
      </c>
      <c r="E266" s="860">
        <v>0.80930000000000002</v>
      </c>
      <c r="F266" s="860">
        <v>0.80930000000000002</v>
      </c>
      <c r="G266" s="860">
        <v>0.80930000000000002</v>
      </c>
      <c r="H266" s="860">
        <v>0.80930000000000002</v>
      </c>
      <c r="I266" s="860">
        <v>0.63339999999999996</v>
      </c>
      <c r="J266" s="860">
        <v>0.63339999999999996</v>
      </c>
      <c r="K266" s="860">
        <v>0.63339999999999996</v>
      </c>
      <c r="L266" s="860">
        <v>0.63339999999999996</v>
      </c>
      <c r="M266" s="860">
        <v>0.63339999999999996</v>
      </c>
    </row>
    <row r="267" spans="1:13">
      <c r="A267" s="851">
        <v>9</v>
      </c>
      <c r="B267" s="860">
        <v>0.84230000000000005</v>
      </c>
      <c r="C267" s="860">
        <v>0.84230000000000005</v>
      </c>
      <c r="D267" s="860">
        <v>0.80759999999999998</v>
      </c>
      <c r="E267" s="860">
        <v>0.80759999999999998</v>
      </c>
      <c r="F267" s="860">
        <v>0.80759999999999998</v>
      </c>
      <c r="G267" s="860">
        <v>0.80759999999999998</v>
      </c>
      <c r="H267" s="860">
        <v>0.80759999999999998</v>
      </c>
      <c r="I267" s="860">
        <v>0.63129999999999997</v>
      </c>
      <c r="J267" s="860">
        <v>0.63129999999999997</v>
      </c>
      <c r="K267" s="860">
        <v>0.63129999999999997</v>
      </c>
      <c r="L267" s="860">
        <v>0.63129999999999997</v>
      </c>
      <c r="M267" s="860">
        <v>0.63129999999999997</v>
      </c>
    </row>
    <row r="268" spans="1:13">
      <c r="A268" s="851">
        <v>9.1</v>
      </c>
      <c r="B268" s="860">
        <v>0.84099999999999997</v>
      </c>
      <c r="C268" s="860">
        <v>0.84099999999999997</v>
      </c>
      <c r="D268" s="860">
        <v>0.80600000000000005</v>
      </c>
      <c r="E268" s="860">
        <v>0.80600000000000005</v>
      </c>
      <c r="F268" s="860">
        <v>0.80600000000000005</v>
      </c>
      <c r="G268" s="860">
        <v>0.80600000000000005</v>
      </c>
      <c r="H268" s="860">
        <v>0.80600000000000005</v>
      </c>
      <c r="I268" s="860">
        <v>0.62919999999999998</v>
      </c>
      <c r="J268" s="860">
        <v>0.62919999999999998</v>
      </c>
      <c r="K268" s="860">
        <v>0.62919999999999998</v>
      </c>
      <c r="L268" s="860">
        <v>0.62919999999999998</v>
      </c>
      <c r="M268" s="860">
        <v>0.62919999999999998</v>
      </c>
    </row>
    <row r="269" spans="1:13">
      <c r="A269" s="851">
        <v>9.1999999999999993</v>
      </c>
      <c r="B269" s="860">
        <v>0.8397</v>
      </c>
      <c r="C269" s="860">
        <v>0.8397</v>
      </c>
      <c r="D269" s="860">
        <v>0.8044</v>
      </c>
      <c r="E269" s="860">
        <v>0.8044</v>
      </c>
      <c r="F269" s="860">
        <v>0.8044</v>
      </c>
      <c r="G269" s="860">
        <v>0.8044</v>
      </c>
      <c r="H269" s="860">
        <v>0.8044</v>
      </c>
      <c r="I269" s="860">
        <v>0.62709999999999999</v>
      </c>
      <c r="J269" s="860">
        <v>0.62709999999999999</v>
      </c>
      <c r="K269" s="860">
        <v>0.62709999999999999</v>
      </c>
      <c r="L269" s="860">
        <v>0.62709999999999999</v>
      </c>
      <c r="M269" s="860">
        <v>0.62709999999999999</v>
      </c>
    </row>
    <row r="270" spans="1:13">
      <c r="A270" s="851">
        <v>9.3000000000000007</v>
      </c>
      <c r="B270" s="860">
        <v>0.83840000000000003</v>
      </c>
      <c r="C270" s="860">
        <v>0.83840000000000003</v>
      </c>
      <c r="D270" s="860">
        <v>0.80279999999999996</v>
      </c>
      <c r="E270" s="860">
        <v>0.80279999999999996</v>
      </c>
      <c r="F270" s="860">
        <v>0.80279999999999996</v>
      </c>
      <c r="G270" s="860">
        <v>0.80279999999999996</v>
      </c>
      <c r="H270" s="860">
        <v>0.80279999999999996</v>
      </c>
      <c r="I270" s="860">
        <v>0.62509999999999999</v>
      </c>
      <c r="J270" s="860">
        <v>0.62509999999999999</v>
      </c>
      <c r="K270" s="860">
        <v>0.62509999999999999</v>
      </c>
      <c r="L270" s="860">
        <v>0.62509999999999999</v>
      </c>
      <c r="M270" s="860">
        <v>0.62509999999999999</v>
      </c>
    </row>
    <row r="271" spans="1:13">
      <c r="A271" s="851">
        <v>9.4</v>
      </c>
      <c r="B271" s="860">
        <v>0.83709999999999996</v>
      </c>
      <c r="C271" s="860">
        <v>0.83709999999999996</v>
      </c>
      <c r="D271" s="860">
        <v>0.80120000000000002</v>
      </c>
      <c r="E271" s="860">
        <v>0.80120000000000002</v>
      </c>
      <c r="F271" s="860">
        <v>0.80120000000000002</v>
      </c>
      <c r="G271" s="860">
        <v>0.80120000000000002</v>
      </c>
      <c r="H271" s="860">
        <v>0.80120000000000002</v>
      </c>
      <c r="I271" s="860">
        <v>0.62309999999999999</v>
      </c>
      <c r="J271" s="860">
        <v>0.62309999999999999</v>
      </c>
      <c r="K271" s="860">
        <v>0.62309999999999999</v>
      </c>
      <c r="L271" s="860">
        <v>0.62309999999999999</v>
      </c>
      <c r="M271" s="860">
        <v>0.62309999999999999</v>
      </c>
    </row>
    <row r="272" spans="1:13">
      <c r="A272" s="851">
        <v>9.5</v>
      </c>
      <c r="B272" s="860">
        <v>0.83579999999999999</v>
      </c>
      <c r="C272" s="860">
        <v>0.83579999999999999</v>
      </c>
      <c r="D272" s="860">
        <v>0.79959999999999998</v>
      </c>
      <c r="E272" s="860">
        <v>0.79959999999999998</v>
      </c>
      <c r="F272" s="860">
        <v>0.79959999999999998</v>
      </c>
      <c r="G272" s="860">
        <v>0.79959999999999998</v>
      </c>
      <c r="H272" s="860">
        <v>0.79959999999999998</v>
      </c>
      <c r="I272" s="860">
        <v>0.62109999999999999</v>
      </c>
      <c r="J272" s="860">
        <v>0.62109999999999999</v>
      </c>
      <c r="K272" s="860">
        <v>0.62109999999999999</v>
      </c>
      <c r="L272" s="860">
        <v>0.62109999999999999</v>
      </c>
      <c r="M272" s="860">
        <v>0.62109999999999999</v>
      </c>
    </row>
    <row r="273" spans="1:13">
      <c r="A273" s="851">
        <v>9.6</v>
      </c>
      <c r="B273" s="860">
        <v>0.83460000000000001</v>
      </c>
      <c r="C273" s="860">
        <v>0.83460000000000001</v>
      </c>
      <c r="D273" s="860">
        <v>0.79800000000000004</v>
      </c>
      <c r="E273" s="860">
        <v>0.79800000000000004</v>
      </c>
      <c r="F273" s="860">
        <v>0.79800000000000004</v>
      </c>
      <c r="G273" s="860">
        <v>0.79800000000000004</v>
      </c>
      <c r="H273" s="860">
        <v>0.79800000000000004</v>
      </c>
      <c r="I273" s="860">
        <v>0.61909999999999998</v>
      </c>
      <c r="J273" s="860">
        <v>0.61909999999999998</v>
      </c>
      <c r="K273" s="860">
        <v>0.61909999999999998</v>
      </c>
      <c r="L273" s="860">
        <v>0.61909999999999998</v>
      </c>
      <c r="M273" s="860">
        <v>0.61909999999999998</v>
      </c>
    </row>
    <row r="274" spans="1:13">
      <c r="A274" s="851">
        <v>9.6999999999999993</v>
      </c>
      <c r="B274" s="860">
        <v>0.83340000000000003</v>
      </c>
      <c r="C274" s="860">
        <v>0.83340000000000003</v>
      </c>
      <c r="D274" s="860">
        <v>0.79649999999999999</v>
      </c>
      <c r="E274" s="860">
        <v>0.79649999999999999</v>
      </c>
      <c r="F274" s="860">
        <v>0.79649999999999999</v>
      </c>
      <c r="G274" s="860">
        <v>0.79649999999999999</v>
      </c>
      <c r="H274" s="860">
        <v>0.79649999999999999</v>
      </c>
      <c r="I274" s="860">
        <v>0.61719999999999997</v>
      </c>
      <c r="J274" s="860">
        <v>0.61719999999999997</v>
      </c>
      <c r="K274" s="860">
        <v>0.61719999999999997</v>
      </c>
      <c r="L274" s="860">
        <v>0.61719999999999997</v>
      </c>
      <c r="M274" s="860">
        <v>0.61719999999999997</v>
      </c>
    </row>
    <row r="275" spans="1:13">
      <c r="A275" s="851">
        <v>9.8000000000000007</v>
      </c>
      <c r="B275" s="860">
        <v>0.83220000000000005</v>
      </c>
      <c r="C275" s="860">
        <v>0.83220000000000005</v>
      </c>
      <c r="D275" s="860">
        <v>0.79500000000000004</v>
      </c>
      <c r="E275" s="860">
        <v>0.79500000000000004</v>
      </c>
      <c r="F275" s="860">
        <v>0.79500000000000004</v>
      </c>
      <c r="G275" s="860">
        <v>0.79500000000000004</v>
      </c>
      <c r="H275" s="860">
        <v>0.79500000000000004</v>
      </c>
      <c r="I275" s="860">
        <v>0.61529999999999996</v>
      </c>
      <c r="J275" s="860">
        <v>0.61529999999999996</v>
      </c>
      <c r="K275" s="860">
        <v>0.61529999999999996</v>
      </c>
      <c r="L275" s="860">
        <v>0.61529999999999996</v>
      </c>
      <c r="M275" s="860">
        <v>0.61529999999999996</v>
      </c>
    </row>
    <row r="276" spans="1:13">
      <c r="A276" s="851">
        <v>9.9</v>
      </c>
      <c r="B276" s="860">
        <v>0.83099999999999996</v>
      </c>
      <c r="C276" s="860">
        <v>0.83099999999999996</v>
      </c>
      <c r="D276" s="860">
        <v>0.79349999999999998</v>
      </c>
      <c r="E276" s="860">
        <v>0.79349999999999998</v>
      </c>
      <c r="F276" s="860">
        <v>0.79349999999999998</v>
      </c>
      <c r="G276" s="860">
        <v>0.79349999999999998</v>
      </c>
      <c r="H276" s="860">
        <v>0.79349999999999998</v>
      </c>
      <c r="I276" s="860">
        <v>0.61339999999999995</v>
      </c>
      <c r="J276" s="860">
        <v>0.61339999999999995</v>
      </c>
      <c r="K276" s="860">
        <v>0.61339999999999995</v>
      </c>
      <c r="L276" s="860">
        <v>0.61339999999999995</v>
      </c>
      <c r="M276" s="860">
        <v>0.61339999999999995</v>
      </c>
    </row>
    <row r="277" spans="1:13" ht="14.25">
      <c r="A277" s="2991" t="s">
        <v>2685</v>
      </c>
      <c r="B277" s="860"/>
      <c r="C277" s="860"/>
      <c r="D277" s="860"/>
      <c r="E277" s="860"/>
      <c r="F277" s="860"/>
      <c r="G277" s="860"/>
      <c r="H277" s="860"/>
      <c r="I277" s="860"/>
      <c r="J277" s="860"/>
      <c r="K277" s="860"/>
      <c r="L277" s="860"/>
      <c r="M277" s="860"/>
    </row>
    <row r="278" spans="1:13">
      <c r="A278" s="851" t="s">
        <v>1469</v>
      </c>
      <c r="B278" s="860" t="s">
        <v>990</v>
      </c>
      <c r="C278" s="860" t="s">
        <v>1031</v>
      </c>
      <c r="D278" s="860" t="s">
        <v>1145</v>
      </c>
      <c r="E278" s="860" t="s">
        <v>853</v>
      </c>
      <c r="F278" s="860" t="s">
        <v>1152</v>
      </c>
      <c r="G278" s="860" t="s">
        <v>1153</v>
      </c>
      <c r="H278" s="860" t="s">
        <v>1154</v>
      </c>
      <c r="I278" s="860" t="s">
        <v>1155</v>
      </c>
      <c r="J278" s="860" t="s">
        <v>1156</v>
      </c>
      <c r="K278" s="860" t="s">
        <v>1157</v>
      </c>
      <c r="L278" s="860" t="s">
        <v>2669</v>
      </c>
      <c r="M278" s="860" t="s">
        <v>2670</v>
      </c>
    </row>
    <row r="279" spans="1:13">
      <c r="A279" s="851">
        <v>1</v>
      </c>
      <c r="B279" s="860">
        <v>1.1055999999999999</v>
      </c>
      <c r="C279" s="860">
        <v>1.1055999999999999</v>
      </c>
      <c r="D279" s="860">
        <v>1.1220000000000001</v>
      </c>
      <c r="E279" s="860">
        <v>1.1220000000000001</v>
      </c>
      <c r="F279" s="860">
        <v>1.1220000000000001</v>
      </c>
      <c r="G279" s="860">
        <v>1.0583</v>
      </c>
      <c r="H279" s="860">
        <v>1.0583</v>
      </c>
      <c r="I279" s="860">
        <v>1</v>
      </c>
      <c r="J279" s="860">
        <v>1</v>
      </c>
      <c r="K279" s="860">
        <v>1</v>
      </c>
      <c r="L279" s="860">
        <v>1</v>
      </c>
      <c r="M279" s="860">
        <v>1</v>
      </c>
    </row>
    <row r="280" spans="1:13">
      <c r="A280" s="851">
        <v>1.1000000000000001</v>
      </c>
      <c r="B280" s="860">
        <v>1.0820000000000001</v>
      </c>
      <c r="C280" s="860">
        <v>1.0820000000000001</v>
      </c>
      <c r="D280" s="860">
        <v>1.0948</v>
      </c>
      <c r="E280" s="860">
        <v>1.0948</v>
      </c>
      <c r="F280" s="860">
        <v>1.0948</v>
      </c>
      <c r="G280" s="860">
        <v>1.0284</v>
      </c>
      <c r="H280" s="860">
        <v>1.0284</v>
      </c>
      <c r="I280" s="860">
        <v>0.96860000000000002</v>
      </c>
      <c r="J280" s="860">
        <v>0.96860000000000002</v>
      </c>
      <c r="K280" s="860">
        <v>0.96860000000000002</v>
      </c>
      <c r="L280" s="860">
        <v>0.96860000000000002</v>
      </c>
      <c r="M280" s="860">
        <v>0.96860000000000002</v>
      </c>
    </row>
    <row r="281" spans="1:13">
      <c r="A281" s="851">
        <v>1.2</v>
      </c>
      <c r="B281" s="860">
        <v>1.0598000000000001</v>
      </c>
      <c r="C281" s="860">
        <v>1.0598000000000001</v>
      </c>
      <c r="D281" s="860">
        <v>1.0690999999999999</v>
      </c>
      <c r="E281" s="860">
        <v>1.0690999999999999</v>
      </c>
      <c r="F281" s="860">
        <v>1.0690999999999999</v>
      </c>
      <c r="G281" s="860">
        <v>1</v>
      </c>
      <c r="H281" s="860">
        <v>1</v>
      </c>
      <c r="I281" s="860">
        <v>0.93879999999999997</v>
      </c>
      <c r="J281" s="860">
        <v>0.93879999999999997</v>
      </c>
      <c r="K281" s="860">
        <v>0.93879999999999997</v>
      </c>
      <c r="L281" s="860">
        <v>0.93879999999999997</v>
      </c>
      <c r="M281" s="860">
        <v>0.93879999999999997</v>
      </c>
    </row>
    <row r="282" spans="1:13">
      <c r="A282" s="851">
        <v>1.3</v>
      </c>
      <c r="B282" s="860">
        <v>1.0387</v>
      </c>
      <c r="C282" s="860">
        <v>1.0387</v>
      </c>
      <c r="D282" s="860">
        <v>1.0447</v>
      </c>
      <c r="E282" s="860">
        <v>1.0447</v>
      </c>
      <c r="F282" s="860">
        <v>1.0447</v>
      </c>
      <c r="G282" s="860">
        <v>0.97319999999999995</v>
      </c>
      <c r="H282" s="860">
        <v>0.97319999999999995</v>
      </c>
      <c r="I282" s="860">
        <v>0.91069999999999995</v>
      </c>
      <c r="J282" s="860">
        <v>0.91069999999999995</v>
      </c>
      <c r="K282" s="860">
        <v>0.91069999999999995</v>
      </c>
      <c r="L282" s="860">
        <v>0.91069999999999995</v>
      </c>
      <c r="M282" s="860">
        <v>0.91069999999999995</v>
      </c>
    </row>
    <row r="283" spans="1:13">
      <c r="A283" s="851">
        <v>1.4</v>
      </c>
      <c r="B283" s="860">
        <v>1.0187999999999999</v>
      </c>
      <c r="C283" s="860">
        <v>1.0187999999999999</v>
      </c>
      <c r="D283" s="860">
        <v>1.0217000000000001</v>
      </c>
      <c r="E283" s="860">
        <v>1.0217000000000001</v>
      </c>
      <c r="F283" s="860">
        <v>1.0217000000000001</v>
      </c>
      <c r="G283" s="860">
        <v>0.94779999999999998</v>
      </c>
      <c r="H283" s="860">
        <v>0.94779999999999998</v>
      </c>
      <c r="I283" s="860">
        <v>0.8841</v>
      </c>
      <c r="J283" s="860">
        <v>0.8841</v>
      </c>
      <c r="K283" s="860">
        <v>0.8841</v>
      </c>
      <c r="L283" s="860">
        <v>0.8841</v>
      </c>
      <c r="M283" s="860">
        <v>0.8841</v>
      </c>
    </row>
    <row r="284" spans="1:13">
      <c r="A284" s="851">
        <v>1.5</v>
      </c>
      <c r="B284" s="860">
        <v>1</v>
      </c>
      <c r="C284" s="860">
        <v>1</v>
      </c>
      <c r="D284" s="860">
        <v>1</v>
      </c>
      <c r="E284" s="860">
        <v>1</v>
      </c>
      <c r="F284" s="860">
        <v>1</v>
      </c>
      <c r="G284" s="860">
        <v>0.92379999999999995</v>
      </c>
      <c r="H284" s="860">
        <v>0.92379999999999995</v>
      </c>
      <c r="I284" s="860">
        <v>0.8589</v>
      </c>
      <c r="J284" s="860">
        <v>0.8589</v>
      </c>
      <c r="K284" s="860">
        <v>0.8589</v>
      </c>
      <c r="L284" s="860">
        <v>0.8589</v>
      </c>
      <c r="M284" s="860">
        <v>0.8589</v>
      </c>
    </row>
    <row r="285" spans="1:13">
      <c r="A285" s="851">
        <v>1.6</v>
      </c>
      <c r="B285" s="860">
        <v>0.98229999999999995</v>
      </c>
      <c r="C285" s="860">
        <v>0.98229999999999995</v>
      </c>
      <c r="D285" s="860">
        <v>0.97950000000000004</v>
      </c>
      <c r="E285" s="860">
        <v>0.97950000000000004</v>
      </c>
      <c r="F285" s="860">
        <v>0.97950000000000004</v>
      </c>
      <c r="G285" s="860">
        <v>0.9012</v>
      </c>
      <c r="H285" s="860">
        <v>0.9012</v>
      </c>
      <c r="I285" s="860">
        <v>0.83509999999999995</v>
      </c>
      <c r="J285" s="860">
        <v>0.83509999999999995</v>
      </c>
      <c r="K285" s="860">
        <v>0.83509999999999995</v>
      </c>
      <c r="L285" s="860">
        <v>0.83509999999999995</v>
      </c>
      <c r="M285" s="860">
        <v>0.83509999999999995</v>
      </c>
    </row>
    <row r="286" spans="1:13">
      <c r="A286" s="851">
        <v>1.7</v>
      </c>
      <c r="B286" s="860">
        <v>0.96550000000000002</v>
      </c>
      <c r="C286" s="860">
        <v>0.96550000000000002</v>
      </c>
      <c r="D286" s="860">
        <v>0.96009999999999995</v>
      </c>
      <c r="E286" s="860">
        <v>0.96009999999999995</v>
      </c>
      <c r="F286" s="860">
        <v>0.96009999999999995</v>
      </c>
      <c r="G286" s="860">
        <v>0.87980000000000003</v>
      </c>
      <c r="H286" s="860">
        <v>0.87980000000000003</v>
      </c>
      <c r="I286" s="860">
        <v>0.81269999999999998</v>
      </c>
      <c r="J286" s="860">
        <v>0.81269999999999998</v>
      </c>
      <c r="K286" s="860">
        <v>0.81269999999999998</v>
      </c>
      <c r="L286" s="860">
        <v>0.81269999999999998</v>
      </c>
      <c r="M286" s="860">
        <v>0.81269999999999998</v>
      </c>
    </row>
    <row r="287" spans="1:13">
      <c r="A287" s="851">
        <v>1.8</v>
      </c>
      <c r="B287" s="860">
        <v>0.94969999999999999</v>
      </c>
      <c r="C287" s="860">
        <v>0.94969999999999999</v>
      </c>
      <c r="D287" s="860">
        <v>0.94189999999999996</v>
      </c>
      <c r="E287" s="860">
        <v>0.94189999999999996</v>
      </c>
      <c r="F287" s="860">
        <v>0.94189999999999996</v>
      </c>
      <c r="G287" s="860">
        <v>0.85960000000000003</v>
      </c>
      <c r="H287" s="860">
        <v>0.85960000000000003</v>
      </c>
      <c r="I287" s="860">
        <v>0.79149999999999998</v>
      </c>
      <c r="J287" s="860">
        <v>0.79149999999999998</v>
      </c>
      <c r="K287" s="860">
        <v>0.79149999999999998</v>
      </c>
      <c r="L287" s="860">
        <v>0.79149999999999998</v>
      </c>
      <c r="M287" s="860">
        <v>0.79149999999999998</v>
      </c>
    </row>
    <row r="288" spans="1:13">
      <c r="A288" s="851">
        <v>1.9</v>
      </c>
      <c r="B288" s="860">
        <v>0.93479999999999996</v>
      </c>
      <c r="C288" s="860">
        <v>0.93479999999999996</v>
      </c>
      <c r="D288" s="860">
        <v>0.92459999999999998</v>
      </c>
      <c r="E288" s="860">
        <v>0.92459999999999998</v>
      </c>
      <c r="F288" s="860">
        <v>0.92459999999999998</v>
      </c>
      <c r="G288" s="860">
        <v>0.84060000000000001</v>
      </c>
      <c r="H288" s="860">
        <v>0.84060000000000001</v>
      </c>
      <c r="I288" s="860">
        <v>0.77149999999999996</v>
      </c>
      <c r="J288" s="860">
        <v>0.77149999999999996</v>
      </c>
      <c r="K288" s="860">
        <v>0.77149999999999996</v>
      </c>
      <c r="L288" s="860">
        <v>0.77149999999999996</v>
      </c>
      <c r="M288" s="860">
        <v>0.77149999999999996</v>
      </c>
    </row>
    <row r="289" spans="1:13">
      <c r="A289" s="851">
        <v>2</v>
      </c>
      <c r="B289" s="860">
        <v>0.92079999999999995</v>
      </c>
      <c r="C289" s="860">
        <v>0.92079999999999995</v>
      </c>
      <c r="D289" s="860">
        <v>0.90839999999999999</v>
      </c>
      <c r="E289" s="860">
        <v>0.90839999999999999</v>
      </c>
      <c r="F289" s="860">
        <v>0.90839999999999999</v>
      </c>
      <c r="G289" s="860">
        <v>0.82269999999999999</v>
      </c>
      <c r="H289" s="860">
        <v>0.82269999999999999</v>
      </c>
      <c r="I289" s="860">
        <v>0.75270000000000004</v>
      </c>
      <c r="J289" s="860">
        <v>0.75270000000000004</v>
      </c>
      <c r="K289" s="860">
        <v>0.75270000000000004</v>
      </c>
      <c r="L289" s="860">
        <v>0.75270000000000004</v>
      </c>
      <c r="M289" s="860">
        <v>0.75270000000000004</v>
      </c>
    </row>
    <row r="290" spans="1:13">
      <c r="A290" s="851">
        <v>2.1</v>
      </c>
      <c r="B290" s="860">
        <v>0.90759999999999996</v>
      </c>
      <c r="C290" s="860">
        <v>0.90759999999999996</v>
      </c>
      <c r="D290" s="860">
        <v>0.89319999999999999</v>
      </c>
      <c r="E290" s="860">
        <v>0.89319999999999999</v>
      </c>
      <c r="F290" s="860">
        <v>0.89319999999999999</v>
      </c>
      <c r="G290" s="860">
        <v>0.80589999999999995</v>
      </c>
      <c r="H290" s="860">
        <v>0.80589999999999995</v>
      </c>
      <c r="I290" s="860">
        <v>0.73499999999999999</v>
      </c>
      <c r="J290" s="860">
        <v>0.73499999999999999</v>
      </c>
      <c r="K290" s="860">
        <v>0.73499999999999999</v>
      </c>
      <c r="L290" s="860">
        <v>0.73499999999999999</v>
      </c>
      <c r="M290" s="860">
        <v>0.73499999999999999</v>
      </c>
    </row>
    <row r="291" spans="1:13">
      <c r="A291" s="851">
        <v>2.2000000000000002</v>
      </c>
      <c r="B291" s="860">
        <v>0.8952</v>
      </c>
      <c r="C291" s="860">
        <v>0.8952</v>
      </c>
      <c r="D291" s="860">
        <v>0.87880000000000003</v>
      </c>
      <c r="E291" s="860">
        <v>0.87880000000000003</v>
      </c>
      <c r="F291" s="860">
        <v>0.87880000000000003</v>
      </c>
      <c r="G291" s="860">
        <v>0.79</v>
      </c>
      <c r="H291" s="860">
        <v>0.79</v>
      </c>
      <c r="I291" s="860">
        <v>0.71840000000000004</v>
      </c>
      <c r="J291" s="860">
        <v>0.71840000000000004</v>
      </c>
      <c r="K291" s="860">
        <v>0.71840000000000004</v>
      </c>
      <c r="L291" s="860">
        <v>0.71840000000000004</v>
      </c>
      <c r="M291" s="860">
        <v>0.71840000000000004</v>
      </c>
    </row>
    <row r="292" spans="1:13">
      <c r="A292" s="851">
        <v>2.2999999999999998</v>
      </c>
      <c r="B292" s="860">
        <v>0.88360000000000005</v>
      </c>
      <c r="C292" s="860">
        <v>0.88360000000000005</v>
      </c>
      <c r="D292" s="860">
        <v>0.86529999999999996</v>
      </c>
      <c r="E292" s="860">
        <v>0.86529999999999996</v>
      </c>
      <c r="F292" s="860">
        <v>0.86529999999999996</v>
      </c>
      <c r="G292" s="860">
        <v>0.77510000000000001</v>
      </c>
      <c r="H292" s="860">
        <v>0.77510000000000001</v>
      </c>
      <c r="I292" s="860">
        <v>0.70269999999999999</v>
      </c>
      <c r="J292" s="860">
        <v>0.70269999999999999</v>
      </c>
      <c r="K292" s="860">
        <v>0.70269999999999999</v>
      </c>
      <c r="L292" s="860">
        <v>0.70269999999999999</v>
      </c>
      <c r="M292" s="860">
        <v>0.70269999999999999</v>
      </c>
    </row>
    <row r="293" spans="1:13">
      <c r="A293" s="851">
        <v>2.4</v>
      </c>
      <c r="B293" s="860">
        <v>0.87260000000000004</v>
      </c>
      <c r="C293" s="860">
        <v>0.87260000000000004</v>
      </c>
      <c r="D293" s="860">
        <v>0.85260000000000002</v>
      </c>
      <c r="E293" s="860">
        <v>0.85260000000000002</v>
      </c>
      <c r="F293" s="860">
        <v>0.85260000000000002</v>
      </c>
      <c r="G293" s="860">
        <v>0.76100000000000001</v>
      </c>
      <c r="H293" s="860">
        <v>0.76100000000000001</v>
      </c>
      <c r="I293" s="860">
        <v>0.68799999999999994</v>
      </c>
      <c r="J293" s="860">
        <v>0.68799999999999994</v>
      </c>
      <c r="K293" s="860">
        <v>0.68799999999999994</v>
      </c>
      <c r="L293" s="860">
        <v>0.68799999999999994</v>
      </c>
      <c r="M293" s="860">
        <v>0.68799999999999994</v>
      </c>
    </row>
    <row r="294" spans="1:13">
      <c r="A294" s="851">
        <v>2.5</v>
      </c>
      <c r="B294" s="860">
        <v>0.86229999999999996</v>
      </c>
      <c r="C294" s="860">
        <v>0.86229999999999996</v>
      </c>
      <c r="D294" s="860">
        <v>0.8407</v>
      </c>
      <c r="E294" s="860">
        <v>0.8407</v>
      </c>
      <c r="F294" s="860">
        <v>0.8407</v>
      </c>
      <c r="G294" s="860">
        <v>0.74780000000000002</v>
      </c>
      <c r="H294" s="860">
        <v>0.74780000000000002</v>
      </c>
      <c r="I294" s="860">
        <v>0.67410000000000003</v>
      </c>
      <c r="J294" s="860">
        <v>0.67410000000000003</v>
      </c>
      <c r="K294" s="860">
        <v>0.67410000000000003</v>
      </c>
      <c r="L294" s="860">
        <v>0.67410000000000003</v>
      </c>
      <c r="M294" s="860">
        <v>0.67410000000000003</v>
      </c>
    </row>
    <row r="295" spans="1:13">
      <c r="A295" s="851">
        <v>2.6</v>
      </c>
      <c r="B295" s="860">
        <v>0.85270000000000001</v>
      </c>
      <c r="C295" s="860">
        <v>0.85270000000000001</v>
      </c>
      <c r="D295" s="860">
        <v>0.82950000000000002</v>
      </c>
      <c r="E295" s="860">
        <v>0.82950000000000002</v>
      </c>
      <c r="F295" s="860">
        <v>0.82950000000000002</v>
      </c>
      <c r="G295" s="860">
        <v>0.73540000000000005</v>
      </c>
      <c r="H295" s="860">
        <v>0.73540000000000005</v>
      </c>
      <c r="I295" s="860">
        <v>0.66110000000000002</v>
      </c>
      <c r="J295" s="860">
        <v>0.66110000000000002</v>
      </c>
      <c r="K295" s="860">
        <v>0.66110000000000002</v>
      </c>
      <c r="L295" s="860">
        <v>0.66110000000000002</v>
      </c>
      <c r="M295" s="860">
        <v>0.66110000000000002</v>
      </c>
    </row>
    <row r="296" spans="1:13">
      <c r="A296" s="868">
        <v>2.7</v>
      </c>
      <c r="B296" s="860">
        <v>0.84360000000000002</v>
      </c>
      <c r="C296" s="860">
        <v>0.84360000000000002</v>
      </c>
      <c r="D296" s="860">
        <v>0.81899999999999995</v>
      </c>
      <c r="E296" s="860">
        <v>0.81899999999999995</v>
      </c>
      <c r="F296" s="860">
        <v>0.81899999999999995</v>
      </c>
      <c r="G296" s="860">
        <v>0.7238</v>
      </c>
      <c r="H296" s="860">
        <v>0.7238</v>
      </c>
      <c r="I296" s="860">
        <v>0.64880000000000004</v>
      </c>
      <c r="J296" s="860">
        <v>0.64880000000000004</v>
      </c>
      <c r="K296" s="860">
        <v>0.64880000000000004</v>
      </c>
      <c r="L296" s="860">
        <v>0.64880000000000004</v>
      </c>
      <c r="M296" s="860">
        <v>0.64880000000000004</v>
      </c>
    </row>
    <row r="297" spans="1:13">
      <c r="A297" s="868">
        <v>2.8</v>
      </c>
      <c r="B297" s="860">
        <v>0.83509999999999995</v>
      </c>
      <c r="C297" s="860">
        <v>0.83509999999999995</v>
      </c>
      <c r="D297" s="860">
        <v>0.80910000000000004</v>
      </c>
      <c r="E297" s="860">
        <v>0.80910000000000004</v>
      </c>
      <c r="F297" s="860">
        <v>0.80910000000000004</v>
      </c>
      <c r="G297" s="860">
        <v>0.71289999999999998</v>
      </c>
      <c r="H297" s="860">
        <v>0.71289999999999998</v>
      </c>
      <c r="I297" s="860">
        <v>0.63739999999999997</v>
      </c>
      <c r="J297" s="860">
        <v>0.63739999999999997</v>
      </c>
      <c r="K297" s="860">
        <v>0.63739999999999997</v>
      </c>
      <c r="L297" s="860">
        <v>0.63739999999999997</v>
      </c>
      <c r="M297" s="860">
        <v>0.63739999999999997</v>
      </c>
    </row>
    <row r="298" spans="1:13">
      <c r="A298" s="868">
        <v>2.9</v>
      </c>
      <c r="B298" s="860">
        <v>0.82720000000000005</v>
      </c>
      <c r="C298" s="860">
        <v>0.82720000000000005</v>
      </c>
      <c r="D298" s="860">
        <v>0.79990000000000006</v>
      </c>
      <c r="E298" s="860">
        <v>0.79990000000000006</v>
      </c>
      <c r="F298" s="860">
        <v>0.79990000000000006</v>
      </c>
      <c r="G298" s="860">
        <v>0.7026</v>
      </c>
      <c r="H298" s="860">
        <v>0.7026</v>
      </c>
      <c r="I298" s="860">
        <v>0.62660000000000005</v>
      </c>
      <c r="J298" s="860">
        <v>0.62660000000000005</v>
      </c>
      <c r="K298" s="860">
        <v>0.62660000000000005</v>
      </c>
      <c r="L298" s="860">
        <v>0.62660000000000005</v>
      </c>
      <c r="M298" s="860">
        <v>0.62660000000000005</v>
      </c>
    </row>
    <row r="299" spans="1:13">
      <c r="A299" s="868">
        <v>3</v>
      </c>
      <c r="B299" s="860">
        <v>0.81969999999999998</v>
      </c>
      <c r="C299" s="860">
        <v>0.81969999999999998</v>
      </c>
      <c r="D299" s="860">
        <v>0.79120000000000001</v>
      </c>
      <c r="E299" s="860">
        <v>0.79120000000000001</v>
      </c>
      <c r="F299" s="860">
        <v>0.79120000000000001</v>
      </c>
      <c r="G299" s="860">
        <v>0.69299999999999995</v>
      </c>
      <c r="H299" s="860">
        <v>0.69299999999999995</v>
      </c>
      <c r="I299" s="860">
        <v>0.61650000000000005</v>
      </c>
      <c r="J299" s="860">
        <v>0.61650000000000005</v>
      </c>
      <c r="K299" s="860">
        <v>0.61650000000000005</v>
      </c>
      <c r="L299" s="860">
        <v>0.61650000000000005</v>
      </c>
      <c r="M299" s="860">
        <v>0.61650000000000005</v>
      </c>
    </row>
    <row r="300" spans="1:13">
      <c r="A300" s="868">
        <v>3.1</v>
      </c>
      <c r="B300" s="860">
        <v>0.81279999999999997</v>
      </c>
      <c r="C300" s="860">
        <v>0.81279999999999997</v>
      </c>
      <c r="D300" s="860">
        <v>0.78310000000000002</v>
      </c>
      <c r="E300" s="860">
        <v>0.78310000000000002</v>
      </c>
      <c r="F300" s="860">
        <v>0.78310000000000002</v>
      </c>
      <c r="G300" s="860">
        <v>0.68400000000000005</v>
      </c>
      <c r="H300" s="860">
        <v>0.68400000000000005</v>
      </c>
      <c r="I300" s="860">
        <v>0.60709999999999997</v>
      </c>
      <c r="J300" s="860">
        <v>0.60709999999999997</v>
      </c>
      <c r="K300" s="860">
        <v>0.60709999999999997</v>
      </c>
      <c r="L300" s="860">
        <v>0.60709999999999997</v>
      </c>
      <c r="M300" s="860">
        <v>0.60709999999999997</v>
      </c>
    </row>
    <row r="301" spans="1:13">
      <c r="A301" s="868">
        <v>3.2</v>
      </c>
      <c r="B301" s="860">
        <v>0.80620000000000003</v>
      </c>
      <c r="C301" s="860">
        <v>0.80620000000000003</v>
      </c>
      <c r="D301" s="860">
        <v>0.77549999999999997</v>
      </c>
      <c r="E301" s="860">
        <v>0.77549999999999997</v>
      </c>
      <c r="F301" s="860">
        <v>0.77549999999999997</v>
      </c>
      <c r="G301" s="860">
        <v>0.67559999999999998</v>
      </c>
      <c r="H301" s="860">
        <v>0.67559999999999998</v>
      </c>
      <c r="I301" s="860">
        <v>0.59809999999999997</v>
      </c>
      <c r="J301" s="860">
        <v>0.59809999999999997</v>
      </c>
      <c r="K301" s="860">
        <v>0.59809999999999997</v>
      </c>
      <c r="L301" s="860">
        <v>0.59809999999999997</v>
      </c>
      <c r="M301" s="860">
        <v>0.59809999999999997</v>
      </c>
    </row>
    <row r="302" spans="1:13">
      <c r="A302" s="868">
        <v>3.3</v>
      </c>
      <c r="B302" s="860">
        <v>0.80010000000000003</v>
      </c>
      <c r="C302" s="860">
        <v>0.80010000000000003</v>
      </c>
      <c r="D302" s="860">
        <v>0.76839999999999997</v>
      </c>
      <c r="E302" s="860">
        <v>0.76839999999999997</v>
      </c>
      <c r="F302" s="860">
        <v>0.76839999999999997</v>
      </c>
      <c r="G302" s="860">
        <v>0.66769999999999996</v>
      </c>
      <c r="H302" s="860">
        <v>0.66769999999999996</v>
      </c>
      <c r="I302" s="860">
        <v>0.58979999999999999</v>
      </c>
      <c r="J302" s="860">
        <v>0.58979999999999999</v>
      </c>
      <c r="K302" s="860">
        <v>0.58979999999999999</v>
      </c>
      <c r="L302" s="860">
        <v>0.58979999999999999</v>
      </c>
      <c r="M302" s="860">
        <v>0.58979999999999999</v>
      </c>
    </row>
    <row r="303" spans="1:13">
      <c r="A303" s="868">
        <v>3.4</v>
      </c>
      <c r="B303" s="860">
        <v>0.7944</v>
      </c>
      <c r="C303" s="860">
        <v>0.7944</v>
      </c>
      <c r="D303" s="860">
        <v>0.76170000000000004</v>
      </c>
      <c r="E303" s="860">
        <v>0.76170000000000004</v>
      </c>
      <c r="F303" s="860">
        <v>0.76170000000000004</v>
      </c>
      <c r="G303" s="860">
        <v>0.66020000000000001</v>
      </c>
      <c r="H303" s="860">
        <v>0.66020000000000001</v>
      </c>
      <c r="I303" s="860">
        <v>0.58209999999999995</v>
      </c>
      <c r="J303" s="860">
        <v>0.58209999999999995</v>
      </c>
      <c r="K303" s="860">
        <v>0.58209999999999995</v>
      </c>
      <c r="L303" s="860">
        <v>0.58209999999999995</v>
      </c>
      <c r="M303" s="860">
        <v>0.58209999999999995</v>
      </c>
    </row>
    <row r="304" spans="1:13">
      <c r="A304" s="868">
        <v>3.5</v>
      </c>
      <c r="B304" s="860">
        <v>0.78910000000000002</v>
      </c>
      <c r="C304" s="860">
        <v>0.78910000000000002</v>
      </c>
      <c r="D304" s="860">
        <v>0.75549999999999995</v>
      </c>
      <c r="E304" s="860">
        <v>0.75549999999999995</v>
      </c>
      <c r="F304" s="860">
        <v>0.75549999999999995</v>
      </c>
      <c r="G304" s="860">
        <v>0.65329999999999999</v>
      </c>
      <c r="H304" s="860">
        <v>0.65329999999999999</v>
      </c>
      <c r="I304" s="860">
        <v>0.57479999999999998</v>
      </c>
      <c r="J304" s="860">
        <v>0.57479999999999998</v>
      </c>
      <c r="K304" s="860">
        <v>0.57479999999999998</v>
      </c>
      <c r="L304" s="860">
        <v>0.57479999999999998</v>
      </c>
      <c r="M304" s="860">
        <v>0.57479999999999998</v>
      </c>
    </row>
    <row r="305" spans="1:13">
      <c r="A305" s="868">
        <v>3.6</v>
      </c>
      <c r="B305" s="860">
        <v>0.78410000000000002</v>
      </c>
      <c r="C305" s="860">
        <v>0.78410000000000002</v>
      </c>
      <c r="D305" s="860">
        <v>0.74960000000000004</v>
      </c>
      <c r="E305" s="860">
        <v>0.74960000000000004</v>
      </c>
      <c r="F305" s="860">
        <v>0.74960000000000004</v>
      </c>
      <c r="G305" s="860">
        <v>0.64680000000000004</v>
      </c>
      <c r="H305" s="860">
        <v>0.64680000000000004</v>
      </c>
      <c r="I305" s="860">
        <v>0.56789999999999996</v>
      </c>
      <c r="J305" s="860">
        <v>0.56789999999999996</v>
      </c>
      <c r="K305" s="860">
        <v>0.56789999999999996</v>
      </c>
      <c r="L305" s="860">
        <v>0.56789999999999996</v>
      </c>
      <c r="M305" s="860">
        <v>0.56789999999999996</v>
      </c>
    </row>
    <row r="306" spans="1:13">
      <c r="A306" s="868">
        <v>3.7</v>
      </c>
      <c r="B306" s="860">
        <v>0.77939999999999998</v>
      </c>
      <c r="C306" s="860">
        <v>0.77939999999999998</v>
      </c>
      <c r="D306" s="860">
        <v>0.74409999999999998</v>
      </c>
      <c r="E306" s="860">
        <v>0.74409999999999998</v>
      </c>
      <c r="F306" s="860">
        <v>0.74409999999999998</v>
      </c>
      <c r="G306" s="860">
        <v>0.64070000000000005</v>
      </c>
      <c r="H306" s="860">
        <v>0.64070000000000005</v>
      </c>
      <c r="I306" s="860">
        <v>0.5615</v>
      </c>
      <c r="J306" s="860">
        <v>0.5615</v>
      </c>
      <c r="K306" s="860">
        <v>0.5615</v>
      </c>
      <c r="L306" s="860">
        <v>0.5615</v>
      </c>
      <c r="M306" s="860">
        <v>0.5615</v>
      </c>
    </row>
    <row r="307" spans="1:13">
      <c r="A307" s="868">
        <v>3.8</v>
      </c>
      <c r="B307" s="860">
        <v>0.77500000000000002</v>
      </c>
      <c r="C307" s="860">
        <v>0.77500000000000002</v>
      </c>
      <c r="D307" s="860">
        <v>0.73899999999999999</v>
      </c>
      <c r="E307" s="860">
        <v>0.73899999999999999</v>
      </c>
      <c r="F307" s="860">
        <v>0.73899999999999999</v>
      </c>
      <c r="G307" s="860">
        <v>0.63490000000000002</v>
      </c>
      <c r="H307" s="860">
        <v>0.63490000000000002</v>
      </c>
      <c r="I307" s="860">
        <v>0.55549999999999999</v>
      </c>
      <c r="J307" s="860">
        <v>0.55549999999999999</v>
      </c>
      <c r="K307" s="860">
        <v>0.55549999999999999</v>
      </c>
      <c r="L307" s="860">
        <v>0.55549999999999999</v>
      </c>
      <c r="M307" s="860">
        <v>0.55549999999999999</v>
      </c>
    </row>
    <row r="308" spans="1:13">
      <c r="A308" s="851">
        <v>3.9</v>
      </c>
      <c r="B308" s="852">
        <v>0.77090000000000003</v>
      </c>
      <c r="C308" s="852">
        <v>0.77090000000000003</v>
      </c>
      <c r="D308" s="852">
        <v>0.73419999999999996</v>
      </c>
      <c r="E308" s="852">
        <v>0.73419999999999996</v>
      </c>
      <c r="F308" s="852">
        <v>0.73419999999999996</v>
      </c>
      <c r="G308" s="852">
        <v>0.62949999999999995</v>
      </c>
      <c r="H308" s="853">
        <v>0.62949999999999995</v>
      </c>
      <c r="I308" s="853">
        <v>0.54990000000000006</v>
      </c>
      <c r="J308" s="854">
        <v>0.54990000000000006</v>
      </c>
      <c r="K308" s="854">
        <v>0.54990000000000006</v>
      </c>
      <c r="L308" s="854">
        <v>0.54990000000000006</v>
      </c>
      <c r="M308" s="854">
        <v>0.54990000000000006</v>
      </c>
    </row>
    <row r="309" spans="1:13">
      <c r="A309" s="851">
        <v>4</v>
      </c>
      <c r="B309" s="860">
        <v>0.7671</v>
      </c>
      <c r="C309" s="860">
        <v>0.7671</v>
      </c>
      <c r="D309" s="860">
        <v>0.72970000000000002</v>
      </c>
      <c r="E309" s="860">
        <v>0.72970000000000002</v>
      </c>
      <c r="F309" s="860">
        <v>0.72970000000000002</v>
      </c>
      <c r="G309" s="860">
        <v>0.62450000000000006</v>
      </c>
      <c r="H309" s="860">
        <v>0.62450000000000006</v>
      </c>
      <c r="I309" s="860">
        <v>0.54449999999999998</v>
      </c>
      <c r="J309" s="860">
        <v>0.54449999999999998</v>
      </c>
      <c r="K309" s="860">
        <v>0.54449999999999998</v>
      </c>
      <c r="L309" s="860">
        <v>0.54449999999999998</v>
      </c>
      <c r="M309" s="860">
        <v>0.54449999999999998</v>
      </c>
    </row>
    <row r="310" spans="1:13">
      <c r="A310" s="851">
        <v>4.0999999999999996</v>
      </c>
      <c r="B310" s="860">
        <v>0.76349999999999996</v>
      </c>
      <c r="C310" s="860">
        <v>0.76349999999999996</v>
      </c>
      <c r="D310" s="860">
        <v>0.72540000000000004</v>
      </c>
      <c r="E310" s="860">
        <v>0.72540000000000004</v>
      </c>
      <c r="F310" s="860">
        <v>0.72540000000000004</v>
      </c>
      <c r="G310" s="860">
        <v>0.61970000000000003</v>
      </c>
      <c r="H310" s="860">
        <v>0.61970000000000003</v>
      </c>
      <c r="I310" s="860">
        <v>0.53959999999999997</v>
      </c>
      <c r="J310" s="860">
        <v>0.53959999999999997</v>
      </c>
      <c r="K310" s="860">
        <v>0.53959999999999997</v>
      </c>
      <c r="L310" s="860">
        <v>0.53959999999999997</v>
      </c>
      <c r="M310" s="860">
        <v>0.53959999999999997</v>
      </c>
    </row>
    <row r="311" spans="1:13">
      <c r="A311" s="851">
        <v>4.2</v>
      </c>
      <c r="B311" s="860">
        <v>0.7601</v>
      </c>
      <c r="C311" s="860">
        <v>0.7601</v>
      </c>
      <c r="D311" s="860">
        <v>0.72140000000000004</v>
      </c>
      <c r="E311" s="860">
        <v>0.72140000000000004</v>
      </c>
      <c r="F311" s="860">
        <v>0.72140000000000004</v>
      </c>
      <c r="G311" s="860">
        <v>0.61529999999999996</v>
      </c>
      <c r="H311" s="860">
        <v>0.61529999999999996</v>
      </c>
      <c r="I311" s="860">
        <v>0.53490000000000004</v>
      </c>
      <c r="J311" s="860">
        <v>0.53490000000000004</v>
      </c>
      <c r="K311" s="860">
        <v>0.53490000000000004</v>
      </c>
      <c r="L311" s="860">
        <v>0.53490000000000004</v>
      </c>
      <c r="M311" s="860">
        <v>0.53490000000000004</v>
      </c>
    </row>
    <row r="312" spans="1:13">
      <c r="A312" s="851">
        <v>4.3</v>
      </c>
      <c r="B312" s="860">
        <v>0.75700000000000001</v>
      </c>
      <c r="C312" s="860">
        <v>0.75700000000000001</v>
      </c>
      <c r="D312" s="860">
        <v>0.7177</v>
      </c>
      <c r="E312" s="860">
        <v>0.7177</v>
      </c>
      <c r="F312" s="860">
        <v>0.7177</v>
      </c>
      <c r="G312" s="860">
        <v>0.61109999999999998</v>
      </c>
      <c r="H312" s="860">
        <v>0.61109999999999998</v>
      </c>
      <c r="I312" s="860">
        <v>0.53049999999999997</v>
      </c>
      <c r="J312" s="860">
        <v>0.53049999999999997</v>
      </c>
      <c r="K312" s="860">
        <v>0.53049999999999997</v>
      </c>
      <c r="L312" s="860">
        <v>0.53049999999999997</v>
      </c>
      <c r="M312" s="860">
        <v>0.53049999999999997</v>
      </c>
    </row>
    <row r="313" spans="1:13">
      <c r="A313" s="851">
        <v>4.4000000000000004</v>
      </c>
      <c r="B313" s="860">
        <v>0.754</v>
      </c>
      <c r="C313" s="860">
        <v>0.754</v>
      </c>
      <c r="D313" s="860">
        <v>0.71409999999999996</v>
      </c>
      <c r="E313" s="860">
        <v>0.71409999999999996</v>
      </c>
      <c r="F313" s="860">
        <v>0.71409999999999996</v>
      </c>
      <c r="G313" s="860">
        <v>0.60709999999999997</v>
      </c>
      <c r="H313" s="860">
        <v>0.60709999999999997</v>
      </c>
      <c r="I313" s="860">
        <v>0.52639999999999998</v>
      </c>
      <c r="J313" s="860">
        <v>0.52639999999999998</v>
      </c>
      <c r="K313" s="860">
        <v>0.52639999999999998</v>
      </c>
      <c r="L313" s="860">
        <v>0.52639999999999998</v>
      </c>
      <c r="M313" s="860">
        <v>0.52639999999999998</v>
      </c>
    </row>
    <row r="314" spans="1:13">
      <c r="A314" s="851">
        <v>4.5</v>
      </c>
      <c r="B314" s="860">
        <v>0.75119999999999998</v>
      </c>
      <c r="C314" s="860">
        <v>0.75119999999999998</v>
      </c>
      <c r="D314" s="860">
        <v>0.71079999999999999</v>
      </c>
      <c r="E314" s="860">
        <v>0.71079999999999999</v>
      </c>
      <c r="F314" s="860">
        <v>0.71079999999999999</v>
      </c>
      <c r="G314" s="860">
        <v>0.60329999999999995</v>
      </c>
      <c r="H314" s="860">
        <v>0.60329999999999995</v>
      </c>
      <c r="I314" s="860">
        <v>0.52249999999999996</v>
      </c>
      <c r="J314" s="860">
        <v>0.52249999999999996</v>
      </c>
      <c r="K314" s="860">
        <v>0.52249999999999996</v>
      </c>
      <c r="L314" s="860">
        <v>0.52249999999999996</v>
      </c>
      <c r="M314" s="860">
        <v>0.52249999999999996</v>
      </c>
    </row>
    <row r="315" spans="1:13">
      <c r="A315" s="851">
        <v>4.5999999999999996</v>
      </c>
      <c r="B315" s="860">
        <v>0.74860000000000004</v>
      </c>
      <c r="C315" s="860">
        <v>0.74860000000000004</v>
      </c>
      <c r="D315" s="860">
        <v>0.70760000000000001</v>
      </c>
      <c r="E315" s="860">
        <v>0.70760000000000001</v>
      </c>
      <c r="F315" s="860">
        <v>0.70760000000000001</v>
      </c>
      <c r="G315" s="860">
        <v>0.59970000000000001</v>
      </c>
      <c r="H315" s="860">
        <v>0.59970000000000001</v>
      </c>
      <c r="I315" s="860">
        <v>0.51890000000000003</v>
      </c>
      <c r="J315" s="860">
        <v>0.51890000000000003</v>
      </c>
      <c r="K315" s="860">
        <v>0.51890000000000003</v>
      </c>
      <c r="L315" s="860">
        <v>0.51890000000000003</v>
      </c>
      <c r="M315" s="860">
        <v>0.51890000000000003</v>
      </c>
    </row>
    <row r="316" spans="1:13">
      <c r="A316" s="851">
        <v>4.7</v>
      </c>
      <c r="B316" s="860">
        <v>0.74609999999999999</v>
      </c>
      <c r="C316" s="860">
        <v>0.74609999999999999</v>
      </c>
      <c r="D316" s="860">
        <v>0.7046</v>
      </c>
      <c r="E316" s="860">
        <v>0.7046</v>
      </c>
      <c r="F316" s="860">
        <v>0.7046</v>
      </c>
      <c r="G316" s="860">
        <v>0.59630000000000005</v>
      </c>
      <c r="H316" s="860">
        <v>0.59630000000000005</v>
      </c>
      <c r="I316" s="860">
        <v>0.51529999999999998</v>
      </c>
      <c r="J316" s="860">
        <v>0.51529999999999998</v>
      </c>
      <c r="K316" s="860">
        <v>0.51529999999999998</v>
      </c>
      <c r="L316" s="860">
        <v>0.51529999999999998</v>
      </c>
      <c r="M316" s="860">
        <v>0.51529999999999998</v>
      </c>
    </row>
    <row r="317" spans="1:13">
      <c r="A317" s="851">
        <v>4.8</v>
      </c>
      <c r="B317" s="860">
        <v>0.74380000000000002</v>
      </c>
      <c r="C317" s="860">
        <v>0.74380000000000002</v>
      </c>
      <c r="D317" s="860">
        <v>0.70169999999999999</v>
      </c>
      <c r="E317" s="860">
        <v>0.70169999999999999</v>
      </c>
      <c r="F317" s="860">
        <v>0.70169999999999999</v>
      </c>
      <c r="G317" s="860">
        <v>0.59309999999999996</v>
      </c>
      <c r="H317" s="860">
        <v>0.59309999999999996</v>
      </c>
      <c r="I317" s="860">
        <v>0.5121</v>
      </c>
      <c r="J317" s="860">
        <v>0.5121</v>
      </c>
      <c r="K317" s="860">
        <v>0.5121</v>
      </c>
      <c r="L317" s="860">
        <v>0.5121</v>
      </c>
      <c r="M317" s="860">
        <v>0.5121</v>
      </c>
    </row>
    <row r="318" spans="1:13">
      <c r="A318" s="851">
        <v>4.9000000000000004</v>
      </c>
      <c r="B318" s="860">
        <v>0.74160000000000004</v>
      </c>
      <c r="C318" s="860">
        <v>0.74160000000000004</v>
      </c>
      <c r="D318" s="860">
        <v>0.69889999999999997</v>
      </c>
      <c r="E318" s="860">
        <v>0.69889999999999997</v>
      </c>
      <c r="F318" s="860">
        <v>0.69889999999999997</v>
      </c>
      <c r="G318" s="860">
        <v>0.59009999999999996</v>
      </c>
      <c r="H318" s="860">
        <v>0.59009999999999996</v>
      </c>
      <c r="I318" s="860">
        <v>0.50900000000000001</v>
      </c>
      <c r="J318" s="860">
        <v>0.50900000000000001</v>
      </c>
      <c r="K318" s="860">
        <v>0.50900000000000001</v>
      </c>
      <c r="L318" s="860">
        <v>0.50900000000000001</v>
      </c>
      <c r="M318" s="860">
        <v>0.50900000000000001</v>
      </c>
    </row>
    <row r="319" spans="1:13">
      <c r="A319" s="851">
        <v>5</v>
      </c>
      <c r="B319" s="860">
        <v>0.73950000000000005</v>
      </c>
      <c r="C319" s="860">
        <v>0.73950000000000005</v>
      </c>
      <c r="D319" s="860">
        <v>0.69620000000000004</v>
      </c>
      <c r="E319" s="860">
        <v>0.69620000000000004</v>
      </c>
      <c r="F319" s="860">
        <v>0.69620000000000004</v>
      </c>
      <c r="G319" s="860">
        <v>0.58720000000000006</v>
      </c>
      <c r="H319" s="860">
        <v>0.58720000000000006</v>
      </c>
      <c r="I319" s="860">
        <v>0.50609999999999999</v>
      </c>
      <c r="J319" s="860">
        <v>0.50609999999999999</v>
      </c>
      <c r="K319" s="860">
        <v>0.50609999999999999</v>
      </c>
      <c r="L319" s="860">
        <v>0.50609999999999999</v>
      </c>
      <c r="M319" s="860">
        <v>0.50609999999999999</v>
      </c>
    </row>
    <row r="320" spans="1:13">
      <c r="A320" s="851">
        <v>5.0999999999999996</v>
      </c>
      <c r="B320" s="860">
        <v>0.73750000000000004</v>
      </c>
      <c r="C320" s="860">
        <v>0.73750000000000004</v>
      </c>
      <c r="D320" s="860">
        <v>0.69359999999999999</v>
      </c>
      <c r="E320" s="860">
        <v>0.69359999999999999</v>
      </c>
      <c r="F320" s="860">
        <v>0.69359999999999999</v>
      </c>
      <c r="G320" s="860">
        <v>0.58440000000000003</v>
      </c>
      <c r="H320" s="860">
        <v>0.58440000000000003</v>
      </c>
      <c r="I320" s="860">
        <v>0.50329999999999997</v>
      </c>
      <c r="J320" s="860">
        <v>0.50329999999999997</v>
      </c>
      <c r="K320" s="860">
        <v>0.50329999999999997</v>
      </c>
      <c r="L320" s="860">
        <v>0.50329999999999997</v>
      </c>
      <c r="M320" s="860">
        <v>0.50329999999999997</v>
      </c>
    </row>
    <row r="321" spans="1:13">
      <c r="A321" s="851">
        <v>5.2</v>
      </c>
      <c r="B321" s="860">
        <v>0.73560000000000003</v>
      </c>
      <c r="C321" s="860">
        <v>0.73560000000000003</v>
      </c>
      <c r="D321" s="860">
        <v>0.69110000000000005</v>
      </c>
      <c r="E321" s="860">
        <v>0.69110000000000005</v>
      </c>
      <c r="F321" s="860">
        <v>0.69110000000000005</v>
      </c>
      <c r="G321" s="860">
        <v>0.58169999999999999</v>
      </c>
      <c r="H321" s="860">
        <v>0.58169999999999999</v>
      </c>
      <c r="I321" s="860">
        <v>0.50060000000000004</v>
      </c>
      <c r="J321" s="860">
        <v>0.50060000000000004</v>
      </c>
      <c r="K321" s="860">
        <v>0.50060000000000004</v>
      </c>
      <c r="L321" s="860">
        <v>0.50060000000000004</v>
      </c>
      <c r="M321" s="860">
        <v>0.50060000000000004</v>
      </c>
    </row>
    <row r="322" spans="1:13">
      <c r="A322" s="851">
        <v>5.3</v>
      </c>
      <c r="B322" s="860">
        <v>0.73380000000000001</v>
      </c>
      <c r="C322" s="860">
        <v>0.73380000000000001</v>
      </c>
      <c r="D322" s="860">
        <v>0.68869999999999998</v>
      </c>
      <c r="E322" s="860">
        <v>0.68869999999999998</v>
      </c>
      <c r="F322" s="860">
        <v>0.68869999999999998</v>
      </c>
      <c r="G322" s="860">
        <v>0.57909999999999995</v>
      </c>
      <c r="H322" s="860">
        <v>0.57909999999999995</v>
      </c>
      <c r="I322" s="860">
        <v>0.49809999999999999</v>
      </c>
      <c r="J322" s="860">
        <v>0.49809999999999999</v>
      </c>
      <c r="K322" s="860">
        <v>0.49809999999999999</v>
      </c>
      <c r="L322" s="860">
        <v>0.49809999999999999</v>
      </c>
      <c r="M322" s="860">
        <v>0.49809999999999999</v>
      </c>
    </row>
    <row r="323" spans="1:13">
      <c r="A323" s="851">
        <v>5.4</v>
      </c>
      <c r="B323" s="860">
        <v>0.73199999999999998</v>
      </c>
      <c r="C323" s="860">
        <v>0.73199999999999998</v>
      </c>
      <c r="D323" s="860">
        <v>0.68640000000000001</v>
      </c>
      <c r="E323" s="860">
        <v>0.68640000000000001</v>
      </c>
      <c r="F323" s="860">
        <v>0.68640000000000001</v>
      </c>
      <c r="G323" s="860">
        <v>0.57650000000000001</v>
      </c>
      <c r="H323" s="860">
        <v>0.57650000000000001</v>
      </c>
      <c r="I323" s="860">
        <v>0.49559999999999998</v>
      </c>
      <c r="J323" s="860">
        <v>0.49559999999999998</v>
      </c>
      <c r="K323" s="860">
        <v>0.49559999999999998</v>
      </c>
      <c r="L323" s="860">
        <v>0.49559999999999998</v>
      </c>
      <c r="M323" s="860">
        <v>0.49559999999999998</v>
      </c>
    </row>
    <row r="324" spans="1:13">
      <c r="A324" s="851">
        <v>5.5</v>
      </c>
      <c r="B324" s="860">
        <v>0.73009999999999997</v>
      </c>
      <c r="C324" s="860">
        <v>0.73009999999999997</v>
      </c>
      <c r="D324" s="860">
        <v>0.68420000000000003</v>
      </c>
      <c r="E324" s="860">
        <v>0.68420000000000003</v>
      </c>
      <c r="F324" s="860">
        <v>0.68420000000000003</v>
      </c>
      <c r="G324" s="860">
        <v>0.57399999999999995</v>
      </c>
      <c r="H324" s="860">
        <v>0.57399999999999995</v>
      </c>
      <c r="I324" s="860">
        <v>0.49320000000000003</v>
      </c>
      <c r="J324" s="860">
        <v>0.49320000000000003</v>
      </c>
      <c r="K324" s="860">
        <v>0.49320000000000003</v>
      </c>
      <c r="L324" s="860">
        <v>0.49320000000000003</v>
      </c>
      <c r="M324" s="860">
        <v>0.49320000000000003</v>
      </c>
    </row>
    <row r="325" spans="1:13">
      <c r="A325" s="851">
        <v>5.6</v>
      </c>
      <c r="B325" s="860">
        <v>0.72819999999999996</v>
      </c>
      <c r="C325" s="860">
        <v>0.72819999999999996</v>
      </c>
      <c r="D325" s="860">
        <v>0.68200000000000005</v>
      </c>
      <c r="E325" s="860">
        <v>0.68200000000000005</v>
      </c>
      <c r="F325" s="860">
        <v>0.68200000000000005</v>
      </c>
      <c r="G325" s="860">
        <v>0.57150000000000001</v>
      </c>
      <c r="H325" s="860">
        <v>0.57150000000000001</v>
      </c>
      <c r="I325" s="860">
        <v>0.49080000000000001</v>
      </c>
      <c r="J325" s="860">
        <v>0.49080000000000001</v>
      </c>
      <c r="K325" s="860">
        <v>0.49080000000000001</v>
      </c>
      <c r="L325" s="860">
        <v>0.49080000000000001</v>
      </c>
      <c r="M325" s="860">
        <v>0.49080000000000001</v>
      </c>
    </row>
    <row r="326" spans="1:13">
      <c r="A326" s="851">
        <v>5.7</v>
      </c>
      <c r="B326" s="860">
        <v>0.72640000000000005</v>
      </c>
      <c r="C326" s="860">
        <v>0.72640000000000005</v>
      </c>
      <c r="D326" s="860">
        <v>0.67989999999999995</v>
      </c>
      <c r="E326" s="860">
        <v>0.67989999999999995</v>
      </c>
      <c r="F326" s="860">
        <v>0.67989999999999995</v>
      </c>
      <c r="G326" s="860">
        <v>0.56899999999999995</v>
      </c>
      <c r="H326" s="860">
        <v>0.56899999999999995</v>
      </c>
      <c r="I326" s="860">
        <v>0.4884</v>
      </c>
      <c r="J326" s="860">
        <v>0.4884</v>
      </c>
      <c r="K326" s="860">
        <v>0.4884</v>
      </c>
      <c r="L326" s="860">
        <v>0.4884</v>
      </c>
      <c r="M326" s="860">
        <v>0.4884</v>
      </c>
    </row>
    <row r="327" spans="1:13">
      <c r="A327" s="851">
        <v>5.8</v>
      </c>
      <c r="B327" s="860">
        <v>0.72460000000000002</v>
      </c>
      <c r="C327" s="860">
        <v>0.72460000000000002</v>
      </c>
      <c r="D327" s="860">
        <v>0.67779999999999996</v>
      </c>
      <c r="E327" s="860">
        <v>0.67779999999999996</v>
      </c>
      <c r="F327" s="860">
        <v>0.67779999999999996</v>
      </c>
      <c r="G327" s="860">
        <v>0.56659999999999999</v>
      </c>
      <c r="H327" s="860">
        <v>0.56659999999999999</v>
      </c>
      <c r="I327" s="860">
        <v>0.48609999999999998</v>
      </c>
      <c r="J327" s="860">
        <v>0.48609999999999998</v>
      </c>
      <c r="K327" s="860">
        <v>0.48609999999999998</v>
      </c>
      <c r="L327" s="860">
        <v>0.48609999999999998</v>
      </c>
      <c r="M327" s="860">
        <v>0.48609999999999998</v>
      </c>
    </row>
    <row r="328" spans="1:13">
      <c r="A328" s="851">
        <v>5.9</v>
      </c>
      <c r="B328" s="860">
        <v>0.7228</v>
      </c>
      <c r="C328" s="860">
        <v>0.7228</v>
      </c>
      <c r="D328" s="860">
        <v>0.67569999999999997</v>
      </c>
      <c r="E328" s="860">
        <v>0.67569999999999997</v>
      </c>
      <c r="F328" s="860">
        <v>0.67569999999999997</v>
      </c>
      <c r="G328" s="860">
        <v>0.56420000000000003</v>
      </c>
      <c r="H328" s="860">
        <v>0.56420000000000003</v>
      </c>
      <c r="I328" s="860">
        <v>0.48380000000000001</v>
      </c>
      <c r="J328" s="860">
        <v>0.48380000000000001</v>
      </c>
      <c r="K328" s="860">
        <v>0.48380000000000001</v>
      </c>
      <c r="L328" s="860">
        <v>0.48380000000000001</v>
      </c>
      <c r="M328" s="860">
        <v>0.48380000000000001</v>
      </c>
    </row>
    <row r="329" spans="1:13">
      <c r="A329" s="868">
        <v>6</v>
      </c>
      <c r="B329" s="860">
        <v>0.72099999999999997</v>
      </c>
      <c r="C329" s="860">
        <v>0.72099999999999997</v>
      </c>
      <c r="D329" s="860">
        <v>0.67359999999999998</v>
      </c>
      <c r="E329" s="860">
        <v>0.67359999999999998</v>
      </c>
      <c r="F329" s="860">
        <v>0.67359999999999998</v>
      </c>
      <c r="G329" s="860">
        <v>0.56179999999999997</v>
      </c>
      <c r="H329" s="860">
        <v>0.56179999999999997</v>
      </c>
      <c r="I329" s="860">
        <v>0.48159999999999997</v>
      </c>
      <c r="J329" s="860">
        <v>0.48159999999999997</v>
      </c>
      <c r="K329" s="860">
        <v>0.48159999999999997</v>
      </c>
      <c r="L329" s="860">
        <v>0.48159999999999997</v>
      </c>
      <c r="M329" s="860">
        <v>0.48159999999999997</v>
      </c>
    </row>
    <row r="330" spans="1:13">
      <c r="A330" s="868">
        <v>6.1</v>
      </c>
      <c r="B330" s="860">
        <v>0.71930000000000005</v>
      </c>
      <c r="C330" s="860">
        <v>0.71930000000000005</v>
      </c>
      <c r="D330" s="860">
        <v>0.67159999999999997</v>
      </c>
      <c r="E330" s="860">
        <v>0.67159999999999997</v>
      </c>
      <c r="F330" s="860">
        <v>0.67159999999999997</v>
      </c>
      <c r="G330" s="860">
        <v>0.55940000000000001</v>
      </c>
      <c r="H330" s="860">
        <v>0.55940000000000001</v>
      </c>
      <c r="I330" s="860">
        <v>0.4793</v>
      </c>
      <c r="J330" s="860">
        <v>0.4793</v>
      </c>
      <c r="K330" s="860">
        <v>0.4793</v>
      </c>
      <c r="L330" s="860">
        <v>0.4793</v>
      </c>
      <c r="M330" s="860">
        <v>0.4793</v>
      </c>
    </row>
    <row r="331" spans="1:13">
      <c r="A331" s="868">
        <v>6.2</v>
      </c>
      <c r="B331" s="860">
        <v>0.71760000000000002</v>
      </c>
      <c r="C331" s="860">
        <v>0.71760000000000002</v>
      </c>
      <c r="D331" s="860">
        <v>0.66959999999999997</v>
      </c>
      <c r="E331" s="860">
        <v>0.66959999999999997</v>
      </c>
      <c r="F331" s="860">
        <v>0.66959999999999997</v>
      </c>
      <c r="G331" s="860">
        <v>0.55710000000000004</v>
      </c>
      <c r="H331" s="860">
        <v>0.55710000000000004</v>
      </c>
      <c r="I331" s="860">
        <v>0.47710000000000002</v>
      </c>
      <c r="J331" s="860">
        <v>0.47710000000000002</v>
      </c>
      <c r="K331" s="860">
        <v>0.47710000000000002</v>
      </c>
      <c r="L331" s="860">
        <v>0.47710000000000002</v>
      </c>
      <c r="M331" s="860">
        <v>0.47710000000000002</v>
      </c>
    </row>
    <row r="332" spans="1:13">
      <c r="A332" s="868">
        <v>6.3</v>
      </c>
      <c r="B332" s="860">
        <v>0.71589999999999998</v>
      </c>
      <c r="C332" s="860">
        <v>0.71589999999999998</v>
      </c>
      <c r="D332" s="860">
        <v>0.66759999999999997</v>
      </c>
      <c r="E332" s="860">
        <v>0.66759999999999997</v>
      </c>
      <c r="F332" s="860">
        <v>0.66759999999999997</v>
      </c>
      <c r="G332" s="860">
        <v>0.55479999999999996</v>
      </c>
      <c r="H332" s="860">
        <v>0.55479999999999996</v>
      </c>
      <c r="I332" s="860">
        <v>0.47489999999999999</v>
      </c>
      <c r="J332" s="860">
        <v>0.47489999999999999</v>
      </c>
      <c r="K332" s="860">
        <v>0.47489999999999999</v>
      </c>
      <c r="L332" s="860">
        <v>0.47489999999999999</v>
      </c>
      <c r="M332" s="860">
        <v>0.47489999999999999</v>
      </c>
    </row>
    <row r="333" spans="1:13">
      <c r="A333" s="868">
        <v>6.4</v>
      </c>
      <c r="B333" s="860">
        <v>0.71419999999999995</v>
      </c>
      <c r="C333" s="860">
        <v>0.71419999999999995</v>
      </c>
      <c r="D333" s="860">
        <v>0.66559999999999997</v>
      </c>
      <c r="E333" s="860">
        <v>0.66559999999999997</v>
      </c>
      <c r="F333" s="860">
        <v>0.66559999999999997</v>
      </c>
      <c r="G333" s="860">
        <v>0.55249999999999999</v>
      </c>
      <c r="H333" s="860">
        <v>0.55249999999999999</v>
      </c>
      <c r="I333" s="860">
        <v>0.47270000000000001</v>
      </c>
      <c r="J333" s="860">
        <v>0.47270000000000001</v>
      </c>
      <c r="K333" s="860">
        <v>0.47270000000000001</v>
      </c>
      <c r="L333" s="860">
        <v>0.47270000000000001</v>
      </c>
      <c r="M333" s="860">
        <v>0.47270000000000001</v>
      </c>
    </row>
    <row r="334" spans="1:13">
      <c r="A334" s="868">
        <v>6.5</v>
      </c>
      <c r="B334" s="860">
        <v>0.71250000000000002</v>
      </c>
      <c r="C334" s="860">
        <v>0.71250000000000002</v>
      </c>
      <c r="D334" s="860">
        <v>0.66359999999999997</v>
      </c>
      <c r="E334" s="860">
        <v>0.66359999999999997</v>
      </c>
      <c r="F334" s="860">
        <v>0.66359999999999997</v>
      </c>
      <c r="G334" s="860">
        <v>0.55020000000000002</v>
      </c>
      <c r="H334" s="860">
        <v>0.55020000000000002</v>
      </c>
      <c r="I334" s="860">
        <v>0.47060000000000002</v>
      </c>
      <c r="J334" s="860">
        <v>0.47060000000000002</v>
      </c>
      <c r="K334" s="860">
        <v>0.47060000000000002</v>
      </c>
      <c r="L334" s="860">
        <v>0.47060000000000002</v>
      </c>
      <c r="M334" s="860">
        <v>0.47060000000000002</v>
      </c>
    </row>
    <row r="335" spans="1:13">
      <c r="A335" s="868">
        <v>6.6</v>
      </c>
      <c r="B335" s="860">
        <v>0.71089999999999998</v>
      </c>
      <c r="C335" s="860">
        <v>0.71089999999999998</v>
      </c>
      <c r="D335" s="860">
        <v>0.66159999999999997</v>
      </c>
      <c r="E335" s="860">
        <v>0.66159999999999997</v>
      </c>
      <c r="F335" s="860">
        <v>0.66159999999999997</v>
      </c>
      <c r="G335" s="860">
        <v>0.54800000000000004</v>
      </c>
      <c r="H335" s="860">
        <v>0.54800000000000004</v>
      </c>
      <c r="I335" s="860">
        <v>0.46839999999999998</v>
      </c>
      <c r="J335" s="860">
        <v>0.46839999999999998</v>
      </c>
      <c r="K335" s="860">
        <v>0.46839999999999998</v>
      </c>
      <c r="L335" s="860">
        <v>0.46839999999999998</v>
      </c>
      <c r="M335" s="860">
        <v>0.46839999999999998</v>
      </c>
    </row>
    <row r="336" spans="1:13">
      <c r="A336" s="868">
        <v>6.7</v>
      </c>
      <c r="B336" s="860">
        <v>0.70930000000000004</v>
      </c>
      <c r="C336" s="860">
        <v>0.70930000000000004</v>
      </c>
      <c r="D336" s="860">
        <v>0.65969999999999995</v>
      </c>
      <c r="E336" s="860">
        <v>0.65969999999999995</v>
      </c>
      <c r="F336" s="860">
        <v>0.65969999999999995</v>
      </c>
      <c r="G336" s="860">
        <v>0.54579999999999995</v>
      </c>
      <c r="H336" s="860">
        <v>0.54579999999999995</v>
      </c>
      <c r="I336" s="860">
        <v>0.46629999999999999</v>
      </c>
      <c r="J336" s="860">
        <v>0.46629999999999999</v>
      </c>
      <c r="K336" s="860">
        <v>0.46629999999999999</v>
      </c>
      <c r="L336" s="860">
        <v>0.46629999999999999</v>
      </c>
      <c r="M336" s="860">
        <v>0.46629999999999999</v>
      </c>
    </row>
    <row r="337" spans="1:13">
      <c r="A337" s="868">
        <v>6.8</v>
      </c>
      <c r="B337" s="860">
        <v>0.7077</v>
      </c>
      <c r="C337" s="860">
        <v>0.7077</v>
      </c>
      <c r="D337" s="860">
        <v>0.65780000000000005</v>
      </c>
      <c r="E337" s="860">
        <v>0.65780000000000005</v>
      </c>
      <c r="F337" s="860">
        <v>0.65780000000000005</v>
      </c>
      <c r="G337" s="860">
        <v>0.54359999999999997</v>
      </c>
      <c r="H337" s="860">
        <v>0.54359999999999997</v>
      </c>
      <c r="I337" s="860">
        <v>0.46410000000000001</v>
      </c>
      <c r="J337" s="860">
        <v>0.46410000000000001</v>
      </c>
      <c r="K337" s="860">
        <v>0.46410000000000001</v>
      </c>
      <c r="L337" s="860">
        <v>0.46410000000000001</v>
      </c>
      <c r="M337" s="860">
        <v>0.46410000000000001</v>
      </c>
    </row>
    <row r="338" spans="1:13">
      <c r="A338" s="868">
        <v>6.9</v>
      </c>
      <c r="B338" s="860">
        <v>0.70609999999999995</v>
      </c>
      <c r="C338" s="860">
        <v>0.70609999999999995</v>
      </c>
      <c r="D338" s="860">
        <v>0.65590000000000004</v>
      </c>
      <c r="E338" s="860">
        <v>0.65590000000000004</v>
      </c>
      <c r="F338" s="860">
        <v>0.65590000000000004</v>
      </c>
      <c r="G338" s="860">
        <v>0.54139999999999999</v>
      </c>
      <c r="H338" s="860">
        <v>0.54139999999999999</v>
      </c>
      <c r="I338" s="860">
        <v>0.46200000000000002</v>
      </c>
      <c r="J338" s="860">
        <v>0.46200000000000002</v>
      </c>
      <c r="K338" s="860">
        <v>0.46200000000000002</v>
      </c>
      <c r="L338" s="860">
        <v>0.46200000000000002</v>
      </c>
      <c r="M338" s="860">
        <v>0.46200000000000002</v>
      </c>
    </row>
    <row r="339" spans="1:13">
      <c r="A339" s="868">
        <v>7</v>
      </c>
      <c r="B339" s="860">
        <v>0.70450000000000002</v>
      </c>
      <c r="C339" s="860">
        <v>0.70450000000000002</v>
      </c>
      <c r="D339" s="860">
        <v>0.65400000000000003</v>
      </c>
      <c r="E339" s="860">
        <v>0.65400000000000003</v>
      </c>
      <c r="F339" s="860">
        <v>0.65400000000000003</v>
      </c>
      <c r="G339" s="860">
        <v>0.53920000000000001</v>
      </c>
      <c r="H339" s="860">
        <v>0.53920000000000001</v>
      </c>
      <c r="I339" s="860">
        <v>0.45979999999999999</v>
      </c>
      <c r="J339" s="860">
        <v>0.45979999999999999</v>
      </c>
      <c r="K339" s="860">
        <v>0.45979999999999999</v>
      </c>
      <c r="L339" s="860">
        <v>0.45979999999999999</v>
      </c>
      <c r="M339" s="860">
        <v>0.45979999999999999</v>
      </c>
    </row>
    <row r="340" spans="1:13">
      <c r="A340" s="868">
        <v>7.1</v>
      </c>
      <c r="B340" s="860">
        <v>0.70289999999999997</v>
      </c>
      <c r="C340" s="860">
        <v>0.70289999999999997</v>
      </c>
      <c r="D340" s="860">
        <v>0.65210000000000001</v>
      </c>
      <c r="E340" s="860">
        <v>0.65210000000000001</v>
      </c>
      <c r="F340" s="860">
        <v>0.65210000000000001</v>
      </c>
      <c r="G340" s="860">
        <v>0.53710000000000002</v>
      </c>
      <c r="H340" s="860">
        <v>0.53710000000000002</v>
      </c>
      <c r="I340" s="860">
        <v>0.45779999999999998</v>
      </c>
      <c r="J340" s="860">
        <v>0.45779999999999998</v>
      </c>
      <c r="K340" s="860">
        <v>0.45779999999999998</v>
      </c>
      <c r="L340" s="860">
        <v>0.45779999999999998</v>
      </c>
      <c r="M340" s="860">
        <v>0.45779999999999998</v>
      </c>
    </row>
    <row r="341" spans="1:13">
      <c r="A341" s="868">
        <v>7.2</v>
      </c>
      <c r="B341" s="860">
        <v>0.70140000000000002</v>
      </c>
      <c r="C341" s="860">
        <v>0.70140000000000002</v>
      </c>
      <c r="D341" s="860">
        <v>0.6502</v>
      </c>
      <c r="E341" s="860">
        <v>0.6502</v>
      </c>
      <c r="F341" s="860">
        <v>0.6502</v>
      </c>
      <c r="G341" s="860">
        <v>0.53500000000000003</v>
      </c>
      <c r="H341" s="860">
        <v>0.53500000000000003</v>
      </c>
      <c r="I341" s="860">
        <v>0.45569999999999999</v>
      </c>
      <c r="J341" s="860">
        <v>0.45569999999999999</v>
      </c>
      <c r="K341" s="860">
        <v>0.45569999999999999</v>
      </c>
      <c r="L341" s="860">
        <v>0.45569999999999999</v>
      </c>
      <c r="M341" s="860">
        <v>0.45569999999999999</v>
      </c>
    </row>
    <row r="342" spans="1:13">
      <c r="A342" s="868">
        <v>7.3</v>
      </c>
      <c r="B342" s="860">
        <v>0.69989999999999997</v>
      </c>
      <c r="C342" s="860">
        <v>0.69989999999999997</v>
      </c>
      <c r="D342" s="860">
        <v>0.64829999999999999</v>
      </c>
      <c r="E342" s="860">
        <v>0.64829999999999999</v>
      </c>
      <c r="F342" s="860">
        <v>0.64829999999999999</v>
      </c>
      <c r="G342" s="860">
        <v>0.53290000000000004</v>
      </c>
      <c r="H342" s="860">
        <v>0.53290000000000004</v>
      </c>
      <c r="I342" s="860">
        <v>0.45369999999999999</v>
      </c>
      <c r="J342" s="860">
        <v>0.45369999999999999</v>
      </c>
      <c r="K342" s="860">
        <v>0.45369999999999999</v>
      </c>
      <c r="L342" s="860">
        <v>0.45369999999999999</v>
      </c>
      <c r="M342" s="860">
        <v>0.45369999999999999</v>
      </c>
    </row>
    <row r="343" spans="1:13">
      <c r="A343" s="868">
        <v>7.4</v>
      </c>
      <c r="B343" s="860">
        <v>0.69840000000000002</v>
      </c>
      <c r="C343" s="860">
        <v>0.69840000000000002</v>
      </c>
      <c r="D343" s="860">
        <v>0.64649999999999996</v>
      </c>
      <c r="E343" s="860">
        <v>0.64649999999999996</v>
      </c>
      <c r="F343" s="860">
        <v>0.64649999999999996</v>
      </c>
      <c r="G343" s="860">
        <v>0.53080000000000005</v>
      </c>
      <c r="H343" s="860">
        <v>0.53080000000000005</v>
      </c>
      <c r="I343" s="860">
        <v>0.4516</v>
      </c>
      <c r="J343" s="860">
        <v>0.4516</v>
      </c>
      <c r="K343" s="860">
        <v>0.4516</v>
      </c>
      <c r="L343" s="860">
        <v>0.4516</v>
      </c>
      <c r="M343" s="860">
        <v>0.4516</v>
      </c>
    </row>
    <row r="344" spans="1:13">
      <c r="A344" s="868">
        <v>7.5</v>
      </c>
      <c r="B344" s="860">
        <v>0.69689999999999996</v>
      </c>
      <c r="C344" s="860">
        <v>0.69689999999999996</v>
      </c>
      <c r="D344" s="860">
        <v>0.64470000000000005</v>
      </c>
      <c r="E344" s="860">
        <v>0.64470000000000005</v>
      </c>
      <c r="F344" s="860">
        <v>0.64470000000000005</v>
      </c>
      <c r="G344" s="860">
        <v>0.52869999999999995</v>
      </c>
      <c r="H344" s="860">
        <v>0.52869999999999995</v>
      </c>
      <c r="I344" s="860">
        <v>0.44950000000000001</v>
      </c>
      <c r="J344" s="860">
        <v>0.44950000000000001</v>
      </c>
      <c r="K344" s="860">
        <v>0.44950000000000001</v>
      </c>
      <c r="L344" s="860">
        <v>0.44950000000000001</v>
      </c>
      <c r="M344" s="860">
        <v>0.44950000000000001</v>
      </c>
    </row>
    <row r="345" spans="1:13">
      <c r="A345" s="868">
        <v>7.6</v>
      </c>
      <c r="B345" s="860">
        <v>0.69540000000000002</v>
      </c>
      <c r="C345" s="860">
        <v>0.69540000000000002</v>
      </c>
      <c r="D345" s="860">
        <v>0.64290000000000003</v>
      </c>
      <c r="E345" s="860">
        <v>0.64290000000000003</v>
      </c>
      <c r="F345" s="860">
        <v>0.64290000000000003</v>
      </c>
      <c r="G345" s="860">
        <v>0.52659999999999996</v>
      </c>
      <c r="H345" s="860">
        <v>0.52659999999999996</v>
      </c>
      <c r="I345" s="860">
        <v>0.44750000000000001</v>
      </c>
      <c r="J345" s="860">
        <v>0.44750000000000001</v>
      </c>
      <c r="K345" s="860">
        <v>0.44750000000000001</v>
      </c>
      <c r="L345" s="860">
        <v>0.44750000000000001</v>
      </c>
      <c r="M345" s="860">
        <v>0.44750000000000001</v>
      </c>
    </row>
    <row r="346" spans="1:13">
      <c r="A346" s="868">
        <v>7.7</v>
      </c>
      <c r="B346" s="860">
        <v>0.69389999999999996</v>
      </c>
      <c r="C346" s="860">
        <v>0.69389999999999996</v>
      </c>
      <c r="D346" s="860">
        <v>0.6411</v>
      </c>
      <c r="E346" s="860">
        <v>0.6411</v>
      </c>
      <c r="F346" s="860">
        <v>0.6411</v>
      </c>
      <c r="G346" s="860">
        <v>0.52459999999999996</v>
      </c>
      <c r="H346" s="860">
        <v>0.52459999999999996</v>
      </c>
      <c r="I346" s="860">
        <v>0.44540000000000002</v>
      </c>
      <c r="J346" s="860">
        <v>0.44540000000000002</v>
      </c>
      <c r="K346" s="860">
        <v>0.44540000000000002</v>
      </c>
      <c r="L346" s="860">
        <v>0.44540000000000002</v>
      </c>
      <c r="M346" s="860">
        <v>0.44540000000000002</v>
      </c>
    </row>
    <row r="347" spans="1:13">
      <c r="A347" s="868">
        <v>7.8</v>
      </c>
      <c r="B347" s="860">
        <v>0.69240000000000002</v>
      </c>
      <c r="C347" s="860">
        <v>0.69240000000000002</v>
      </c>
      <c r="D347" s="860">
        <v>0.63929999999999998</v>
      </c>
      <c r="E347" s="860">
        <v>0.63929999999999998</v>
      </c>
      <c r="F347" s="860">
        <v>0.63929999999999998</v>
      </c>
      <c r="G347" s="860">
        <v>0.52259999999999995</v>
      </c>
      <c r="H347" s="860">
        <v>0.52259999999999995</v>
      </c>
      <c r="I347" s="860">
        <v>0.44340000000000002</v>
      </c>
      <c r="J347" s="860">
        <v>0.44340000000000002</v>
      </c>
      <c r="K347" s="860">
        <v>0.44340000000000002</v>
      </c>
      <c r="L347" s="860">
        <v>0.44340000000000002</v>
      </c>
      <c r="M347" s="860">
        <v>0.44340000000000002</v>
      </c>
    </row>
    <row r="348" spans="1:13">
      <c r="A348" s="868">
        <v>7.9</v>
      </c>
      <c r="B348" s="860">
        <v>0.69099999999999995</v>
      </c>
      <c r="C348" s="860">
        <v>0.69099999999999995</v>
      </c>
      <c r="D348" s="860">
        <v>0.63749999999999996</v>
      </c>
      <c r="E348" s="860">
        <v>0.63749999999999996</v>
      </c>
      <c r="F348" s="860">
        <v>0.63749999999999996</v>
      </c>
      <c r="G348" s="860">
        <v>0.52059999999999995</v>
      </c>
      <c r="H348" s="860">
        <v>0.52059999999999995</v>
      </c>
      <c r="I348" s="860">
        <v>0.44130000000000003</v>
      </c>
      <c r="J348" s="860">
        <v>0.44130000000000003</v>
      </c>
      <c r="K348" s="860">
        <v>0.44130000000000003</v>
      </c>
      <c r="L348" s="860">
        <v>0.44130000000000003</v>
      </c>
      <c r="M348" s="860">
        <v>0.44130000000000003</v>
      </c>
    </row>
    <row r="349" spans="1:13">
      <c r="A349" s="868">
        <v>8</v>
      </c>
      <c r="B349" s="860">
        <v>0.68959999999999999</v>
      </c>
      <c r="C349" s="860">
        <v>0.68959999999999999</v>
      </c>
      <c r="D349" s="860">
        <v>0.63570000000000004</v>
      </c>
      <c r="E349" s="860">
        <v>0.63570000000000004</v>
      </c>
      <c r="F349" s="860">
        <v>0.63570000000000004</v>
      </c>
      <c r="G349" s="860">
        <v>0.51859999999999995</v>
      </c>
      <c r="H349" s="860">
        <v>0.51859999999999995</v>
      </c>
      <c r="I349" s="860">
        <v>0.43919999999999998</v>
      </c>
      <c r="J349" s="860">
        <v>0.43919999999999998</v>
      </c>
      <c r="K349" s="860">
        <v>0.43919999999999998</v>
      </c>
      <c r="L349" s="860">
        <v>0.43919999999999998</v>
      </c>
      <c r="M349" s="860">
        <v>0.43919999999999998</v>
      </c>
    </row>
    <row r="350" spans="1:13">
      <c r="A350" s="868">
        <v>8.1</v>
      </c>
      <c r="B350" s="860">
        <v>0.68820000000000003</v>
      </c>
      <c r="C350" s="860">
        <v>0.68820000000000003</v>
      </c>
      <c r="D350" s="860">
        <v>0.63390000000000002</v>
      </c>
      <c r="E350" s="860">
        <v>0.63390000000000002</v>
      </c>
      <c r="F350" s="860">
        <v>0.63390000000000002</v>
      </c>
      <c r="G350" s="860">
        <v>0.51659999999999995</v>
      </c>
      <c r="H350" s="860">
        <v>0.51659999999999995</v>
      </c>
      <c r="I350" s="860">
        <v>0.43730000000000002</v>
      </c>
      <c r="J350" s="860">
        <v>0.43730000000000002</v>
      </c>
      <c r="K350" s="860">
        <v>0.43730000000000002</v>
      </c>
      <c r="L350" s="860">
        <v>0.43730000000000002</v>
      </c>
      <c r="M350" s="860">
        <v>0.43730000000000002</v>
      </c>
    </row>
    <row r="351" spans="1:13">
      <c r="A351" s="868">
        <v>8.1999999999999993</v>
      </c>
      <c r="B351" s="860">
        <v>0.68679999999999997</v>
      </c>
      <c r="C351" s="860">
        <v>0.68679999999999997</v>
      </c>
      <c r="D351" s="860">
        <v>0.63219999999999998</v>
      </c>
      <c r="E351" s="860">
        <v>0.63219999999999998</v>
      </c>
      <c r="F351" s="860">
        <v>0.63219999999999998</v>
      </c>
      <c r="G351" s="860">
        <v>0.51459999999999995</v>
      </c>
      <c r="H351" s="860">
        <v>0.51459999999999995</v>
      </c>
      <c r="I351" s="860">
        <v>0.43530000000000002</v>
      </c>
      <c r="J351" s="860">
        <v>0.43530000000000002</v>
      </c>
      <c r="K351" s="860">
        <v>0.43530000000000002</v>
      </c>
      <c r="L351" s="860">
        <v>0.43530000000000002</v>
      </c>
      <c r="M351" s="860">
        <v>0.43530000000000002</v>
      </c>
    </row>
    <row r="352" spans="1:13">
      <c r="A352" s="868">
        <v>8.3000000000000007</v>
      </c>
      <c r="B352" s="860">
        <v>0.68540000000000001</v>
      </c>
      <c r="C352" s="860">
        <v>0.68540000000000001</v>
      </c>
      <c r="D352" s="860">
        <v>0.63049999999999995</v>
      </c>
      <c r="E352" s="860">
        <v>0.63049999999999995</v>
      </c>
      <c r="F352" s="860">
        <v>0.63049999999999995</v>
      </c>
      <c r="G352" s="860">
        <v>0.51259999999999994</v>
      </c>
      <c r="H352" s="860">
        <v>0.51259999999999994</v>
      </c>
      <c r="I352" s="860">
        <v>0.43330000000000002</v>
      </c>
      <c r="J352" s="860">
        <v>0.43330000000000002</v>
      </c>
      <c r="K352" s="860">
        <v>0.43330000000000002</v>
      </c>
      <c r="L352" s="860">
        <v>0.43330000000000002</v>
      </c>
      <c r="M352" s="860">
        <v>0.43330000000000002</v>
      </c>
    </row>
    <row r="353" spans="1:13">
      <c r="A353" s="868">
        <v>8.4</v>
      </c>
      <c r="B353" s="860">
        <v>0.68400000000000005</v>
      </c>
      <c r="C353" s="860">
        <v>0.68400000000000005</v>
      </c>
      <c r="D353" s="860">
        <v>0.62880000000000003</v>
      </c>
      <c r="E353" s="860">
        <v>0.62880000000000003</v>
      </c>
      <c r="F353" s="860">
        <v>0.62880000000000003</v>
      </c>
      <c r="G353" s="860">
        <v>0.51070000000000004</v>
      </c>
      <c r="H353" s="860">
        <v>0.51070000000000004</v>
      </c>
      <c r="I353" s="860">
        <v>0.43130000000000002</v>
      </c>
      <c r="J353" s="860">
        <v>0.43130000000000002</v>
      </c>
      <c r="K353" s="860">
        <v>0.43130000000000002</v>
      </c>
      <c r="L353" s="860">
        <v>0.43130000000000002</v>
      </c>
      <c r="M353" s="860">
        <v>0.43130000000000002</v>
      </c>
    </row>
    <row r="354" spans="1:13">
      <c r="A354" s="868">
        <v>8.5</v>
      </c>
      <c r="B354" s="860">
        <v>0.68259999999999998</v>
      </c>
      <c r="C354" s="860">
        <v>0.68259999999999998</v>
      </c>
      <c r="D354" s="860">
        <v>0.62709999999999999</v>
      </c>
      <c r="E354" s="860">
        <v>0.62709999999999999</v>
      </c>
      <c r="F354" s="860">
        <v>0.62709999999999999</v>
      </c>
      <c r="G354" s="860">
        <v>0.50880000000000003</v>
      </c>
      <c r="H354" s="860">
        <v>0.50880000000000003</v>
      </c>
      <c r="I354" s="860">
        <v>0.4294</v>
      </c>
      <c r="J354" s="860">
        <v>0.4294</v>
      </c>
      <c r="K354" s="860">
        <v>0.4294</v>
      </c>
      <c r="L354" s="860">
        <v>0.4294</v>
      </c>
      <c r="M354" s="860">
        <v>0.4294</v>
      </c>
    </row>
    <row r="355" spans="1:13">
      <c r="A355" s="868">
        <v>8.6</v>
      </c>
      <c r="B355" s="860">
        <v>0.68120000000000003</v>
      </c>
      <c r="C355" s="860">
        <v>0.68120000000000003</v>
      </c>
      <c r="D355" s="860">
        <v>0.62539999999999996</v>
      </c>
      <c r="E355" s="860">
        <v>0.62539999999999996</v>
      </c>
      <c r="F355" s="860">
        <v>0.62539999999999996</v>
      </c>
      <c r="G355" s="860">
        <v>0.50690000000000002</v>
      </c>
      <c r="H355" s="860">
        <v>0.50690000000000002</v>
      </c>
      <c r="I355" s="860">
        <v>0.4274</v>
      </c>
      <c r="J355" s="860">
        <v>0.4274</v>
      </c>
      <c r="K355" s="860">
        <v>0.4274</v>
      </c>
      <c r="L355" s="860">
        <v>0.4274</v>
      </c>
      <c r="M355" s="860">
        <v>0.4274</v>
      </c>
    </row>
    <row r="356" spans="1:13">
      <c r="A356" s="868">
        <v>8.6999999999999993</v>
      </c>
      <c r="B356" s="860">
        <v>0.67989999999999995</v>
      </c>
      <c r="C356" s="860">
        <v>0.67989999999999995</v>
      </c>
      <c r="D356" s="860">
        <v>0.62370000000000003</v>
      </c>
      <c r="E356" s="860">
        <v>0.62370000000000003</v>
      </c>
      <c r="F356" s="860">
        <v>0.62370000000000003</v>
      </c>
      <c r="G356" s="860">
        <v>0.505</v>
      </c>
      <c r="H356" s="860">
        <v>0.505</v>
      </c>
      <c r="I356" s="860">
        <v>0.4254</v>
      </c>
      <c r="J356" s="860">
        <v>0.4254</v>
      </c>
      <c r="K356" s="860">
        <v>0.4254</v>
      </c>
      <c r="L356" s="860">
        <v>0.4254</v>
      </c>
      <c r="M356" s="860">
        <v>0.4254</v>
      </c>
    </row>
    <row r="357" spans="1:13">
      <c r="A357" s="868">
        <v>8.8000000000000007</v>
      </c>
      <c r="B357" s="860">
        <v>0.67859999999999998</v>
      </c>
      <c r="C357" s="860">
        <v>0.67859999999999998</v>
      </c>
      <c r="D357" s="860">
        <v>0.622</v>
      </c>
      <c r="E357" s="860">
        <v>0.622</v>
      </c>
      <c r="F357" s="860">
        <v>0.622</v>
      </c>
      <c r="G357" s="860">
        <v>0.50309999999999999</v>
      </c>
      <c r="H357" s="860">
        <v>0.50309999999999999</v>
      </c>
      <c r="I357" s="860">
        <v>0.4234</v>
      </c>
      <c r="J357" s="860">
        <v>0.4234</v>
      </c>
      <c r="K357" s="860">
        <v>0.4234</v>
      </c>
      <c r="L357" s="860">
        <v>0.4234</v>
      </c>
      <c r="M357" s="860">
        <v>0.4234</v>
      </c>
    </row>
    <row r="358" spans="1:13">
      <c r="A358" s="868">
        <v>8.9</v>
      </c>
      <c r="B358" s="860">
        <v>0.67730000000000001</v>
      </c>
      <c r="C358" s="860">
        <v>0.67730000000000001</v>
      </c>
      <c r="D358" s="860">
        <v>0.62029999999999996</v>
      </c>
      <c r="E358" s="860">
        <v>0.62029999999999996</v>
      </c>
      <c r="F358" s="860">
        <v>0.62029999999999996</v>
      </c>
      <c r="G358" s="860">
        <v>0.50119999999999998</v>
      </c>
      <c r="H358" s="860">
        <v>0.50119999999999998</v>
      </c>
      <c r="I358" s="860">
        <v>0.42149999999999999</v>
      </c>
      <c r="J358" s="860">
        <v>0.42149999999999999</v>
      </c>
      <c r="K358" s="860">
        <v>0.42149999999999999</v>
      </c>
      <c r="L358" s="860">
        <v>0.42149999999999999</v>
      </c>
      <c r="M358" s="860">
        <v>0.42149999999999999</v>
      </c>
    </row>
    <row r="359" spans="1:13">
      <c r="A359" s="851">
        <v>9</v>
      </c>
      <c r="B359" s="860">
        <v>0.67600000000000005</v>
      </c>
      <c r="C359" s="860">
        <v>0.67600000000000005</v>
      </c>
      <c r="D359" s="860">
        <v>0.61870000000000003</v>
      </c>
      <c r="E359" s="860">
        <v>0.61870000000000003</v>
      </c>
      <c r="F359" s="860">
        <v>0.61870000000000003</v>
      </c>
      <c r="G359" s="860">
        <v>0.49930000000000002</v>
      </c>
      <c r="H359" s="860">
        <v>0.49930000000000002</v>
      </c>
      <c r="I359" s="860">
        <v>0.41949999999999998</v>
      </c>
      <c r="J359" s="860">
        <v>0.41949999999999998</v>
      </c>
      <c r="K359" s="860">
        <v>0.41949999999999998</v>
      </c>
      <c r="L359" s="860">
        <v>0.41949999999999998</v>
      </c>
      <c r="M359" s="860">
        <v>0.41949999999999998</v>
      </c>
    </row>
    <row r="360" spans="1:13">
      <c r="A360" s="851">
        <v>9.1</v>
      </c>
      <c r="B360" s="860">
        <v>0.67469999999999997</v>
      </c>
      <c r="C360" s="860">
        <v>0.67469999999999997</v>
      </c>
      <c r="D360" s="860">
        <v>0.61709999999999998</v>
      </c>
      <c r="E360" s="860">
        <v>0.61709999999999998</v>
      </c>
      <c r="F360" s="860">
        <v>0.61709999999999998</v>
      </c>
      <c r="G360" s="860">
        <v>0.49740000000000001</v>
      </c>
      <c r="H360" s="860">
        <v>0.49740000000000001</v>
      </c>
      <c r="I360" s="860">
        <v>0.41760000000000003</v>
      </c>
      <c r="J360" s="860">
        <v>0.41760000000000003</v>
      </c>
      <c r="K360" s="860">
        <v>0.41760000000000003</v>
      </c>
      <c r="L360" s="860">
        <v>0.41760000000000003</v>
      </c>
      <c r="M360" s="860">
        <v>0.41760000000000003</v>
      </c>
    </row>
    <row r="361" spans="1:13">
      <c r="A361" s="851">
        <v>9.1999999999999993</v>
      </c>
      <c r="B361" s="860">
        <v>0.6734</v>
      </c>
      <c r="C361" s="860">
        <v>0.6734</v>
      </c>
      <c r="D361" s="860">
        <v>0.61550000000000005</v>
      </c>
      <c r="E361" s="860">
        <v>0.61550000000000005</v>
      </c>
      <c r="F361" s="860">
        <v>0.61550000000000005</v>
      </c>
      <c r="G361" s="860">
        <v>0.49559999999999998</v>
      </c>
      <c r="H361" s="860">
        <v>0.49559999999999998</v>
      </c>
      <c r="I361" s="860">
        <v>0.41570000000000001</v>
      </c>
      <c r="J361" s="860">
        <v>0.41570000000000001</v>
      </c>
      <c r="K361" s="860">
        <v>0.41570000000000001</v>
      </c>
      <c r="L361" s="860">
        <v>0.41570000000000001</v>
      </c>
      <c r="M361" s="860">
        <v>0.41570000000000001</v>
      </c>
    </row>
    <row r="362" spans="1:13">
      <c r="A362" s="851">
        <v>9.3000000000000007</v>
      </c>
      <c r="B362" s="860">
        <v>0.67210000000000003</v>
      </c>
      <c r="C362" s="860">
        <v>0.67210000000000003</v>
      </c>
      <c r="D362" s="860">
        <v>0.6139</v>
      </c>
      <c r="E362" s="860">
        <v>0.6139</v>
      </c>
      <c r="F362" s="860">
        <v>0.6139</v>
      </c>
      <c r="G362" s="860">
        <v>0.49380000000000002</v>
      </c>
      <c r="H362" s="860">
        <v>0.49380000000000002</v>
      </c>
      <c r="I362" s="860">
        <v>0.4138</v>
      </c>
      <c r="J362" s="860">
        <v>0.4138</v>
      </c>
      <c r="K362" s="860">
        <v>0.4138</v>
      </c>
      <c r="L362" s="860">
        <v>0.4138</v>
      </c>
      <c r="M362" s="860">
        <v>0.4138</v>
      </c>
    </row>
    <row r="363" spans="1:13">
      <c r="A363" s="851">
        <v>9.4</v>
      </c>
      <c r="B363" s="860">
        <v>0.67079999999999995</v>
      </c>
      <c r="C363" s="860">
        <v>0.67079999999999995</v>
      </c>
      <c r="D363" s="860">
        <v>0.61229999999999996</v>
      </c>
      <c r="E363" s="860">
        <v>0.61229999999999996</v>
      </c>
      <c r="F363" s="860">
        <v>0.61229999999999996</v>
      </c>
      <c r="G363" s="860">
        <v>0.49199999999999999</v>
      </c>
      <c r="H363" s="860">
        <v>0.49199999999999999</v>
      </c>
      <c r="I363" s="860">
        <v>0.41189999999999999</v>
      </c>
      <c r="J363" s="860">
        <v>0.41189999999999999</v>
      </c>
      <c r="K363" s="860">
        <v>0.41189999999999999</v>
      </c>
      <c r="L363" s="860">
        <v>0.41189999999999999</v>
      </c>
      <c r="M363" s="860">
        <v>0.41189999999999999</v>
      </c>
    </row>
    <row r="364" spans="1:13">
      <c r="A364" s="851">
        <v>9.5</v>
      </c>
      <c r="B364" s="860">
        <v>0.66959999999999997</v>
      </c>
      <c r="C364" s="860">
        <v>0.66959999999999997</v>
      </c>
      <c r="D364" s="860">
        <v>0.61070000000000002</v>
      </c>
      <c r="E364" s="860">
        <v>0.61070000000000002</v>
      </c>
      <c r="F364" s="860">
        <v>0.61070000000000002</v>
      </c>
      <c r="G364" s="860">
        <v>0.49020000000000002</v>
      </c>
      <c r="H364" s="860">
        <v>0.49020000000000002</v>
      </c>
      <c r="I364" s="860">
        <v>0.41</v>
      </c>
      <c r="J364" s="860">
        <v>0.41</v>
      </c>
      <c r="K364" s="860">
        <v>0.41</v>
      </c>
      <c r="L364" s="860">
        <v>0.41</v>
      </c>
      <c r="M364" s="860">
        <v>0.41</v>
      </c>
    </row>
    <row r="365" spans="1:13">
      <c r="A365" s="868">
        <v>9.6</v>
      </c>
      <c r="B365" s="860">
        <v>0.66839999999999999</v>
      </c>
      <c r="C365" s="860">
        <v>0.66839999999999999</v>
      </c>
      <c r="D365" s="860">
        <v>0.60909999999999997</v>
      </c>
      <c r="E365" s="860">
        <v>0.60909999999999997</v>
      </c>
      <c r="F365" s="860">
        <v>0.60909999999999997</v>
      </c>
      <c r="G365" s="860">
        <v>0.4884</v>
      </c>
      <c r="H365" s="860">
        <v>0.4884</v>
      </c>
      <c r="I365" s="860">
        <v>0.40810000000000002</v>
      </c>
      <c r="J365" s="860">
        <v>0.40810000000000002</v>
      </c>
      <c r="K365" s="860">
        <v>0.40810000000000002</v>
      </c>
      <c r="L365" s="860">
        <v>0.40810000000000002</v>
      </c>
      <c r="M365" s="860">
        <v>0.40810000000000002</v>
      </c>
    </row>
    <row r="366" spans="1:13">
      <c r="A366" s="851">
        <v>9.6999999999999993</v>
      </c>
      <c r="B366" s="860">
        <v>0.66720000000000002</v>
      </c>
      <c r="C366" s="860">
        <v>0.66720000000000002</v>
      </c>
      <c r="D366" s="860">
        <v>0.60750000000000004</v>
      </c>
      <c r="E366" s="860">
        <v>0.60750000000000004</v>
      </c>
      <c r="F366" s="860">
        <v>0.60750000000000004</v>
      </c>
      <c r="G366" s="860">
        <v>0.48659999999999998</v>
      </c>
      <c r="H366" s="860">
        <v>0.48659999999999998</v>
      </c>
      <c r="I366" s="860">
        <v>0.40620000000000001</v>
      </c>
      <c r="J366" s="860">
        <v>0.40620000000000001</v>
      </c>
      <c r="K366" s="860">
        <v>0.40620000000000001</v>
      </c>
      <c r="L366" s="860">
        <v>0.40620000000000001</v>
      </c>
      <c r="M366" s="860">
        <v>0.40620000000000001</v>
      </c>
    </row>
    <row r="367" spans="1:13">
      <c r="A367" s="851">
        <v>9.8000000000000007</v>
      </c>
      <c r="B367" s="860">
        <v>0.66600000000000004</v>
      </c>
      <c r="C367" s="860">
        <v>0.66600000000000004</v>
      </c>
      <c r="D367" s="860">
        <v>0.60599999999999998</v>
      </c>
      <c r="E367" s="860">
        <v>0.60599999999999998</v>
      </c>
      <c r="F367" s="860">
        <v>0.60599999999999998</v>
      </c>
      <c r="G367" s="860">
        <v>0.48480000000000001</v>
      </c>
      <c r="H367" s="860">
        <v>0.48480000000000001</v>
      </c>
      <c r="I367" s="860">
        <v>0.40429999999999999</v>
      </c>
      <c r="J367" s="860">
        <v>0.40429999999999999</v>
      </c>
      <c r="K367" s="860">
        <v>0.40429999999999999</v>
      </c>
      <c r="L367" s="860">
        <v>0.40429999999999999</v>
      </c>
      <c r="M367" s="860">
        <v>0.40429999999999999</v>
      </c>
    </row>
    <row r="368" spans="1:13">
      <c r="A368" s="851">
        <v>9.9</v>
      </c>
      <c r="B368" s="860">
        <v>0.66479999999999995</v>
      </c>
      <c r="C368" s="860">
        <v>0.66479999999999995</v>
      </c>
      <c r="D368" s="860">
        <v>0.60450000000000004</v>
      </c>
      <c r="E368" s="860">
        <v>0.60450000000000004</v>
      </c>
      <c r="F368" s="860">
        <v>0.60450000000000004</v>
      </c>
      <c r="G368" s="860">
        <v>0.48299999999999998</v>
      </c>
      <c r="H368" s="860">
        <v>0.48299999999999998</v>
      </c>
      <c r="I368" s="860">
        <v>0.40239999999999998</v>
      </c>
      <c r="J368" s="860">
        <v>0.40239999999999998</v>
      </c>
      <c r="K368" s="860">
        <v>0.40239999999999998</v>
      </c>
      <c r="L368" s="860">
        <v>0.40239999999999998</v>
      </c>
      <c r="M368" s="860">
        <v>0.40239999999999998</v>
      </c>
    </row>
    <row r="369" spans="1:14" ht="14.25">
      <c r="A369" s="2991" t="s">
        <v>2686</v>
      </c>
      <c r="B369" s="860"/>
      <c r="C369" s="860"/>
      <c r="D369" s="860"/>
      <c r="E369" s="860"/>
      <c r="F369" s="860"/>
      <c r="G369" s="860"/>
      <c r="H369" s="860"/>
      <c r="I369" s="860"/>
      <c r="J369" s="860"/>
      <c r="K369" s="860"/>
      <c r="L369" s="860"/>
      <c r="M369" s="860"/>
    </row>
    <row r="370" spans="1:14">
      <c r="A370" s="851" t="s">
        <v>1469</v>
      </c>
      <c r="B370" s="860" t="s">
        <v>990</v>
      </c>
      <c r="C370" s="860" t="s">
        <v>1031</v>
      </c>
      <c r="D370" s="860" t="s">
        <v>1145</v>
      </c>
      <c r="E370" s="860" t="s">
        <v>853</v>
      </c>
      <c r="F370" s="860" t="s">
        <v>1152</v>
      </c>
      <c r="G370" s="860" t="s">
        <v>1153</v>
      </c>
      <c r="H370" s="860" t="s">
        <v>1154</v>
      </c>
      <c r="I370" s="860" t="s">
        <v>1155</v>
      </c>
      <c r="J370" s="860" t="s">
        <v>1156</v>
      </c>
      <c r="K370" s="860" t="s">
        <v>1157</v>
      </c>
      <c r="L370" s="860" t="s">
        <v>2669</v>
      </c>
      <c r="M370" s="860" t="s">
        <v>2670</v>
      </c>
      <c r="N370" s="850" t="e">
        <f>SUMPRODUCT((A371:A460=ROUNDDOWN([7]基准地价修正!G3,1))*(B370:M370=[7]基准地价修正!G2)*(B371:M460))</f>
        <v>#REF!</v>
      </c>
    </row>
    <row r="371" spans="1:14">
      <c r="A371" s="851">
        <v>1</v>
      </c>
      <c r="B371" s="860">
        <v>1.1839999999999999</v>
      </c>
      <c r="C371" s="860">
        <v>1.1839999999999999</v>
      </c>
      <c r="D371" s="860">
        <v>1.1565000000000001</v>
      </c>
      <c r="E371" s="860">
        <v>1.1565000000000001</v>
      </c>
      <c r="F371" s="860">
        <v>1.1565000000000001</v>
      </c>
      <c r="G371" s="860">
        <v>1.1565000000000001</v>
      </c>
      <c r="H371" s="860">
        <v>1.1565000000000001</v>
      </c>
      <c r="I371" s="860">
        <v>1.1198999999999999</v>
      </c>
      <c r="J371" s="860">
        <v>1.1198999999999999</v>
      </c>
      <c r="K371" s="860">
        <v>1.1198999999999999</v>
      </c>
      <c r="L371" s="860">
        <v>1.1198999999999999</v>
      </c>
      <c r="M371" s="860">
        <v>1.1198999999999999</v>
      </c>
    </row>
    <row r="372" spans="1:14">
      <c r="A372" s="851">
        <v>1.1000000000000001</v>
      </c>
      <c r="B372" s="860">
        <v>1.1658999999999999</v>
      </c>
      <c r="C372" s="860">
        <v>1.1658999999999999</v>
      </c>
      <c r="D372" s="860">
        <v>1.1364000000000001</v>
      </c>
      <c r="E372" s="860">
        <v>1.1364000000000001</v>
      </c>
      <c r="F372" s="860">
        <v>1.1364000000000001</v>
      </c>
      <c r="G372" s="860">
        <v>1.1364000000000001</v>
      </c>
      <c r="H372" s="860">
        <v>1.1364000000000001</v>
      </c>
      <c r="I372" s="860">
        <v>1.0931</v>
      </c>
      <c r="J372" s="860">
        <v>1.0931</v>
      </c>
      <c r="K372" s="860">
        <v>1.0931</v>
      </c>
      <c r="L372" s="860">
        <v>1.0931</v>
      </c>
      <c r="M372" s="860">
        <v>1.0931</v>
      </c>
    </row>
    <row r="373" spans="1:14">
      <c r="A373" s="851">
        <v>1.2</v>
      </c>
      <c r="B373" s="860">
        <v>1.1489</v>
      </c>
      <c r="C373" s="860">
        <v>1.1489</v>
      </c>
      <c r="D373" s="860">
        <v>1.1174999999999999</v>
      </c>
      <c r="E373" s="860">
        <v>1.1174999999999999</v>
      </c>
      <c r="F373" s="860">
        <v>1.1174999999999999</v>
      </c>
      <c r="G373" s="860">
        <v>1.1174999999999999</v>
      </c>
      <c r="H373" s="860">
        <v>1.1174999999999999</v>
      </c>
      <c r="I373" s="860">
        <v>1.0678000000000001</v>
      </c>
      <c r="J373" s="860">
        <v>1.0678000000000001</v>
      </c>
      <c r="K373" s="860">
        <v>1.0678000000000001</v>
      </c>
      <c r="L373" s="860">
        <v>1.0678000000000001</v>
      </c>
      <c r="M373" s="860">
        <v>1.0678000000000001</v>
      </c>
    </row>
    <row r="374" spans="1:14">
      <c r="A374" s="851">
        <v>1.3</v>
      </c>
      <c r="B374" s="860">
        <v>1.1328</v>
      </c>
      <c r="C374" s="860">
        <v>1.1328</v>
      </c>
      <c r="D374" s="860">
        <v>1.0995999999999999</v>
      </c>
      <c r="E374" s="860">
        <v>1.0995999999999999</v>
      </c>
      <c r="F374" s="860">
        <v>1.0995999999999999</v>
      </c>
      <c r="G374" s="860">
        <v>1.0995999999999999</v>
      </c>
      <c r="H374" s="860">
        <v>1.0995999999999999</v>
      </c>
      <c r="I374" s="860">
        <v>1.044</v>
      </c>
      <c r="J374" s="860">
        <v>1.044</v>
      </c>
      <c r="K374" s="860">
        <v>1.044</v>
      </c>
      <c r="L374" s="860">
        <v>1.044</v>
      </c>
      <c r="M374" s="860">
        <v>1.044</v>
      </c>
    </row>
    <row r="375" spans="1:14">
      <c r="A375" s="851">
        <v>1.4</v>
      </c>
      <c r="B375" s="860">
        <v>1.1175999999999999</v>
      </c>
      <c r="C375" s="860">
        <v>1.1175999999999999</v>
      </c>
      <c r="D375" s="860">
        <v>1.0827</v>
      </c>
      <c r="E375" s="860">
        <v>1.0827</v>
      </c>
      <c r="F375" s="860">
        <v>1.0827</v>
      </c>
      <c r="G375" s="860">
        <v>1.0827</v>
      </c>
      <c r="H375" s="860">
        <v>1.0827</v>
      </c>
      <c r="I375" s="860">
        <v>1.0214000000000001</v>
      </c>
      <c r="J375" s="860">
        <v>1.0214000000000001</v>
      </c>
      <c r="K375" s="860">
        <v>1.0214000000000001</v>
      </c>
      <c r="L375" s="860">
        <v>1.0214000000000001</v>
      </c>
      <c r="M375" s="860">
        <v>1.0214000000000001</v>
      </c>
    </row>
    <row r="376" spans="1:14">
      <c r="A376" s="851">
        <v>1.5</v>
      </c>
      <c r="B376" s="860">
        <v>1.1032999999999999</v>
      </c>
      <c r="C376" s="860">
        <v>1.1032999999999999</v>
      </c>
      <c r="D376" s="860">
        <v>1.0668</v>
      </c>
      <c r="E376" s="860">
        <v>1.0668</v>
      </c>
      <c r="F376" s="860">
        <v>1.0668</v>
      </c>
      <c r="G376" s="860">
        <v>1.0668</v>
      </c>
      <c r="H376" s="860">
        <v>1.0668</v>
      </c>
      <c r="I376" s="860">
        <v>1</v>
      </c>
      <c r="J376" s="860">
        <v>1</v>
      </c>
      <c r="K376" s="860">
        <v>1</v>
      </c>
      <c r="L376" s="860">
        <v>1</v>
      </c>
      <c r="M376" s="860">
        <v>1</v>
      </c>
    </row>
    <row r="377" spans="1:14">
      <c r="A377" s="851">
        <v>1.6</v>
      </c>
      <c r="B377" s="860">
        <v>1.0899000000000001</v>
      </c>
      <c r="C377" s="860">
        <v>1.0899000000000001</v>
      </c>
      <c r="D377" s="860">
        <v>1.0517000000000001</v>
      </c>
      <c r="E377" s="860">
        <v>1.0517000000000001</v>
      </c>
      <c r="F377" s="860">
        <v>1.0517000000000001</v>
      </c>
      <c r="G377" s="860">
        <v>1.0517000000000001</v>
      </c>
      <c r="H377" s="860">
        <v>1.0517000000000001</v>
      </c>
      <c r="I377" s="860">
        <v>0.97989999999999999</v>
      </c>
      <c r="J377" s="860">
        <v>0.97989999999999999</v>
      </c>
      <c r="K377" s="860">
        <v>0.97989999999999999</v>
      </c>
      <c r="L377" s="860">
        <v>0.97989999999999999</v>
      </c>
      <c r="M377" s="860">
        <v>0.97989999999999999</v>
      </c>
    </row>
    <row r="378" spans="1:14">
      <c r="A378" s="851">
        <v>1.7</v>
      </c>
      <c r="B378" s="860">
        <v>1.0771999999999999</v>
      </c>
      <c r="C378" s="860">
        <v>1.0771999999999999</v>
      </c>
      <c r="D378" s="860">
        <v>1.0376000000000001</v>
      </c>
      <c r="E378" s="860">
        <v>1.0376000000000001</v>
      </c>
      <c r="F378" s="860">
        <v>1.0376000000000001</v>
      </c>
      <c r="G378" s="860">
        <v>1.0376000000000001</v>
      </c>
      <c r="H378" s="860">
        <v>1.0376000000000001</v>
      </c>
      <c r="I378" s="860">
        <v>0.96089999999999998</v>
      </c>
      <c r="J378" s="860">
        <v>0.96089999999999998</v>
      </c>
      <c r="K378" s="860">
        <v>0.96089999999999998</v>
      </c>
      <c r="L378" s="860">
        <v>0.96089999999999998</v>
      </c>
      <c r="M378" s="860">
        <v>0.96089999999999998</v>
      </c>
    </row>
    <row r="379" spans="1:14">
      <c r="A379" s="851">
        <v>1.8</v>
      </c>
      <c r="B379" s="860">
        <v>1.0652999999999999</v>
      </c>
      <c r="C379" s="860">
        <v>1.0652999999999999</v>
      </c>
      <c r="D379" s="860">
        <v>1.0243</v>
      </c>
      <c r="E379" s="860">
        <v>1.0243</v>
      </c>
      <c r="F379" s="860">
        <v>1.0243</v>
      </c>
      <c r="G379" s="860">
        <v>1.0243</v>
      </c>
      <c r="H379" s="860">
        <v>1.0243</v>
      </c>
      <c r="I379" s="860">
        <v>0.94299999999999995</v>
      </c>
      <c r="J379" s="860">
        <v>0.94299999999999995</v>
      </c>
      <c r="K379" s="860">
        <v>0.94299999999999995</v>
      </c>
      <c r="L379" s="860">
        <v>0.94299999999999995</v>
      </c>
      <c r="M379" s="860">
        <v>0.94299999999999995</v>
      </c>
    </row>
    <row r="380" spans="1:14">
      <c r="A380" s="851">
        <v>1.9</v>
      </c>
      <c r="B380" s="860">
        <v>1.054</v>
      </c>
      <c r="C380" s="860">
        <v>1.054</v>
      </c>
      <c r="D380" s="860">
        <v>1.0118</v>
      </c>
      <c r="E380" s="860">
        <v>1.0118</v>
      </c>
      <c r="F380" s="860">
        <v>1.0118</v>
      </c>
      <c r="G380" s="860">
        <v>1.0118</v>
      </c>
      <c r="H380" s="860">
        <v>1.0118</v>
      </c>
      <c r="I380" s="860">
        <v>0.92620000000000002</v>
      </c>
      <c r="J380" s="860">
        <v>0.92620000000000002</v>
      </c>
      <c r="K380" s="860">
        <v>0.92620000000000002</v>
      </c>
      <c r="L380" s="860">
        <v>0.92620000000000002</v>
      </c>
      <c r="M380" s="860">
        <v>0.92620000000000002</v>
      </c>
    </row>
    <row r="381" spans="1:14">
      <c r="A381" s="851">
        <v>2</v>
      </c>
      <c r="B381" s="860">
        <v>1.0435000000000001</v>
      </c>
      <c r="C381" s="860">
        <v>1.0435000000000001</v>
      </c>
      <c r="D381" s="860">
        <v>1</v>
      </c>
      <c r="E381" s="860">
        <v>1</v>
      </c>
      <c r="F381" s="860">
        <v>1</v>
      </c>
      <c r="G381" s="860">
        <v>1</v>
      </c>
      <c r="H381" s="860">
        <v>1</v>
      </c>
      <c r="I381" s="860">
        <v>0.9103</v>
      </c>
      <c r="J381" s="860">
        <v>0.9103</v>
      </c>
      <c r="K381" s="860">
        <v>0.9103</v>
      </c>
      <c r="L381" s="860">
        <v>0.9103</v>
      </c>
      <c r="M381" s="860">
        <v>0.9103</v>
      </c>
    </row>
    <row r="382" spans="1:14">
      <c r="A382" s="851">
        <v>2.1</v>
      </c>
      <c r="B382" s="860">
        <v>1.0336000000000001</v>
      </c>
      <c r="C382" s="860">
        <v>1.0336000000000001</v>
      </c>
      <c r="D382" s="860">
        <v>0.98899999999999999</v>
      </c>
      <c r="E382" s="860">
        <v>0.98899999999999999</v>
      </c>
      <c r="F382" s="860">
        <v>0.98899999999999999</v>
      </c>
      <c r="G382" s="860">
        <v>0.98899999999999999</v>
      </c>
      <c r="H382" s="860">
        <v>0.98899999999999999</v>
      </c>
      <c r="I382" s="860">
        <v>0.89539999999999997</v>
      </c>
      <c r="J382" s="860">
        <v>0.89539999999999997</v>
      </c>
      <c r="K382" s="860">
        <v>0.89539999999999997</v>
      </c>
      <c r="L382" s="860">
        <v>0.89539999999999997</v>
      </c>
      <c r="M382" s="860">
        <v>0.89539999999999997</v>
      </c>
    </row>
    <row r="383" spans="1:14">
      <c r="A383" s="851">
        <v>2.2000000000000002</v>
      </c>
      <c r="B383" s="860">
        <v>1.0243</v>
      </c>
      <c r="C383" s="860">
        <v>1.0243</v>
      </c>
      <c r="D383" s="860">
        <v>0.97860000000000003</v>
      </c>
      <c r="E383" s="860">
        <v>0.97860000000000003</v>
      </c>
      <c r="F383" s="860">
        <v>0.97860000000000003</v>
      </c>
      <c r="G383" s="860">
        <v>0.97860000000000003</v>
      </c>
      <c r="H383" s="860">
        <v>0.97860000000000003</v>
      </c>
      <c r="I383" s="860">
        <v>0.88139999999999996</v>
      </c>
      <c r="J383" s="860">
        <v>0.88139999999999996</v>
      </c>
      <c r="K383" s="860">
        <v>0.88139999999999996</v>
      </c>
      <c r="L383" s="860">
        <v>0.88139999999999996</v>
      </c>
      <c r="M383" s="860">
        <v>0.88139999999999996</v>
      </c>
    </row>
    <row r="384" spans="1:14">
      <c r="A384" s="851">
        <v>2.2999999999999998</v>
      </c>
      <c r="B384" s="860">
        <v>1.0157</v>
      </c>
      <c r="C384" s="860">
        <v>1.0157</v>
      </c>
      <c r="D384" s="860">
        <v>0.96889999999999998</v>
      </c>
      <c r="E384" s="860">
        <v>0.96889999999999998</v>
      </c>
      <c r="F384" s="860">
        <v>0.96889999999999998</v>
      </c>
      <c r="G384" s="860">
        <v>0.96889999999999998</v>
      </c>
      <c r="H384" s="860">
        <v>0.96889999999999998</v>
      </c>
      <c r="I384" s="860">
        <v>0.86819999999999997</v>
      </c>
      <c r="J384" s="860">
        <v>0.86819999999999997</v>
      </c>
      <c r="K384" s="860">
        <v>0.86819999999999997</v>
      </c>
      <c r="L384" s="860">
        <v>0.86819999999999997</v>
      </c>
      <c r="M384" s="860">
        <v>0.86819999999999997</v>
      </c>
    </row>
    <row r="385" spans="1:13">
      <c r="A385" s="851">
        <v>2.4</v>
      </c>
      <c r="B385" s="860">
        <v>1.0076000000000001</v>
      </c>
      <c r="C385" s="860">
        <v>1.0076000000000001</v>
      </c>
      <c r="D385" s="860">
        <v>0.95979999999999999</v>
      </c>
      <c r="E385" s="860">
        <v>0.95979999999999999</v>
      </c>
      <c r="F385" s="860">
        <v>0.95979999999999999</v>
      </c>
      <c r="G385" s="860">
        <v>0.95979999999999999</v>
      </c>
      <c r="H385" s="860">
        <v>0.95979999999999999</v>
      </c>
      <c r="I385" s="860">
        <v>0.85580000000000001</v>
      </c>
      <c r="J385" s="860">
        <v>0.85580000000000001</v>
      </c>
      <c r="K385" s="860">
        <v>0.85580000000000001</v>
      </c>
      <c r="L385" s="860">
        <v>0.85580000000000001</v>
      </c>
      <c r="M385" s="860">
        <v>0.85580000000000001</v>
      </c>
    </row>
    <row r="386" spans="1:13">
      <c r="A386" s="851">
        <v>2.5</v>
      </c>
      <c r="B386" s="860">
        <v>1</v>
      </c>
      <c r="C386" s="860">
        <v>1</v>
      </c>
      <c r="D386" s="860">
        <v>0.95120000000000005</v>
      </c>
      <c r="E386" s="860">
        <v>0.95120000000000005</v>
      </c>
      <c r="F386" s="860">
        <v>0.95120000000000005</v>
      </c>
      <c r="G386" s="860">
        <v>0.95120000000000005</v>
      </c>
      <c r="H386" s="860">
        <v>0.95120000000000005</v>
      </c>
      <c r="I386" s="860">
        <v>0.84419999999999995</v>
      </c>
      <c r="J386" s="860">
        <v>0.84419999999999995</v>
      </c>
      <c r="K386" s="860">
        <v>0.84419999999999995</v>
      </c>
      <c r="L386" s="860">
        <v>0.84419999999999995</v>
      </c>
      <c r="M386" s="860">
        <v>0.84419999999999995</v>
      </c>
    </row>
    <row r="387" spans="1:13">
      <c r="A387" s="851">
        <v>2.6</v>
      </c>
      <c r="B387" s="860">
        <v>0.9929</v>
      </c>
      <c r="C387" s="860">
        <v>0.9929</v>
      </c>
      <c r="D387" s="860">
        <v>0.94320000000000004</v>
      </c>
      <c r="E387" s="860">
        <v>0.94320000000000004</v>
      </c>
      <c r="F387" s="860">
        <v>0.94320000000000004</v>
      </c>
      <c r="G387" s="860">
        <v>0.94320000000000004</v>
      </c>
      <c r="H387" s="860">
        <v>0.94320000000000004</v>
      </c>
      <c r="I387" s="860">
        <v>0.83330000000000004</v>
      </c>
      <c r="J387" s="860">
        <v>0.83330000000000004</v>
      </c>
      <c r="K387" s="860">
        <v>0.83330000000000004</v>
      </c>
      <c r="L387" s="860">
        <v>0.83330000000000004</v>
      </c>
      <c r="M387" s="860">
        <v>0.83330000000000004</v>
      </c>
    </row>
    <row r="388" spans="1:13">
      <c r="A388" s="851">
        <v>2.7</v>
      </c>
      <c r="B388" s="860">
        <v>0.98629999999999995</v>
      </c>
      <c r="C388" s="860">
        <v>0.98629999999999995</v>
      </c>
      <c r="D388" s="860">
        <v>0.93569999999999998</v>
      </c>
      <c r="E388" s="860">
        <v>0.93569999999999998</v>
      </c>
      <c r="F388" s="860">
        <v>0.93569999999999998</v>
      </c>
      <c r="G388" s="860">
        <v>0.93569999999999998</v>
      </c>
      <c r="H388" s="860">
        <v>0.93569999999999998</v>
      </c>
      <c r="I388" s="860">
        <v>0.82320000000000004</v>
      </c>
      <c r="J388" s="860">
        <v>0.82320000000000004</v>
      </c>
      <c r="K388" s="860">
        <v>0.82320000000000004</v>
      </c>
      <c r="L388" s="860">
        <v>0.82320000000000004</v>
      </c>
      <c r="M388" s="860">
        <v>0.82320000000000004</v>
      </c>
    </row>
    <row r="389" spans="1:13">
      <c r="A389" s="851">
        <v>2.8</v>
      </c>
      <c r="B389" s="860">
        <v>0.98009999999999997</v>
      </c>
      <c r="C389" s="860">
        <v>0.98009999999999997</v>
      </c>
      <c r="D389" s="860">
        <v>0.92879999999999996</v>
      </c>
      <c r="E389" s="860">
        <v>0.92879999999999996</v>
      </c>
      <c r="F389" s="860">
        <v>0.92879999999999996</v>
      </c>
      <c r="G389" s="860">
        <v>0.92879999999999996</v>
      </c>
      <c r="H389" s="860">
        <v>0.92879999999999996</v>
      </c>
      <c r="I389" s="860">
        <v>0.81359999999999999</v>
      </c>
      <c r="J389" s="860">
        <v>0.81359999999999999</v>
      </c>
      <c r="K389" s="860">
        <v>0.81359999999999999</v>
      </c>
      <c r="L389" s="860">
        <v>0.81359999999999999</v>
      </c>
      <c r="M389" s="860">
        <v>0.81359999999999999</v>
      </c>
    </row>
    <row r="390" spans="1:13">
      <c r="A390" s="851">
        <v>2.9</v>
      </c>
      <c r="B390" s="860">
        <v>0.97430000000000005</v>
      </c>
      <c r="C390" s="860">
        <v>0.97430000000000005</v>
      </c>
      <c r="D390" s="860">
        <v>0.92220000000000002</v>
      </c>
      <c r="E390" s="860">
        <v>0.92220000000000002</v>
      </c>
      <c r="F390" s="860">
        <v>0.92220000000000002</v>
      </c>
      <c r="G390" s="860">
        <v>0.92220000000000002</v>
      </c>
      <c r="H390" s="860">
        <v>0.92220000000000002</v>
      </c>
      <c r="I390" s="860">
        <v>0.80459999999999998</v>
      </c>
      <c r="J390" s="860">
        <v>0.80459999999999998</v>
      </c>
      <c r="K390" s="860">
        <v>0.80459999999999998</v>
      </c>
      <c r="L390" s="860">
        <v>0.80459999999999998</v>
      </c>
      <c r="M390" s="860">
        <v>0.80459999999999998</v>
      </c>
    </row>
    <row r="391" spans="1:13">
      <c r="A391" s="851">
        <v>3</v>
      </c>
      <c r="B391" s="860">
        <v>0.96889999999999998</v>
      </c>
      <c r="C391" s="860">
        <v>0.96889999999999998</v>
      </c>
      <c r="D391" s="860">
        <v>0.91610000000000003</v>
      </c>
      <c r="E391" s="860">
        <v>0.91610000000000003</v>
      </c>
      <c r="F391" s="860">
        <v>0.91610000000000003</v>
      </c>
      <c r="G391" s="860">
        <v>0.91610000000000003</v>
      </c>
      <c r="H391" s="860">
        <v>0.91610000000000003</v>
      </c>
      <c r="I391" s="860">
        <v>0.79620000000000002</v>
      </c>
      <c r="J391" s="860">
        <v>0.79620000000000002</v>
      </c>
      <c r="K391" s="860">
        <v>0.79620000000000002</v>
      </c>
      <c r="L391" s="860">
        <v>0.79620000000000002</v>
      </c>
      <c r="M391" s="860">
        <v>0.79620000000000002</v>
      </c>
    </row>
    <row r="392" spans="1:13">
      <c r="A392" s="851">
        <v>3.1</v>
      </c>
      <c r="B392" s="860">
        <v>0.96389999999999998</v>
      </c>
      <c r="C392" s="860">
        <v>0.96389999999999998</v>
      </c>
      <c r="D392" s="860">
        <v>0.91039999999999999</v>
      </c>
      <c r="E392" s="860">
        <v>0.91039999999999999</v>
      </c>
      <c r="F392" s="860">
        <v>0.91039999999999999</v>
      </c>
      <c r="G392" s="860">
        <v>0.91039999999999999</v>
      </c>
      <c r="H392" s="860">
        <v>0.91039999999999999</v>
      </c>
      <c r="I392" s="860">
        <v>0.7883</v>
      </c>
      <c r="J392" s="860">
        <v>0.7883</v>
      </c>
      <c r="K392" s="860">
        <v>0.7883</v>
      </c>
      <c r="L392" s="860">
        <v>0.7883</v>
      </c>
      <c r="M392" s="860">
        <v>0.7883</v>
      </c>
    </row>
    <row r="393" spans="1:13">
      <c r="A393" s="851">
        <v>3.2</v>
      </c>
      <c r="B393" s="860">
        <v>0.95930000000000004</v>
      </c>
      <c r="C393" s="860">
        <v>0.95930000000000004</v>
      </c>
      <c r="D393" s="860">
        <v>0.9052</v>
      </c>
      <c r="E393" s="860">
        <v>0.9052</v>
      </c>
      <c r="F393" s="860">
        <v>0.9052</v>
      </c>
      <c r="G393" s="860">
        <v>0.9052</v>
      </c>
      <c r="H393" s="860">
        <v>0.9052</v>
      </c>
      <c r="I393" s="860">
        <v>0.78090000000000004</v>
      </c>
      <c r="J393" s="860">
        <v>0.78090000000000004</v>
      </c>
      <c r="K393" s="860">
        <v>0.78090000000000004</v>
      </c>
      <c r="L393" s="860">
        <v>0.78090000000000004</v>
      </c>
      <c r="M393" s="860">
        <v>0.78090000000000004</v>
      </c>
    </row>
    <row r="394" spans="1:13">
      <c r="A394" s="851">
        <v>3.3</v>
      </c>
      <c r="B394" s="860">
        <v>0.95489999999999997</v>
      </c>
      <c r="C394" s="860">
        <v>0.95489999999999997</v>
      </c>
      <c r="D394" s="860">
        <v>0.9002</v>
      </c>
      <c r="E394" s="860">
        <v>0.9002</v>
      </c>
      <c r="F394" s="860">
        <v>0.9002</v>
      </c>
      <c r="G394" s="860">
        <v>0.9002</v>
      </c>
      <c r="H394" s="860">
        <v>0.9002</v>
      </c>
      <c r="I394" s="860">
        <v>0.77410000000000001</v>
      </c>
      <c r="J394" s="860">
        <v>0.77410000000000001</v>
      </c>
      <c r="K394" s="860">
        <v>0.77410000000000001</v>
      </c>
      <c r="L394" s="860">
        <v>0.77410000000000001</v>
      </c>
      <c r="M394" s="860">
        <v>0.77410000000000001</v>
      </c>
    </row>
    <row r="395" spans="1:13">
      <c r="A395" s="851">
        <v>3.4</v>
      </c>
      <c r="B395" s="860">
        <v>0.95089999999999997</v>
      </c>
      <c r="C395" s="860">
        <v>0.95089999999999997</v>
      </c>
      <c r="D395" s="860">
        <v>0.89559999999999995</v>
      </c>
      <c r="E395" s="860">
        <v>0.89559999999999995</v>
      </c>
      <c r="F395" s="860">
        <v>0.89559999999999995</v>
      </c>
      <c r="G395" s="860">
        <v>0.89559999999999995</v>
      </c>
      <c r="H395" s="860">
        <v>0.89559999999999995</v>
      </c>
      <c r="I395" s="860">
        <v>0.76759999999999995</v>
      </c>
      <c r="J395" s="860">
        <v>0.76759999999999995</v>
      </c>
      <c r="K395" s="860">
        <v>0.76759999999999995</v>
      </c>
      <c r="L395" s="860">
        <v>0.76759999999999995</v>
      </c>
      <c r="M395" s="860">
        <v>0.76759999999999995</v>
      </c>
    </row>
    <row r="396" spans="1:13">
      <c r="A396" s="851">
        <v>3.5</v>
      </c>
      <c r="B396" s="860">
        <v>0.94710000000000005</v>
      </c>
      <c r="C396" s="860">
        <v>0.94710000000000005</v>
      </c>
      <c r="D396" s="860">
        <v>0.89129999999999998</v>
      </c>
      <c r="E396" s="860">
        <v>0.89129999999999998</v>
      </c>
      <c r="F396" s="860">
        <v>0.89129999999999998</v>
      </c>
      <c r="G396" s="860">
        <v>0.89129999999999998</v>
      </c>
      <c r="H396" s="860">
        <v>0.89129999999999998</v>
      </c>
      <c r="I396" s="860">
        <v>0.76160000000000005</v>
      </c>
      <c r="J396" s="860">
        <v>0.76160000000000005</v>
      </c>
      <c r="K396" s="860">
        <v>0.76160000000000005</v>
      </c>
      <c r="L396" s="860">
        <v>0.76160000000000005</v>
      </c>
      <c r="M396" s="860">
        <v>0.76160000000000005</v>
      </c>
    </row>
    <row r="397" spans="1:13">
      <c r="A397" s="851">
        <v>3.6</v>
      </c>
      <c r="B397" s="860">
        <v>0.94359999999999999</v>
      </c>
      <c r="C397" s="860">
        <v>0.94359999999999999</v>
      </c>
      <c r="D397" s="860">
        <v>0.88729999999999998</v>
      </c>
      <c r="E397" s="860">
        <v>0.88729999999999998</v>
      </c>
      <c r="F397" s="860">
        <v>0.88729999999999998</v>
      </c>
      <c r="G397" s="860">
        <v>0.88729999999999998</v>
      </c>
      <c r="H397" s="860">
        <v>0.88729999999999998</v>
      </c>
      <c r="I397" s="860">
        <v>0.75590000000000002</v>
      </c>
      <c r="J397" s="860">
        <v>0.75590000000000002</v>
      </c>
      <c r="K397" s="860">
        <v>0.75590000000000002</v>
      </c>
      <c r="L397" s="860">
        <v>0.75590000000000002</v>
      </c>
      <c r="M397" s="860">
        <v>0.75590000000000002</v>
      </c>
    </row>
    <row r="398" spans="1:13">
      <c r="A398" s="868">
        <v>3.7</v>
      </c>
      <c r="B398" s="860">
        <v>0.94040000000000001</v>
      </c>
      <c r="C398" s="860">
        <v>0.94040000000000001</v>
      </c>
      <c r="D398" s="860">
        <v>0.88349999999999995</v>
      </c>
      <c r="E398" s="860">
        <v>0.88349999999999995</v>
      </c>
      <c r="F398" s="860">
        <v>0.88349999999999995</v>
      </c>
      <c r="G398" s="860">
        <v>0.88349999999999995</v>
      </c>
      <c r="H398" s="860">
        <v>0.88349999999999995</v>
      </c>
      <c r="I398" s="860">
        <v>0.75070000000000003</v>
      </c>
      <c r="J398" s="860">
        <v>0.75070000000000003</v>
      </c>
      <c r="K398" s="860">
        <v>0.75070000000000003</v>
      </c>
      <c r="L398" s="860">
        <v>0.75070000000000003</v>
      </c>
      <c r="M398" s="860">
        <v>0.75070000000000003</v>
      </c>
    </row>
    <row r="399" spans="1:13">
      <c r="A399" s="868">
        <v>3.8</v>
      </c>
      <c r="B399" s="860">
        <v>0.93740000000000001</v>
      </c>
      <c r="C399" s="860">
        <v>0.93740000000000001</v>
      </c>
      <c r="D399" s="860">
        <v>0.88009999999999999</v>
      </c>
      <c r="E399" s="860">
        <v>0.88009999999999999</v>
      </c>
      <c r="F399" s="860">
        <v>0.88009999999999999</v>
      </c>
      <c r="G399" s="860">
        <v>0.88009999999999999</v>
      </c>
      <c r="H399" s="860">
        <v>0.88009999999999999</v>
      </c>
      <c r="I399" s="860">
        <v>0.74570000000000003</v>
      </c>
      <c r="J399" s="860">
        <v>0.74570000000000003</v>
      </c>
      <c r="K399" s="860">
        <v>0.74570000000000003</v>
      </c>
      <c r="L399" s="860">
        <v>0.74570000000000003</v>
      </c>
      <c r="M399" s="860">
        <v>0.74570000000000003</v>
      </c>
    </row>
    <row r="400" spans="1:13">
      <c r="A400" s="868">
        <v>3.9</v>
      </c>
      <c r="B400" s="860">
        <v>0.93459999999999999</v>
      </c>
      <c r="C400" s="860">
        <v>0.93459999999999999</v>
      </c>
      <c r="D400" s="860">
        <v>0.87680000000000002</v>
      </c>
      <c r="E400" s="860">
        <v>0.87680000000000002</v>
      </c>
      <c r="F400" s="860">
        <v>0.87680000000000002</v>
      </c>
      <c r="G400" s="860">
        <v>0.87680000000000002</v>
      </c>
      <c r="H400" s="860">
        <v>0.87680000000000002</v>
      </c>
      <c r="I400" s="860">
        <v>0.74109999999999998</v>
      </c>
      <c r="J400" s="860">
        <v>0.74109999999999998</v>
      </c>
      <c r="K400" s="860">
        <v>0.74109999999999998</v>
      </c>
      <c r="L400" s="860">
        <v>0.74109999999999998</v>
      </c>
      <c r="M400" s="860">
        <v>0.74109999999999998</v>
      </c>
    </row>
    <row r="401" spans="1:13">
      <c r="A401" s="868">
        <v>4</v>
      </c>
      <c r="B401" s="860">
        <v>0.93179999999999996</v>
      </c>
      <c r="C401" s="860">
        <v>0.93179999999999996</v>
      </c>
      <c r="D401" s="860">
        <v>0.87380000000000002</v>
      </c>
      <c r="E401" s="860">
        <v>0.87380000000000002</v>
      </c>
      <c r="F401" s="860">
        <v>0.87380000000000002</v>
      </c>
      <c r="G401" s="860">
        <v>0.87380000000000002</v>
      </c>
      <c r="H401" s="860">
        <v>0.87380000000000002</v>
      </c>
      <c r="I401" s="860">
        <v>0.73680000000000001</v>
      </c>
      <c r="J401" s="860">
        <v>0.73680000000000001</v>
      </c>
      <c r="K401" s="860">
        <v>0.73680000000000001</v>
      </c>
      <c r="L401" s="860">
        <v>0.73680000000000001</v>
      </c>
      <c r="M401" s="860">
        <v>0.73680000000000001</v>
      </c>
    </row>
    <row r="402" spans="1:13">
      <c r="A402" s="868">
        <v>4.0999999999999996</v>
      </c>
      <c r="B402" s="860">
        <v>0.92920000000000003</v>
      </c>
      <c r="C402" s="860">
        <v>0.92920000000000003</v>
      </c>
      <c r="D402" s="860">
        <v>0.87090000000000001</v>
      </c>
      <c r="E402" s="860">
        <v>0.87090000000000001</v>
      </c>
      <c r="F402" s="860">
        <v>0.87090000000000001</v>
      </c>
      <c r="G402" s="860">
        <v>0.87090000000000001</v>
      </c>
      <c r="H402" s="860">
        <v>0.87090000000000001</v>
      </c>
      <c r="I402" s="860">
        <v>0.73270000000000002</v>
      </c>
      <c r="J402" s="860">
        <v>0.73270000000000002</v>
      </c>
      <c r="K402" s="860">
        <v>0.73270000000000002</v>
      </c>
      <c r="L402" s="860">
        <v>0.73270000000000002</v>
      </c>
      <c r="M402" s="860">
        <v>0.73270000000000002</v>
      </c>
    </row>
    <row r="403" spans="1:13">
      <c r="A403" s="868">
        <v>4.2</v>
      </c>
      <c r="B403" s="860">
        <v>0.92659999999999998</v>
      </c>
      <c r="C403" s="860">
        <v>0.92659999999999998</v>
      </c>
      <c r="D403" s="860">
        <v>0.86819999999999997</v>
      </c>
      <c r="E403" s="860">
        <v>0.86819999999999997</v>
      </c>
      <c r="F403" s="860">
        <v>0.86819999999999997</v>
      </c>
      <c r="G403" s="860">
        <v>0.86819999999999997</v>
      </c>
      <c r="H403" s="860">
        <v>0.86819999999999997</v>
      </c>
      <c r="I403" s="860">
        <v>0.7288</v>
      </c>
      <c r="J403" s="860">
        <v>0.7288</v>
      </c>
      <c r="K403" s="860">
        <v>0.7288</v>
      </c>
      <c r="L403" s="860">
        <v>0.7288</v>
      </c>
      <c r="M403" s="860">
        <v>0.7288</v>
      </c>
    </row>
    <row r="404" spans="1:13">
      <c r="A404" s="868">
        <v>4.3</v>
      </c>
      <c r="B404" s="860">
        <v>0.92410000000000003</v>
      </c>
      <c r="C404" s="860">
        <v>0.92410000000000003</v>
      </c>
      <c r="D404" s="860">
        <v>0.86550000000000005</v>
      </c>
      <c r="E404" s="860">
        <v>0.86550000000000005</v>
      </c>
      <c r="F404" s="860">
        <v>0.86550000000000005</v>
      </c>
      <c r="G404" s="860">
        <v>0.86550000000000005</v>
      </c>
      <c r="H404" s="860">
        <v>0.86550000000000005</v>
      </c>
      <c r="I404" s="860">
        <v>0.72509999999999997</v>
      </c>
      <c r="J404" s="860">
        <v>0.72509999999999997</v>
      </c>
      <c r="K404" s="860">
        <v>0.72509999999999997</v>
      </c>
      <c r="L404" s="860">
        <v>0.72509999999999997</v>
      </c>
      <c r="M404" s="860">
        <v>0.72509999999999997</v>
      </c>
    </row>
    <row r="405" spans="1:13">
      <c r="A405" s="868">
        <v>4.4000000000000004</v>
      </c>
      <c r="B405" s="860">
        <v>0.92179999999999995</v>
      </c>
      <c r="C405" s="860">
        <v>0.92179999999999995</v>
      </c>
      <c r="D405" s="860">
        <v>0.8629</v>
      </c>
      <c r="E405" s="860">
        <v>0.8629</v>
      </c>
      <c r="F405" s="860">
        <v>0.8629</v>
      </c>
      <c r="G405" s="860">
        <v>0.8629</v>
      </c>
      <c r="H405" s="860">
        <v>0.8629</v>
      </c>
      <c r="I405" s="860">
        <v>0.72150000000000003</v>
      </c>
      <c r="J405" s="860">
        <v>0.72150000000000003</v>
      </c>
      <c r="K405" s="860">
        <v>0.72150000000000003</v>
      </c>
      <c r="L405" s="860">
        <v>0.72150000000000003</v>
      </c>
      <c r="M405" s="860">
        <v>0.72150000000000003</v>
      </c>
    </row>
    <row r="406" spans="1:13">
      <c r="A406" s="868">
        <v>4.5</v>
      </c>
      <c r="B406" s="860">
        <v>0.91949999999999998</v>
      </c>
      <c r="C406" s="860">
        <v>0.91949999999999998</v>
      </c>
      <c r="D406" s="860">
        <v>0.86050000000000004</v>
      </c>
      <c r="E406" s="860">
        <v>0.86050000000000004</v>
      </c>
      <c r="F406" s="860">
        <v>0.86050000000000004</v>
      </c>
      <c r="G406" s="860">
        <v>0.86050000000000004</v>
      </c>
      <c r="H406" s="860">
        <v>0.86050000000000004</v>
      </c>
      <c r="I406" s="860">
        <v>0.71819999999999995</v>
      </c>
      <c r="J406" s="860">
        <v>0.71819999999999995</v>
      </c>
      <c r="K406" s="860">
        <v>0.71819999999999995</v>
      </c>
      <c r="L406" s="860">
        <v>0.71819999999999995</v>
      </c>
      <c r="M406" s="860">
        <v>0.71819999999999995</v>
      </c>
    </row>
    <row r="407" spans="1:13">
      <c r="A407" s="868">
        <v>4.5999999999999996</v>
      </c>
      <c r="B407" s="860">
        <v>0.9173</v>
      </c>
      <c r="C407" s="860">
        <v>0.9173</v>
      </c>
      <c r="D407" s="860">
        <v>0.85809999999999997</v>
      </c>
      <c r="E407" s="860">
        <v>0.85809999999999997</v>
      </c>
      <c r="F407" s="860">
        <v>0.85809999999999997</v>
      </c>
      <c r="G407" s="860">
        <v>0.85809999999999997</v>
      </c>
      <c r="H407" s="860">
        <v>0.85809999999999997</v>
      </c>
      <c r="I407" s="860">
        <v>0.71499999999999997</v>
      </c>
      <c r="J407" s="860">
        <v>0.71499999999999997</v>
      </c>
      <c r="K407" s="860">
        <v>0.71499999999999997</v>
      </c>
      <c r="L407" s="860">
        <v>0.71499999999999997</v>
      </c>
      <c r="M407" s="860">
        <v>0.71499999999999997</v>
      </c>
    </row>
    <row r="408" spans="1:13">
      <c r="A408" s="868">
        <v>4.7</v>
      </c>
      <c r="B408" s="860">
        <v>0.91520000000000001</v>
      </c>
      <c r="C408" s="860">
        <v>0.91520000000000001</v>
      </c>
      <c r="D408" s="860">
        <v>0.85570000000000002</v>
      </c>
      <c r="E408" s="860">
        <v>0.85570000000000002</v>
      </c>
      <c r="F408" s="860">
        <v>0.85570000000000002</v>
      </c>
      <c r="G408" s="860">
        <v>0.85570000000000002</v>
      </c>
      <c r="H408" s="860">
        <v>0.85570000000000002</v>
      </c>
      <c r="I408" s="860">
        <v>0.71199999999999997</v>
      </c>
      <c r="J408" s="860">
        <v>0.71199999999999997</v>
      </c>
      <c r="K408" s="860">
        <v>0.71199999999999997</v>
      </c>
      <c r="L408" s="860">
        <v>0.71199999999999997</v>
      </c>
      <c r="M408" s="860">
        <v>0.71199999999999997</v>
      </c>
    </row>
    <row r="409" spans="1:13">
      <c r="A409" s="868">
        <v>4.8</v>
      </c>
      <c r="B409" s="860">
        <v>0.91310000000000002</v>
      </c>
      <c r="C409" s="860">
        <v>0.91310000000000002</v>
      </c>
      <c r="D409" s="860">
        <v>0.85340000000000005</v>
      </c>
      <c r="E409" s="860">
        <v>0.85340000000000005</v>
      </c>
      <c r="F409" s="860">
        <v>0.85340000000000005</v>
      </c>
      <c r="G409" s="860">
        <v>0.85340000000000005</v>
      </c>
      <c r="H409" s="860">
        <v>0.85340000000000005</v>
      </c>
      <c r="I409" s="860">
        <v>0.70909999999999995</v>
      </c>
      <c r="J409" s="860">
        <v>0.70909999999999995</v>
      </c>
      <c r="K409" s="860">
        <v>0.70909999999999995</v>
      </c>
      <c r="L409" s="860">
        <v>0.70909999999999995</v>
      </c>
      <c r="M409" s="860">
        <v>0.70909999999999995</v>
      </c>
    </row>
    <row r="410" spans="1:13">
      <c r="A410" s="868">
        <v>4.9000000000000004</v>
      </c>
      <c r="B410" s="860">
        <v>0.91120000000000001</v>
      </c>
      <c r="C410" s="860">
        <v>0.91120000000000001</v>
      </c>
      <c r="D410" s="860">
        <v>0.85109999999999997</v>
      </c>
      <c r="E410" s="860">
        <v>0.85109999999999997</v>
      </c>
      <c r="F410" s="860">
        <v>0.85109999999999997</v>
      </c>
      <c r="G410" s="860">
        <v>0.85109999999999997</v>
      </c>
      <c r="H410" s="860">
        <v>0.85109999999999997</v>
      </c>
      <c r="I410" s="860">
        <v>0.70620000000000005</v>
      </c>
      <c r="J410" s="860">
        <v>0.70620000000000005</v>
      </c>
      <c r="K410" s="860">
        <v>0.70620000000000005</v>
      </c>
      <c r="L410" s="860">
        <v>0.70620000000000005</v>
      </c>
      <c r="M410" s="860">
        <v>0.70620000000000005</v>
      </c>
    </row>
    <row r="411" spans="1:13">
      <c r="A411" s="868">
        <v>5</v>
      </c>
      <c r="B411" s="860">
        <v>0.90920000000000001</v>
      </c>
      <c r="C411" s="860">
        <v>0.90920000000000001</v>
      </c>
      <c r="D411" s="860">
        <v>0.84889999999999999</v>
      </c>
      <c r="E411" s="860">
        <v>0.84889999999999999</v>
      </c>
      <c r="F411" s="860">
        <v>0.84889999999999999</v>
      </c>
      <c r="G411" s="860">
        <v>0.84889999999999999</v>
      </c>
      <c r="H411" s="860">
        <v>0.84889999999999999</v>
      </c>
      <c r="I411" s="860">
        <v>0.70350000000000001</v>
      </c>
      <c r="J411" s="860">
        <v>0.70350000000000001</v>
      </c>
      <c r="K411" s="860">
        <v>0.70350000000000001</v>
      </c>
      <c r="L411" s="860">
        <v>0.70350000000000001</v>
      </c>
      <c r="M411" s="860">
        <v>0.70350000000000001</v>
      </c>
    </row>
    <row r="412" spans="1:13">
      <c r="A412" s="868">
        <v>5.0999999999999996</v>
      </c>
      <c r="B412" s="860">
        <v>0.90720000000000001</v>
      </c>
      <c r="C412" s="860">
        <v>0.90720000000000001</v>
      </c>
      <c r="D412" s="860">
        <v>0.84670000000000001</v>
      </c>
      <c r="E412" s="860">
        <v>0.84670000000000001</v>
      </c>
      <c r="F412" s="860">
        <v>0.84670000000000001</v>
      </c>
      <c r="G412" s="860">
        <v>0.84670000000000001</v>
      </c>
      <c r="H412" s="860">
        <v>0.84670000000000001</v>
      </c>
      <c r="I412" s="860">
        <v>0.70089999999999997</v>
      </c>
      <c r="J412" s="860">
        <v>0.70089999999999997</v>
      </c>
      <c r="K412" s="860">
        <v>0.70089999999999997</v>
      </c>
      <c r="L412" s="860">
        <v>0.70089999999999997</v>
      </c>
      <c r="M412" s="860">
        <v>0.70089999999999997</v>
      </c>
    </row>
    <row r="413" spans="1:13">
      <c r="A413" s="868">
        <v>5.2</v>
      </c>
      <c r="B413" s="860">
        <v>0.90529999999999999</v>
      </c>
      <c r="C413" s="860">
        <v>0.90529999999999999</v>
      </c>
      <c r="D413" s="860">
        <v>0.84450000000000003</v>
      </c>
      <c r="E413" s="860">
        <v>0.84450000000000003</v>
      </c>
      <c r="F413" s="860">
        <v>0.84450000000000003</v>
      </c>
      <c r="G413" s="860">
        <v>0.84450000000000003</v>
      </c>
      <c r="H413" s="860">
        <v>0.84450000000000003</v>
      </c>
      <c r="I413" s="860">
        <v>0.69820000000000004</v>
      </c>
      <c r="J413" s="860">
        <v>0.69820000000000004</v>
      </c>
      <c r="K413" s="860">
        <v>0.69820000000000004</v>
      </c>
      <c r="L413" s="860">
        <v>0.69820000000000004</v>
      </c>
      <c r="M413" s="860">
        <v>0.69820000000000004</v>
      </c>
    </row>
    <row r="414" spans="1:13">
      <c r="A414" s="868">
        <v>5.3</v>
      </c>
      <c r="B414" s="860">
        <v>0.90339999999999998</v>
      </c>
      <c r="C414" s="860">
        <v>0.90339999999999998</v>
      </c>
      <c r="D414" s="860">
        <v>0.84230000000000005</v>
      </c>
      <c r="E414" s="860">
        <v>0.84230000000000005</v>
      </c>
      <c r="F414" s="860">
        <v>0.84230000000000005</v>
      </c>
      <c r="G414" s="860">
        <v>0.84230000000000005</v>
      </c>
      <c r="H414" s="860">
        <v>0.84230000000000005</v>
      </c>
      <c r="I414" s="860">
        <v>0.69569999999999999</v>
      </c>
      <c r="J414" s="860">
        <v>0.69569999999999999</v>
      </c>
      <c r="K414" s="860">
        <v>0.69569999999999999</v>
      </c>
      <c r="L414" s="860">
        <v>0.69569999999999999</v>
      </c>
      <c r="M414" s="860">
        <v>0.69569999999999999</v>
      </c>
    </row>
    <row r="415" spans="1:13">
      <c r="A415" s="868">
        <v>5.4</v>
      </c>
      <c r="B415" s="860">
        <v>0.90149999999999997</v>
      </c>
      <c r="C415" s="860">
        <v>0.90149999999999997</v>
      </c>
      <c r="D415" s="860">
        <v>0.84019999999999995</v>
      </c>
      <c r="E415" s="860">
        <v>0.84019999999999995</v>
      </c>
      <c r="F415" s="860">
        <v>0.84019999999999995</v>
      </c>
      <c r="G415" s="860">
        <v>0.84019999999999995</v>
      </c>
      <c r="H415" s="860">
        <v>0.84019999999999995</v>
      </c>
      <c r="I415" s="860">
        <v>0.69310000000000005</v>
      </c>
      <c r="J415" s="860">
        <v>0.69310000000000005</v>
      </c>
      <c r="K415" s="860">
        <v>0.69310000000000005</v>
      </c>
      <c r="L415" s="860">
        <v>0.69310000000000005</v>
      </c>
      <c r="M415" s="860">
        <v>0.69310000000000005</v>
      </c>
    </row>
    <row r="416" spans="1:13">
      <c r="A416" s="868">
        <v>5.5</v>
      </c>
      <c r="B416" s="860">
        <v>0.89959999999999996</v>
      </c>
      <c r="C416" s="860">
        <v>0.89959999999999996</v>
      </c>
      <c r="D416" s="860">
        <v>0.83809999999999996</v>
      </c>
      <c r="E416" s="860">
        <v>0.83809999999999996</v>
      </c>
      <c r="F416" s="860">
        <v>0.83809999999999996</v>
      </c>
      <c r="G416" s="860">
        <v>0.83809999999999996</v>
      </c>
      <c r="H416" s="860">
        <v>0.83809999999999996</v>
      </c>
      <c r="I416" s="860">
        <v>0.69059999999999999</v>
      </c>
      <c r="J416" s="860">
        <v>0.69059999999999999</v>
      </c>
      <c r="K416" s="860">
        <v>0.69059999999999999</v>
      </c>
      <c r="L416" s="860">
        <v>0.69059999999999999</v>
      </c>
      <c r="M416" s="860">
        <v>0.69059999999999999</v>
      </c>
    </row>
    <row r="417" spans="1:13">
      <c r="A417" s="868">
        <v>5.6</v>
      </c>
      <c r="B417" s="860">
        <v>0.89780000000000004</v>
      </c>
      <c r="C417" s="860">
        <v>0.89780000000000004</v>
      </c>
      <c r="D417" s="860">
        <v>0.83599999999999997</v>
      </c>
      <c r="E417" s="860">
        <v>0.83599999999999997</v>
      </c>
      <c r="F417" s="860">
        <v>0.83599999999999997</v>
      </c>
      <c r="G417" s="860">
        <v>0.83599999999999997</v>
      </c>
      <c r="H417" s="860">
        <v>0.83599999999999997</v>
      </c>
      <c r="I417" s="860">
        <v>0.68810000000000004</v>
      </c>
      <c r="J417" s="860">
        <v>0.68810000000000004</v>
      </c>
      <c r="K417" s="860">
        <v>0.68810000000000004</v>
      </c>
      <c r="L417" s="860">
        <v>0.68810000000000004</v>
      </c>
      <c r="M417" s="860">
        <v>0.68810000000000004</v>
      </c>
    </row>
    <row r="418" spans="1:13">
      <c r="A418" s="868">
        <v>5.7</v>
      </c>
      <c r="B418" s="860">
        <v>0.89600000000000002</v>
      </c>
      <c r="C418" s="860">
        <v>0.89600000000000002</v>
      </c>
      <c r="D418" s="860">
        <v>0.83389999999999997</v>
      </c>
      <c r="E418" s="860">
        <v>0.83389999999999997</v>
      </c>
      <c r="F418" s="860">
        <v>0.83389999999999997</v>
      </c>
      <c r="G418" s="860">
        <v>0.83389999999999997</v>
      </c>
      <c r="H418" s="860">
        <v>0.83389999999999997</v>
      </c>
      <c r="I418" s="860">
        <v>0.68569999999999998</v>
      </c>
      <c r="J418" s="860">
        <v>0.68569999999999998</v>
      </c>
      <c r="K418" s="860">
        <v>0.68569999999999998</v>
      </c>
      <c r="L418" s="860">
        <v>0.68569999999999998</v>
      </c>
      <c r="M418" s="860">
        <v>0.68569999999999998</v>
      </c>
    </row>
    <row r="419" spans="1:13">
      <c r="A419" s="868">
        <v>5.8</v>
      </c>
      <c r="B419" s="860">
        <v>0.89419999999999999</v>
      </c>
      <c r="C419" s="860">
        <v>0.89419999999999999</v>
      </c>
      <c r="D419" s="860">
        <v>0.83189999999999997</v>
      </c>
      <c r="E419" s="860">
        <v>0.83189999999999997</v>
      </c>
      <c r="F419" s="860">
        <v>0.83189999999999997</v>
      </c>
      <c r="G419" s="860">
        <v>0.83189999999999997</v>
      </c>
      <c r="H419" s="860">
        <v>0.83189999999999997</v>
      </c>
      <c r="I419" s="860">
        <v>0.68320000000000003</v>
      </c>
      <c r="J419" s="860">
        <v>0.68320000000000003</v>
      </c>
      <c r="K419" s="860">
        <v>0.68320000000000003</v>
      </c>
      <c r="L419" s="860">
        <v>0.68320000000000003</v>
      </c>
      <c r="M419" s="860">
        <v>0.68320000000000003</v>
      </c>
    </row>
    <row r="420" spans="1:13">
      <c r="A420" s="868">
        <v>5.9</v>
      </c>
      <c r="B420" s="860">
        <v>0.89239999999999997</v>
      </c>
      <c r="C420" s="860">
        <v>0.89239999999999997</v>
      </c>
      <c r="D420" s="860">
        <v>0.82989999999999997</v>
      </c>
      <c r="E420" s="860">
        <v>0.82989999999999997</v>
      </c>
      <c r="F420" s="860">
        <v>0.82989999999999997</v>
      </c>
      <c r="G420" s="860">
        <v>0.82989999999999997</v>
      </c>
      <c r="H420" s="860">
        <v>0.82989999999999997</v>
      </c>
      <c r="I420" s="860">
        <v>0.68069999999999997</v>
      </c>
      <c r="J420" s="860">
        <v>0.68069999999999997</v>
      </c>
      <c r="K420" s="860">
        <v>0.68069999999999997</v>
      </c>
      <c r="L420" s="860">
        <v>0.68069999999999997</v>
      </c>
      <c r="M420" s="860">
        <v>0.68069999999999997</v>
      </c>
    </row>
    <row r="421" spans="1:13">
      <c r="A421" s="868">
        <v>6</v>
      </c>
      <c r="B421" s="860">
        <v>0.89070000000000005</v>
      </c>
      <c r="C421" s="860">
        <v>0.89070000000000005</v>
      </c>
      <c r="D421" s="860">
        <v>0.82789999999999997</v>
      </c>
      <c r="E421" s="860">
        <v>0.82789999999999997</v>
      </c>
      <c r="F421" s="860">
        <v>0.82789999999999997</v>
      </c>
      <c r="G421" s="860">
        <v>0.82789999999999997</v>
      </c>
      <c r="H421" s="860">
        <v>0.82789999999999997</v>
      </c>
      <c r="I421" s="860">
        <v>0.6784</v>
      </c>
      <c r="J421" s="860">
        <v>0.6784</v>
      </c>
      <c r="K421" s="860">
        <v>0.6784</v>
      </c>
      <c r="L421" s="860">
        <v>0.6784</v>
      </c>
      <c r="M421" s="860">
        <v>0.6784</v>
      </c>
    </row>
    <row r="422" spans="1:13">
      <c r="A422" s="868">
        <v>6.1</v>
      </c>
      <c r="B422" s="860">
        <v>0.88900000000000001</v>
      </c>
      <c r="C422" s="860">
        <v>0.88900000000000001</v>
      </c>
      <c r="D422" s="860">
        <v>0.82589999999999997</v>
      </c>
      <c r="E422" s="860">
        <v>0.82589999999999997</v>
      </c>
      <c r="F422" s="860">
        <v>0.82589999999999997</v>
      </c>
      <c r="G422" s="860">
        <v>0.82589999999999997</v>
      </c>
      <c r="H422" s="860">
        <v>0.82589999999999997</v>
      </c>
      <c r="I422" s="860">
        <v>0.67600000000000005</v>
      </c>
      <c r="J422" s="860">
        <v>0.67600000000000005</v>
      </c>
      <c r="K422" s="860">
        <v>0.67600000000000005</v>
      </c>
      <c r="L422" s="860">
        <v>0.67600000000000005</v>
      </c>
      <c r="M422" s="860">
        <v>0.67600000000000005</v>
      </c>
    </row>
    <row r="423" spans="1:13">
      <c r="A423" s="868">
        <v>6.2</v>
      </c>
      <c r="B423" s="860">
        <v>0.88729999999999998</v>
      </c>
      <c r="C423" s="860">
        <v>0.88729999999999998</v>
      </c>
      <c r="D423" s="860">
        <v>0.82389999999999997</v>
      </c>
      <c r="E423" s="860">
        <v>0.82389999999999997</v>
      </c>
      <c r="F423" s="860">
        <v>0.82389999999999997</v>
      </c>
      <c r="G423" s="860">
        <v>0.82389999999999997</v>
      </c>
      <c r="H423" s="860">
        <v>0.82389999999999997</v>
      </c>
      <c r="I423" s="860">
        <v>0.67359999999999998</v>
      </c>
      <c r="J423" s="860">
        <v>0.67359999999999998</v>
      </c>
      <c r="K423" s="860">
        <v>0.67359999999999998</v>
      </c>
      <c r="L423" s="860">
        <v>0.67359999999999998</v>
      </c>
      <c r="M423" s="860">
        <v>0.67359999999999998</v>
      </c>
    </row>
    <row r="424" spans="1:13">
      <c r="A424" s="868">
        <v>6.3</v>
      </c>
      <c r="B424" s="860">
        <v>0.88560000000000005</v>
      </c>
      <c r="C424" s="860">
        <v>0.88560000000000005</v>
      </c>
      <c r="D424" s="860">
        <v>0.82189999999999996</v>
      </c>
      <c r="E424" s="860">
        <v>0.82189999999999996</v>
      </c>
      <c r="F424" s="860">
        <v>0.82189999999999996</v>
      </c>
      <c r="G424" s="860">
        <v>0.82189999999999996</v>
      </c>
      <c r="H424" s="860">
        <v>0.82189999999999996</v>
      </c>
      <c r="I424" s="860">
        <v>0.67130000000000001</v>
      </c>
      <c r="J424" s="860">
        <v>0.67130000000000001</v>
      </c>
      <c r="K424" s="860">
        <v>0.67130000000000001</v>
      </c>
      <c r="L424" s="860">
        <v>0.67130000000000001</v>
      </c>
      <c r="M424" s="860">
        <v>0.67130000000000001</v>
      </c>
    </row>
    <row r="425" spans="1:13">
      <c r="A425" s="868">
        <v>6.4</v>
      </c>
      <c r="B425" s="860">
        <v>0.88390000000000002</v>
      </c>
      <c r="C425" s="860">
        <v>0.88390000000000002</v>
      </c>
      <c r="D425" s="860">
        <v>0.82</v>
      </c>
      <c r="E425" s="860">
        <v>0.82</v>
      </c>
      <c r="F425" s="860">
        <v>0.82</v>
      </c>
      <c r="G425" s="860">
        <v>0.82</v>
      </c>
      <c r="H425" s="860">
        <v>0.82</v>
      </c>
      <c r="I425" s="860">
        <v>0.66890000000000005</v>
      </c>
      <c r="J425" s="860">
        <v>0.66890000000000005</v>
      </c>
      <c r="K425" s="860">
        <v>0.66890000000000005</v>
      </c>
      <c r="L425" s="860">
        <v>0.66890000000000005</v>
      </c>
      <c r="M425" s="860">
        <v>0.66890000000000005</v>
      </c>
    </row>
    <row r="426" spans="1:13">
      <c r="A426" s="868">
        <v>6.5</v>
      </c>
      <c r="B426" s="860">
        <v>0.88229999999999997</v>
      </c>
      <c r="C426" s="860">
        <v>0.88229999999999997</v>
      </c>
      <c r="D426" s="860">
        <v>0.81810000000000005</v>
      </c>
      <c r="E426" s="860">
        <v>0.81810000000000005</v>
      </c>
      <c r="F426" s="860">
        <v>0.81810000000000005</v>
      </c>
      <c r="G426" s="860">
        <v>0.81810000000000005</v>
      </c>
      <c r="H426" s="860">
        <v>0.81810000000000005</v>
      </c>
      <c r="I426" s="860">
        <v>0.66659999999999997</v>
      </c>
      <c r="J426" s="860">
        <v>0.66659999999999997</v>
      </c>
      <c r="K426" s="860">
        <v>0.66659999999999997</v>
      </c>
      <c r="L426" s="860">
        <v>0.66659999999999997</v>
      </c>
      <c r="M426" s="860">
        <v>0.66659999999999997</v>
      </c>
    </row>
    <row r="427" spans="1:13">
      <c r="A427" s="868">
        <v>6.6</v>
      </c>
      <c r="B427" s="860">
        <v>0.88070000000000004</v>
      </c>
      <c r="C427" s="860">
        <v>0.88070000000000004</v>
      </c>
      <c r="D427" s="860">
        <v>0.81620000000000004</v>
      </c>
      <c r="E427" s="860">
        <v>0.81620000000000004</v>
      </c>
      <c r="F427" s="860">
        <v>0.81620000000000004</v>
      </c>
      <c r="G427" s="860">
        <v>0.81620000000000004</v>
      </c>
      <c r="H427" s="860">
        <v>0.81620000000000004</v>
      </c>
      <c r="I427" s="860">
        <v>0.66439999999999999</v>
      </c>
      <c r="J427" s="860">
        <v>0.66439999999999999</v>
      </c>
      <c r="K427" s="860">
        <v>0.66439999999999999</v>
      </c>
      <c r="L427" s="860">
        <v>0.66439999999999999</v>
      </c>
      <c r="M427" s="860">
        <v>0.66439999999999999</v>
      </c>
    </row>
    <row r="428" spans="1:13">
      <c r="A428" s="868">
        <v>6.7</v>
      </c>
      <c r="B428" s="860">
        <v>0.879</v>
      </c>
      <c r="C428" s="860">
        <v>0.879</v>
      </c>
      <c r="D428" s="860">
        <v>0.81430000000000002</v>
      </c>
      <c r="E428" s="860">
        <v>0.81430000000000002</v>
      </c>
      <c r="F428" s="860">
        <v>0.81430000000000002</v>
      </c>
      <c r="G428" s="860">
        <v>0.81430000000000002</v>
      </c>
      <c r="H428" s="860">
        <v>0.81430000000000002</v>
      </c>
      <c r="I428" s="860">
        <v>0.66210000000000002</v>
      </c>
      <c r="J428" s="860">
        <v>0.66210000000000002</v>
      </c>
      <c r="K428" s="860">
        <v>0.66210000000000002</v>
      </c>
      <c r="L428" s="860">
        <v>0.66210000000000002</v>
      </c>
      <c r="M428" s="860">
        <v>0.66210000000000002</v>
      </c>
    </row>
    <row r="429" spans="1:13">
      <c r="A429" s="868">
        <v>6.8</v>
      </c>
      <c r="B429" s="860">
        <v>0.87739999999999996</v>
      </c>
      <c r="C429" s="860">
        <v>0.87739999999999996</v>
      </c>
      <c r="D429" s="860">
        <v>0.81240000000000001</v>
      </c>
      <c r="E429" s="860">
        <v>0.81240000000000001</v>
      </c>
      <c r="F429" s="860">
        <v>0.81240000000000001</v>
      </c>
      <c r="G429" s="860">
        <v>0.81240000000000001</v>
      </c>
      <c r="H429" s="860">
        <v>0.81240000000000001</v>
      </c>
      <c r="I429" s="860">
        <v>0.65980000000000005</v>
      </c>
      <c r="J429" s="860">
        <v>0.65980000000000005</v>
      </c>
      <c r="K429" s="860">
        <v>0.65980000000000005</v>
      </c>
      <c r="L429" s="860">
        <v>0.65980000000000005</v>
      </c>
      <c r="M429" s="860">
        <v>0.65980000000000005</v>
      </c>
    </row>
    <row r="430" spans="1:13">
      <c r="A430" s="868">
        <v>6.9</v>
      </c>
      <c r="B430" s="860">
        <v>0.87580000000000002</v>
      </c>
      <c r="C430" s="860">
        <v>0.87580000000000002</v>
      </c>
      <c r="D430" s="860">
        <v>0.8105</v>
      </c>
      <c r="E430" s="860">
        <v>0.8105</v>
      </c>
      <c r="F430" s="860">
        <v>0.8105</v>
      </c>
      <c r="G430" s="860">
        <v>0.8105</v>
      </c>
      <c r="H430" s="860">
        <v>0.8105</v>
      </c>
      <c r="I430" s="860">
        <v>0.65749999999999997</v>
      </c>
      <c r="J430" s="860">
        <v>0.65749999999999997</v>
      </c>
      <c r="K430" s="860">
        <v>0.65749999999999997</v>
      </c>
      <c r="L430" s="860">
        <v>0.65749999999999997</v>
      </c>
      <c r="M430" s="860">
        <v>0.65749999999999997</v>
      </c>
    </row>
    <row r="431" spans="1:13">
      <c r="A431" s="868">
        <v>7</v>
      </c>
      <c r="B431" s="860">
        <v>0.87419999999999998</v>
      </c>
      <c r="C431" s="860">
        <v>0.87419999999999998</v>
      </c>
      <c r="D431" s="860">
        <v>0.80869999999999997</v>
      </c>
      <c r="E431" s="860">
        <v>0.80869999999999997</v>
      </c>
      <c r="F431" s="860">
        <v>0.80869999999999997</v>
      </c>
      <c r="G431" s="860">
        <v>0.80869999999999997</v>
      </c>
      <c r="H431" s="860">
        <v>0.80869999999999997</v>
      </c>
      <c r="I431" s="860">
        <v>0.65529999999999999</v>
      </c>
      <c r="J431" s="860">
        <v>0.65529999999999999</v>
      </c>
      <c r="K431" s="860">
        <v>0.65529999999999999</v>
      </c>
      <c r="L431" s="860">
        <v>0.65529999999999999</v>
      </c>
      <c r="M431" s="860">
        <v>0.65529999999999999</v>
      </c>
    </row>
    <row r="432" spans="1:13">
      <c r="A432" s="868">
        <v>7.1</v>
      </c>
      <c r="B432" s="860">
        <v>0.87270000000000003</v>
      </c>
      <c r="C432" s="860">
        <v>0.87270000000000003</v>
      </c>
      <c r="D432" s="860">
        <v>0.80689999999999995</v>
      </c>
      <c r="E432" s="860">
        <v>0.80689999999999995</v>
      </c>
      <c r="F432" s="860">
        <v>0.80689999999999995</v>
      </c>
      <c r="G432" s="860">
        <v>0.80689999999999995</v>
      </c>
      <c r="H432" s="860">
        <v>0.80689999999999995</v>
      </c>
      <c r="I432" s="860">
        <v>0.6532</v>
      </c>
      <c r="J432" s="860">
        <v>0.6532</v>
      </c>
      <c r="K432" s="860">
        <v>0.6532</v>
      </c>
      <c r="L432" s="860">
        <v>0.6532</v>
      </c>
      <c r="M432" s="860">
        <v>0.6532</v>
      </c>
    </row>
    <row r="433" spans="1:13">
      <c r="A433" s="868">
        <v>7.2</v>
      </c>
      <c r="B433" s="860">
        <v>0.87119999999999997</v>
      </c>
      <c r="C433" s="860">
        <v>0.87119999999999997</v>
      </c>
      <c r="D433" s="860">
        <v>0.80510000000000004</v>
      </c>
      <c r="E433" s="860">
        <v>0.80510000000000004</v>
      </c>
      <c r="F433" s="860">
        <v>0.80510000000000004</v>
      </c>
      <c r="G433" s="860">
        <v>0.80510000000000004</v>
      </c>
      <c r="H433" s="860">
        <v>0.80510000000000004</v>
      </c>
      <c r="I433" s="860">
        <v>0.65100000000000002</v>
      </c>
      <c r="J433" s="860">
        <v>0.65100000000000002</v>
      </c>
      <c r="K433" s="860">
        <v>0.65100000000000002</v>
      </c>
      <c r="L433" s="860">
        <v>0.65100000000000002</v>
      </c>
      <c r="M433" s="860">
        <v>0.65100000000000002</v>
      </c>
    </row>
    <row r="434" spans="1:13">
      <c r="A434" s="868">
        <v>7.3</v>
      </c>
      <c r="B434" s="860">
        <v>0.86970000000000003</v>
      </c>
      <c r="C434" s="860">
        <v>0.86970000000000003</v>
      </c>
      <c r="D434" s="860">
        <v>0.80330000000000001</v>
      </c>
      <c r="E434" s="860">
        <v>0.80330000000000001</v>
      </c>
      <c r="F434" s="860">
        <v>0.80330000000000001</v>
      </c>
      <c r="G434" s="860">
        <v>0.80330000000000001</v>
      </c>
      <c r="H434" s="860">
        <v>0.80330000000000001</v>
      </c>
      <c r="I434" s="860">
        <v>0.64880000000000004</v>
      </c>
      <c r="J434" s="860">
        <v>0.64880000000000004</v>
      </c>
      <c r="K434" s="860">
        <v>0.64880000000000004</v>
      </c>
      <c r="L434" s="860">
        <v>0.64880000000000004</v>
      </c>
      <c r="M434" s="860">
        <v>0.64880000000000004</v>
      </c>
    </row>
    <row r="435" spans="1:13">
      <c r="A435" s="868">
        <v>7.4</v>
      </c>
      <c r="B435" s="860">
        <v>0.86819999999999997</v>
      </c>
      <c r="C435" s="860">
        <v>0.86819999999999997</v>
      </c>
      <c r="D435" s="860">
        <v>0.80149999999999999</v>
      </c>
      <c r="E435" s="860">
        <v>0.80149999999999999</v>
      </c>
      <c r="F435" s="860">
        <v>0.80149999999999999</v>
      </c>
      <c r="G435" s="860">
        <v>0.80149999999999999</v>
      </c>
      <c r="H435" s="860">
        <v>0.80149999999999999</v>
      </c>
      <c r="I435" s="860">
        <v>0.64659999999999995</v>
      </c>
      <c r="J435" s="860">
        <v>0.64659999999999995</v>
      </c>
      <c r="K435" s="860">
        <v>0.64659999999999995</v>
      </c>
      <c r="L435" s="860">
        <v>0.64659999999999995</v>
      </c>
      <c r="M435" s="860">
        <v>0.64659999999999995</v>
      </c>
    </row>
    <row r="436" spans="1:13">
      <c r="A436" s="868">
        <v>7.5</v>
      </c>
      <c r="B436" s="860">
        <v>0.86660000000000004</v>
      </c>
      <c r="C436" s="860">
        <v>0.86660000000000004</v>
      </c>
      <c r="D436" s="860">
        <v>0.79969999999999997</v>
      </c>
      <c r="E436" s="860">
        <v>0.79969999999999997</v>
      </c>
      <c r="F436" s="860">
        <v>0.79969999999999997</v>
      </c>
      <c r="G436" s="860">
        <v>0.79969999999999997</v>
      </c>
      <c r="H436" s="860">
        <v>0.79969999999999997</v>
      </c>
      <c r="I436" s="860">
        <v>0.64449999999999996</v>
      </c>
      <c r="J436" s="860">
        <v>0.64449999999999996</v>
      </c>
      <c r="K436" s="860">
        <v>0.64449999999999996</v>
      </c>
      <c r="L436" s="860">
        <v>0.64449999999999996</v>
      </c>
      <c r="M436" s="860">
        <v>0.64449999999999996</v>
      </c>
    </row>
    <row r="437" spans="1:13">
      <c r="A437" s="868">
        <v>7.6</v>
      </c>
      <c r="B437" s="860">
        <v>0.86509999999999998</v>
      </c>
      <c r="C437" s="860">
        <v>0.86509999999999998</v>
      </c>
      <c r="D437" s="860">
        <v>0.79800000000000004</v>
      </c>
      <c r="E437" s="860">
        <v>0.79800000000000004</v>
      </c>
      <c r="F437" s="860">
        <v>0.79800000000000004</v>
      </c>
      <c r="G437" s="860">
        <v>0.79800000000000004</v>
      </c>
      <c r="H437" s="860">
        <v>0.79800000000000004</v>
      </c>
      <c r="I437" s="860">
        <v>0.64239999999999997</v>
      </c>
      <c r="J437" s="860">
        <v>0.64239999999999997</v>
      </c>
      <c r="K437" s="860">
        <v>0.64239999999999997</v>
      </c>
      <c r="L437" s="860">
        <v>0.64239999999999997</v>
      </c>
      <c r="M437" s="860">
        <v>0.64239999999999997</v>
      </c>
    </row>
    <row r="438" spans="1:13">
      <c r="A438" s="868">
        <v>7.7</v>
      </c>
      <c r="B438" s="860">
        <v>0.86370000000000002</v>
      </c>
      <c r="C438" s="860">
        <v>0.86370000000000002</v>
      </c>
      <c r="D438" s="860">
        <v>0.79630000000000001</v>
      </c>
      <c r="E438" s="860">
        <v>0.79630000000000001</v>
      </c>
      <c r="F438" s="860">
        <v>0.79630000000000001</v>
      </c>
      <c r="G438" s="860">
        <v>0.79630000000000001</v>
      </c>
      <c r="H438" s="860">
        <v>0.79630000000000001</v>
      </c>
      <c r="I438" s="860">
        <v>0.64029999999999998</v>
      </c>
      <c r="J438" s="860">
        <v>0.64029999999999998</v>
      </c>
      <c r="K438" s="860">
        <v>0.64029999999999998</v>
      </c>
      <c r="L438" s="860">
        <v>0.64029999999999998</v>
      </c>
      <c r="M438" s="860">
        <v>0.64029999999999998</v>
      </c>
    </row>
    <row r="439" spans="1:13">
      <c r="A439" s="868">
        <v>7.8</v>
      </c>
      <c r="B439" s="860">
        <v>0.86229999999999996</v>
      </c>
      <c r="C439" s="860">
        <v>0.86229999999999996</v>
      </c>
      <c r="D439" s="860">
        <v>0.79449999999999998</v>
      </c>
      <c r="E439" s="860">
        <v>0.79449999999999998</v>
      </c>
      <c r="F439" s="860">
        <v>0.79449999999999998</v>
      </c>
      <c r="G439" s="860">
        <v>0.79449999999999998</v>
      </c>
      <c r="H439" s="860">
        <v>0.79449999999999998</v>
      </c>
      <c r="I439" s="860">
        <v>0.63819999999999999</v>
      </c>
      <c r="J439" s="860">
        <v>0.63819999999999999</v>
      </c>
      <c r="K439" s="860">
        <v>0.63819999999999999</v>
      </c>
      <c r="L439" s="860">
        <v>0.63819999999999999</v>
      </c>
      <c r="M439" s="860">
        <v>0.63819999999999999</v>
      </c>
    </row>
    <row r="440" spans="1:13">
      <c r="A440" s="868">
        <v>7.9</v>
      </c>
      <c r="B440" s="860">
        <v>0.8609</v>
      </c>
      <c r="C440" s="860">
        <v>0.8609</v>
      </c>
      <c r="D440" s="860">
        <v>0.79279999999999995</v>
      </c>
      <c r="E440" s="860">
        <v>0.79279999999999995</v>
      </c>
      <c r="F440" s="860">
        <v>0.79279999999999995</v>
      </c>
      <c r="G440" s="860">
        <v>0.79279999999999995</v>
      </c>
      <c r="H440" s="860">
        <v>0.79279999999999995</v>
      </c>
      <c r="I440" s="860">
        <v>0.6361</v>
      </c>
      <c r="J440" s="860">
        <v>0.6361</v>
      </c>
      <c r="K440" s="860">
        <v>0.6361</v>
      </c>
      <c r="L440" s="860">
        <v>0.6361</v>
      </c>
      <c r="M440" s="860">
        <v>0.6361</v>
      </c>
    </row>
    <row r="441" spans="1:13">
      <c r="A441" s="868">
        <v>8</v>
      </c>
      <c r="B441" s="860">
        <v>0.85940000000000005</v>
      </c>
      <c r="C441" s="860">
        <v>0.85940000000000005</v>
      </c>
      <c r="D441" s="860">
        <v>0.79110000000000003</v>
      </c>
      <c r="E441" s="860">
        <v>0.79110000000000003</v>
      </c>
      <c r="F441" s="860">
        <v>0.79110000000000003</v>
      </c>
      <c r="G441" s="860">
        <v>0.79110000000000003</v>
      </c>
      <c r="H441" s="860">
        <v>0.79110000000000003</v>
      </c>
      <c r="I441" s="860">
        <v>0.6341</v>
      </c>
      <c r="J441" s="860">
        <v>0.6341</v>
      </c>
      <c r="K441" s="860">
        <v>0.6341</v>
      </c>
      <c r="L441" s="860">
        <v>0.6341</v>
      </c>
      <c r="M441" s="860">
        <v>0.6341</v>
      </c>
    </row>
    <row r="442" spans="1:13">
      <c r="A442" s="868">
        <v>8.1</v>
      </c>
      <c r="B442" s="860">
        <v>0.85799999999999998</v>
      </c>
      <c r="C442" s="860">
        <v>0.85799999999999998</v>
      </c>
      <c r="D442" s="860">
        <v>0.78939999999999999</v>
      </c>
      <c r="E442" s="860">
        <v>0.78939999999999999</v>
      </c>
      <c r="F442" s="860">
        <v>0.78939999999999999</v>
      </c>
      <c r="G442" s="860">
        <v>0.78939999999999999</v>
      </c>
      <c r="H442" s="860">
        <v>0.78939999999999999</v>
      </c>
      <c r="I442" s="860">
        <v>0.6321</v>
      </c>
      <c r="J442" s="860">
        <v>0.6321</v>
      </c>
      <c r="K442" s="860">
        <v>0.6321</v>
      </c>
      <c r="L442" s="860">
        <v>0.6321</v>
      </c>
      <c r="M442" s="860">
        <v>0.6321</v>
      </c>
    </row>
    <row r="443" spans="1:13">
      <c r="A443" s="868">
        <v>8.1999999999999993</v>
      </c>
      <c r="B443" s="860">
        <v>0.85660000000000003</v>
      </c>
      <c r="C443" s="860">
        <v>0.85660000000000003</v>
      </c>
      <c r="D443" s="860">
        <v>0.78779999999999994</v>
      </c>
      <c r="E443" s="860">
        <v>0.78779999999999994</v>
      </c>
      <c r="F443" s="860">
        <v>0.78779999999999994</v>
      </c>
      <c r="G443" s="860">
        <v>0.78779999999999994</v>
      </c>
      <c r="H443" s="860">
        <v>0.78779999999999994</v>
      </c>
      <c r="I443" s="860">
        <v>0.63009999999999999</v>
      </c>
      <c r="J443" s="860">
        <v>0.63009999999999999</v>
      </c>
      <c r="K443" s="860">
        <v>0.63009999999999999</v>
      </c>
      <c r="L443" s="860">
        <v>0.63009999999999999</v>
      </c>
      <c r="M443" s="860">
        <v>0.63009999999999999</v>
      </c>
    </row>
    <row r="444" spans="1:13">
      <c r="A444" s="868">
        <v>8.3000000000000007</v>
      </c>
      <c r="B444" s="860">
        <v>0.85529999999999995</v>
      </c>
      <c r="C444" s="860">
        <v>0.85529999999999995</v>
      </c>
      <c r="D444" s="860">
        <v>0.78620000000000001</v>
      </c>
      <c r="E444" s="860">
        <v>0.78620000000000001</v>
      </c>
      <c r="F444" s="860">
        <v>0.78620000000000001</v>
      </c>
      <c r="G444" s="860">
        <v>0.78620000000000001</v>
      </c>
      <c r="H444" s="860">
        <v>0.78620000000000001</v>
      </c>
      <c r="I444" s="860">
        <v>0.62809999999999999</v>
      </c>
      <c r="J444" s="860">
        <v>0.62809999999999999</v>
      </c>
      <c r="K444" s="860">
        <v>0.62809999999999999</v>
      </c>
      <c r="L444" s="860">
        <v>0.62809999999999999</v>
      </c>
      <c r="M444" s="860">
        <v>0.62809999999999999</v>
      </c>
    </row>
    <row r="445" spans="1:13">
      <c r="A445" s="868">
        <v>8.4</v>
      </c>
      <c r="B445" s="860">
        <v>0.85389999999999999</v>
      </c>
      <c r="C445" s="860">
        <v>0.85389999999999999</v>
      </c>
      <c r="D445" s="860">
        <v>0.78459999999999996</v>
      </c>
      <c r="E445" s="860">
        <v>0.78459999999999996</v>
      </c>
      <c r="F445" s="860">
        <v>0.78459999999999996</v>
      </c>
      <c r="G445" s="860">
        <v>0.78459999999999996</v>
      </c>
      <c r="H445" s="860">
        <v>0.78459999999999996</v>
      </c>
      <c r="I445" s="860">
        <v>0.62609999999999999</v>
      </c>
      <c r="J445" s="860">
        <v>0.62609999999999999</v>
      </c>
      <c r="K445" s="860">
        <v>0.62609999999999999</v>
      </c>
      <c r="L445" s="860">
        <v>0.62609999999999999</v>
      </c>
      <c r="M445" s="860">
        <v>0.62609999999999999</v>
      </c>
    </row>
    <row r="446" spans="1:13">
      <c r="A446" s="868">
        <v>8.5</v>
      </c>
      <c r="B446" s="860">
        <v>0.85260000000000002</v>
      </c>
      <c r="C446" s="860">
        <v>0.85260000000000002</v>
      </c>
      <c r="D446" s="860">
        <v>0.78290000000000004</v>
      </c>
      <c r="E446" s="860">
        <v>0.78290000000000004</v>
      </c>
      <c r="F446" s="860">
        <v>0.78290000000000004</v>
      </c>
      <c r="G446" s="860">
        <v>0.78290000000000004</v>
      </c>
      <c r="H446" s="860">
        <v>0.78290000000000004</v>
      </c>
      <c r="I446" s="860">
        <v>0.62419999999999998</v>
      </c>
      <c r="J446" s="860">
        <v>0.62419999999999998</v>
      </c>
      <c r="K446" s="860">
        <v>0.62419999999999998</v>
      </c>
      <c r="L446" s="860">
        <v>0.62419999999999998</v>
      </c>
      <c r="M446" s="860">
        <v>0.62419999999999998</v>
      </c>
    </row>
    <row r="447" spans="1:13">
      <c r="A447" s="868">
        <v>8.6</v>
      </c>
      <c r="B447" s="860">
        <v>0.85129999999999995</v>
      </c>
      <c r="C447" s="860">
        <v>0.85129999999999995</v>
      </c>
      <c r="D447" s="860">
        <v>0.78129999999999999</v>
      </c>
      <c r="E447" s="860">
        <v>0.78129999999999999</v>
      </c>
      <c r="F447" s="860">
        <v>0.78129999999999999</v>
      </c>
      <c r="G447" s="860">
        <v>0.78129999999999999</v>
      </c>
      <c r="H447" s="860">
        <v>0.78129999999999999</v>
      </c>
      <c r="I447" s="860">
        <v>0.62229999999999996</v>
      </c>
      <c r="J447" s="860">
        <v>0.62229999999999996</v>
      </c>
      <c r="K447" s="860">
        <v>0.62229999999999996</v>
      </c>
      <c r="L447" s="860">
        <v>0.62229999999999996</v>
      </c>
      <c r="M447" s="860">
        <v>0.62229999999999996</v>
      </c>
    </row>
    <row r="448" spans="1:13">
      <c r="A448" s="868">
        <v>8.6999999999999993</v>
      </c>
      <c r="B448" s="860">
        <v>0.85</v>
      </c>
      <c r="C448" s="860">
        <v>0.85</v>
      </c>
      <c r="D448" s="860">
        <v>0.77969999999999995</v>
      </c>
      <c r="E448" s="860">
        <v>0.77969999999999995</v>
      </c>
      <c r="F448" s="860">
        <v>0.77969999999999995</v>
      </c>
      <c r="G448" s="860">
        <v>0.77969999999999995</v>
      </c>
      <c r="H448" s="860">
        <v>0.77969999999999995</v>
      </c>
      <c r="I448" s="860">
        <v>0.62039999999999995</v>
      </c>
      <c r="J448" s="860">
        <v>0.62039999999999995</v>
      </c>
      <c r="K448" s="860">
        <v>0.62039999999999995</v>
      </c>
      <c r="L448" s="860">
        <v>0.62039999999999995</v>
      </c>
      <c r="M448" s="860">
        <v>0.62039999999999995</v>
      </c>
    </row>
    <row r="449" spans="1:13">
      <c r="A449" s="868">
        <v>8.8000000000000007</v>
      </c>
      <c r="B449" s="860">
        <v>0.84860000000000002</v>
      </c>
      <c r="C449" s="860">
        <v>0.84860000000000002</v>
      </c>
      <c r="D449" s="860">
        <v>0.7782</v>
      </c>
      <c r="E449" s="860">
        <v>0.7782</v>
      </c>
      <c r="F449" s="860">
        <v>0.7782</v>
      </c>
      <c r="G449" s="860">
        <v>0.7782</v>
      </c>
      <c r="H449" s="860">
        <v>0.7782</v>
      </c>
      <c r="I449" s="860">
        <v>0.61850000000000005</v>
      </c>
      <c r="J449" s="860">
        <v>0.61850000000000005</v>
      </c>
      <c r="K449" s="860">
        <v>0.61850000000000005</v>
      </c>
      <c r="L449" s="860">
        <v>0.61850000000000005</v>
      </c>
      <c r="M449" s="860">
        <v>0.61850000000000005</v>
      </c>
    </row>
    <row r="450" spans="1:13">
      <c r="A450" s="868">
        <v>8.9</v>
      </c>
      <c r="B450" s="860">
        <v>0.84740000000000004</v>
      </c>
      <c r="C450" s="860">
        <v>0.84740000000000004</v>
      </c>
      <c r="D450" s="860">
        <v>0.77669999999999995</v>
      </c>
      <c r="E450" s="860">
        <v>0.77669999999999995</v>
      </c>
      <c r="F450" s="860">
        <v>0.77669999999999995</v>
      </c>
      <c r="G450" s="860">
        <v>0.77669999999999995</v>
      </c>
      <c r="H450" s="860">
        <v>0.77669999999999995</v>
      </c>
      <c r="I450" s="860">
        <v>0.61670000000000003</v>
      </c>
      <c r="J450" s="860">
        <v>0.61670000000000003</v>
      </c>
      <c r="K450" s="860">
        <v>0.61670000000000003</v>
      </c>
      <c r="L450" s="860">
        <v>0.61670000000000003</v>
      </c>
      <c r="M450" s="860">
        <v>0.61670000000000003</v>
      </c>
    </row>
    <row r="451" spans="1:13">
      <c r="A451" s="868">
        <v>9</v>
      </c>
      <c r="B451" s="860">
        <v>0.84619999999999995</v>
      </c>
      <c r="C451" s="860">
        <v>0.84619999999999995</v>
      </c>
      <c r="D451" s="860">
        <v>0.77510000000000001</v>
      </c>
      <c r="E451" s="860">
        <v>0.77510000000000001</v>
      </c>
      <c r="F451" s="860">
        <v>0.77510000000000001</v>
      </c>
      <c r="G451" s="860">
        <v>0.77510000000000001</v>
      </c>
      <c r="H451" s="860">
        <v>0.77510000000000001</v>
      </c>
      <c r="I451" s="860">
        <v>0.61480000000000001</v>
      </c>
      <c r="J451" s="860">
        <v>0.61480000000000001</v>
      </c>
      <c r="K451" s="860">
        <v>0.61480000000000001</v>
      </c>
      <c r="L451" s="860">
        <v>0.61480000000000001</v>
      </c>
      <c r="M451" s="860">
        <v>0.61480000000000001</v>
      </c>
    </row>
    <row r="452" spans="1:13">
      <c r="A452" s="868">
        <v>9.1</v>
      </c>
      <c r="B452" s="860">
        <v>0.84499999999999997</v>
      </c>
      <c r="C452" s="860">
        <v>0.84499999999999997</v>
      </c>
      <c r="D452" s="860">
        <v>0.77359999999999995</v>
      </c>
      <c r="E452" s="860">
        <v>0.77359999999999995</v>
      </c>
      <c r="F452" s="860">
        <v>0.77359999999999995</v>
      </c>
      <c r="G452" s="860">
        <v>0.77359999999999995</v>
      </c>
      <c r="H452" s="860">
        <v>0.77359999999999995</v>
      </c>
      <c r="I452" s="860">
        <v>0.61299999999999999</v>
      </c>
      <c r="J452" s="860">
        <v>0.61299999999999999</v>
      </c>
      <c r="K452" s="860">
        <v>0.61299999999999999</v>
      </c>
      <c r="L452" s="860">
        <v>0.61299999999999999</v>
      </c>
      <c r="M452" s="860">
        <v>0.61299999999999999</v>
      </c>
    </row>
    <row r="453" spans="1:13">
      <c r="A453" s="868">
        <v>9.1999999999999993</v>
      </c>
      <c r="B453" s="860">
        <v>0.84370000000000001</v>
      </c>
      <c r="C453" s="860">
        <v>0.84370000000000001</v>
      </c>
      <c r="D453" s="860">
        <v>0.77210000000000001</v>
      </c>
      <c r="E453" s="860">
        <v>0.77210000000000001</v>
      </c>
      <c r="F453" s="860">
        <v>0.77210000000000001</v>
      </c>
      <c r="G453" s="860">
        <v>0.77210000000000001</v>
      </c>
      <c r="H453" s="860">
        <v>0.77210000000000001</v>
      </c>
      <c r="I453" s="860">
        <v>0.61119999999999997</v>
      </c>
      <c r="J453" s="860">
        <v>0.61119999999999997</v>
      </c>
      <c r="K453" s="860">
        <v>0.61119999999999997</v>
      </c>
      <c r="L453" s="860">
        <v>0.61119999999999997</v>
      </c>
      <c r="M453" s="860">
        <v>0.61119999999999997</v>
      </c>
    </row>
    <row r="454" spans="1:13">
      <c r="A454" s="868">
        <v>9.3000000000000007</v>
      </c>
      <c r="B454" s="860">
        <v>0.84250000000000003</v>
      </c>
      <c r="C454" s="860">
        <v>0.84250000000000003</v>
      </c>
      <c r="D454" s="860">
        <v>0.77059999999999995</v>
      </c>
      <c r="E454" s="860">
        <v>0.77059999999999995</v>
      </c>
      <c r="F454" s="860">
        <v>0.77059999999999995</v>
      </c>
      <c r="G454" s="860">
        <v>0.77059999999999995</v>
      </c>
      <c r="H454" s="860">
        <v>0.77059999999999995</v>
      </c>
      <c r="I454" s="860">
        <v>0.60940000000000005</v>
      </c>
      <c r="J454" s="860">
        <v>0.60940000000000005</v>
      </c>
      <c r="K454" s="860">
        <v>0.60940000000000005</v>
      </c>
      <c r="L454" s="860">
        <v>0.60940000000000005</v>
      </c>
      <c r="M454" s="860">
        <v>0.60940000000000005</v>
      </c>
    </row>
    <row r="455" spans="1:13">
      <c r="A455" s="868">
        <v>9.4</v>
      </c>
      <c r="B455" s="860">
        <v>0.84130000000000005</v>
      </c>
      <c r="C455" s="860">
        <v>0.84130000000000005</v>
      </c>
      <c r="D455" s="860">
        <v>0.76900000000000002</v>
      </c>
      <c r="E455" s="860">
        <v>0.76900000000000002</v>
      </c>
      <c r="F455" s="860">
        <v>0.76900000000000002</v>
      </c>
      <c r="G455" s="860">
        <v>0.76900000000000002</v>
      </c>
      <c r="H455" s="860">
        <v>0.76900000000000002</v>
      </c>
      <c r="I455" s="860">
        <v>0.60760000000000003</v>
      </c>
      <c r="J455" s="860">
        <v>0.60760000000000003</v>
      </c>
      <c r="K455" s="860">
        <v>0.60760000000000003</v>
      </c>
      <c r="L455" s="860">
        <v>0.60760000000000003</v>
      </c>
      <c r="M455" s="860">
        <v>0.60760000000000003</v>
      </c>
    </row>
    <row r="456" spans="1:13">
      <c r="A456" s="868">
        <v>9.5</v>
      </c>
      <c r="B456" s="860">
        <v>0.84009999999999996</v>
      </c>
      <c r="C456" s="860">
        <v>0.84009999999999996</v>
      </c>
      <c r="D456" s="860">
        <v>0.76759999999999995</v>
      </c>
      <c r="E456" s="860">
        <v>0.76759999999999995</v>
      </c>
      <c r="F456" s="860">
        <v>0.76759999999999995</v>
      </c>
      <c r="G456" s="860">
        <v>0.76759999999999995</v>
      </c>
      <c r="H456" s="860">
        <v>0.76759999999999995</v>
      </c>
      <c r="I456" s="860">
        <v>0.60580000000000001</v>
      </c>
      <c r="J456" s="860">
        <v>0.60580000000000001</v>
      </c>
      <c r="K456" s="860">
        <v>0.60580000000000001</v>
      </c>
      <c r="L456" s="860">
        <v>0.60580000000000001</v>
      </c>
      <c r="M456" s="860">
        <v>0.60580000000000001</v>
      </c>
    </row>
    <row r="457" spans="1:13">
      <c r="A457" s="868">
        <v>9.6</v>
      </c>
      <c r="B457" s="860">
        <v>0.83899999999999997</v>
      </c>
      <c r="C457" s="860">
        <v>0.83899999999999997</v>
      </c>
      <c r="D457" s="860">
        <v>0.76619999999999999</v>
      </c>
      <c r="E457" s="860">
        <v>0.76619999999999999</v>
      </c>
      <c r="F457" s="860">
        <v>0.76619999999999999</v>
      </c>
      <c r="G457" s="860">
        <v>0.76619999999999999</v>
      </c>
      <c r="H457" s="860">
        <v>0.76619999999999999</v>
      </c>
      <c r="I457" s="860">
        <v>0.60409999999999997</v>
      </c>
      <c r="J457" s="860">
        <v>0.60409999999999997</v>
      </c>
      <c r="K457" s="860">
        <v>0.60409999999999997</v>
      </c>
      <c r="L457" s="860">
        <v>0.60409999999999997</v>
      </c>
      <c r="M457" s="860">
        <v>0.60409999999999997</v>
      </c>
    </row>
    <row r="458" spans="1:13">
      <c r="A458" s="868">
        <v>9.6999999999999993</v>
      </c>
      <c r="B458" s="860">
        <v>0.83779999999999999</v>
      </c>
      <c r="C458" s="860">
        <v>0.83779999999999999</v>
      </c>
      <c r="D458" s="860">
        <v>0.76480000000000004</v>
      </c>
      <c r="E458" s="860">
        <v>0.76480000000000004</v>
      </c>
      <c r="F458" s="860">
        <v>0.76480000000000004</v>
      </c>
      <c r="G458" s="860">
        <v>0.76480000000000004</v>
      </c>
      <c r="H458" s="860">
        <v>0.76480000000000004</v>
      </c>
      <c r="I458" s="860">
        <v>0.60240000000000005</v>
      </c>
      <c r="J458" s="860">
        <v>0.60240000000000005</v>
      </c>
      <c r="K458" s="860">
        <v>0.60240000000000005</v>
      </c>
      <c r="L458" s="860">
        <v>0.60240000000000005</v>
      </c>
      <c r="M458" s="860">
        <v>0.60240000000000005</v>
      </c>
    </row>
    <row r="459" spans="1:13">
      <c r="A459" s="868">
        <v>9.8000000000000007</v>
      </c>
      <c r="B459" s="860">
        <v>0.8367</v>
      </c>
      <c r="C459" s="860">
        <v>0.8367</v>
      </c>
      <c r="D459" s="860">
        <v>0.76329999999999998</v>
      </c>
      <c r="E459" s="860">
        <v>0.76329999999999998</v>
      </c>
      <c r="F459" s="860">
        <v>0.76329999999999998</v>
      </c>
      <c r="G459" s="860">
        <v>0.76329999999999998</v>
      </c>
      <c r="H459" s="860">
        <v>0.76329999999999998</v>
      </c>
      <c r="I459" s="860">
        <v>0.60060000000000002</v>
      </c>
      <c r="J459" s="860">
        <v>0.60060000000000002</v>
      </c>
      <c r="K459" s="860">
        <v>0.60060000000000002</v>
      </c>
      <c r="L459" s="860">
        <v>0.60060000000000002</v>
      </c>
      <c r="M459" s="860">
        <v>0.60060000000000002</v>
      </c>
    </row>
    <row r="460" spans="1:13">
      <c r="A460" s="868">
        <v>9.9</v>
      </c>
      <c r="B460" s="860">
        <v>0.83560000000000001</v>
      </c>
      <c r="C460" s="860">
        <v>0.83560000000000001</v>
      </c>
      <c r="D460" s="860">
        <v>0.76190000000000002</v>
      </c>
      <c r="E460" s="860">
        <v>0.76190000000000002</v>
      </c>
      <c r="F460" s="860">
        <v>0.76190000000000002</v>
      </c>
      <c r="G460" s="860">
        <v>0.76190000000000002</v>
      </c>
      <c r="H460" s="860">
        <v>0.76190000000000002</v>
      </c>
      <c r="I460" s="860">
        <v>0.59889999999999999</v>
      </c>
      <c r="J460" s="860">
        <v>0.59889999999999999</v>
      </c>
      <c r="K460" s="860">
        <v>0.59889999999999999</v>
      </c>
      <c r="L460" s="860">
        <v>0.59889999999999999</v>
      </c>
      <c r="M460" s="860">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20"/>
  </cols>
  <sheetData>
    <row r="1" spans="1:7">
      <c r="A1" s="4267" t="s">
        <v>2933</v>
      </c>
      <c r="B1" s="4267"/>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275" t="s">
        <v>1767</v>
      </c>
      <c r="C1" s="4275"/>
      <c r="D1" s="4275"/>
      <c r="E1" s="4275"/>
      <c r="F1" s="4275"/>
      <c r="G1" s="4274" t="s">
        <v>1768</v>
      </c>
      <c r="H1" s="4274"/>
      <c r="I1" s="4274"/>
      <c r="J1" s="4274"/>
      <c r="K1" s="4274"/>
      <c r="L1" s="4274"/>
      <c r="N1" s="4274" t="s">
        <v>1769</v>
      </c>
      <c r="O1" s="4274"/>
      <c r="P1" s="4274"/>
      <c r="Q1" s="4274"/>
      <c r="S1" s="4274" t="s">
        <v>1770</v>
      </c>
      <c r="T1" s="4274"/>
      <c r="U1" s="4274"/>
      <c r="V1" s="4274"/>
      <c r="X1" s="4273" t="s">
        <v>1830</v>
      </c>
      <c r="Y1" s="4274"/>
      <c r="Z1" s="4274"/>
      <c r="AA1" s="4274"/>
      <c r="AB1" s="4274"/>
      <c r="AD1" s="4273" t="s">
        <v>1834</v>
      </c>
      <c r="AE1" s="4274"/>
      <c r="AF1" s="4274"/>
      <c r="AG1" s="4274"/>
      <c r="AH1" s="4274"/>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269">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269"/>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269"/>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270"/>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268">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269"/>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269"/>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270"/>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268">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269"/>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269"/>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272"/>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271">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269"/>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269"/>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272"/>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271">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269"/>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269"/>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272"/>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276">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277"/>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277"/>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278"/>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271">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269"/>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269"/>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272"/>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271">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269">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269">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272">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271">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269">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269">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272">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271">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269">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269">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272">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271">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269">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269">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272">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271">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269">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269">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272">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271">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269">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269">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272">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271">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269">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269">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272">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271">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269">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269">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272">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271">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269">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269">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272">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271">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269">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269">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272">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D38"/>
  <sheetViews>
    <sheetView zoomScale="70" zoomScaleNormal="70" workbookViewId="0">
      <selection activeCell="S31" sqref="S31"/>
    </sheetView>
  </sheetViews>
  <sheetFormatPr defaultRowHeight="13.5"/>
  <cols>
    <col min="1" max="1" width="12.375" customWidth="1"/>
    <col min="11" max="17" width="0" hidden="1" customWidth="1"/>
    <col min="24" max="30" width="0" hidden="1" customWidth="1"/>
  </cols>
  <sheetData>
    <row r="1" spans="1:30">
      <c r="A1" s="3051">
        <f>'基准地价-商业'!G23</f>
        <v>45076</v>
      </c>
      <c r="B1" s="2999" t="s">
        <v>2696</v>
      </c>
      <c r="C1" s="3000"/>
      <c r="D1" s="3000"/>
      <c r="E1" s="3000"/>
      <c r="F1" s="3000"/>
      <c r="G1" s="3000"/>
      <c r="H1" s="3000"/>
      <c r="I1" s="3000"/>
      <c r="J1" s="3001"/>
      <c r="K1" s="3000" t="s">
        <v>2697</v>
      </c>
      <c r="L1" s="3000"/>
      <c r="M1" s="3000"/>
      <c r="N1" s="3000"/>
      <c r="O1" s="3000"/>
      <c r="P1" s="3000"/>
      <c r="Q1" s="3001"/>
      <c r="R1" s="4279" t="s">
        <v>2706</v>
      </c>
      <c r="S1" s="4280"/>
      <c r="T1" s="4280"/>
      <c r="U1" s="4280"/>
      <c r="V1" s="4280"/>
      <c r="W1" s="4280"/>
      <c r="X1" s="3001"/>
      <c r="Y1" s="4279" t="s">
        <v>2717</v>
      </c>
      <c r="Z1" s="4280"/>
      <c r="AA1" s="4280"/>
      <c r="AB1" s="4280"/>
      <c r="AC1" s="4280"/>
      <c r="AD1" s="4280"/>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279" t="s">
        <v>2713</v>
      </c>
      <c r="S21" s="4280"/>
      <c r="T21" s="4280"/>
      <c r="U21" s="4280"/>
      <c r="V21" s="4280"/>
      <c r="W21" s="4280"/>
      <c r="X21" s="3001"/>
      <c r="Y21" s="4279" t="s">
        <v>1834</v>
      </c>
      <c r="Z21" s="4280"/>
      <c r="AA21" s="4280"/>
      <c r="AB21" s="4280"/>
      <c r="AC21" s="4280"/>
      <c r="AD21" s="4280"/>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G76"/>
  <sheetViews>
    <sheetView view="pageBreakPreview" topLeftCell="A40" zoomScale="80" zoomScaleNormal="60" zoomScaleSheetLayoutView="80" workbookViewId="0">
      <selection activeCell="E44" sqref="E44"/>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34409.928899999999</v>
      </c>
      <c r="C2" s="2675"/>
      <c r="D2" s="2676"/>
      <c r="E2" s="2677"/>
      <c r="F2" s="2677"/>
      <c r="G2" s="2671"/>
      <c r="H2" s="1594"/>
      <c r="I2" s="1594"/>
      <c r="J2" s="1594"/>
      <c r="K2" s="1595"/>
      <c r="L2" s="1594"/>
      <c r="M2" s="1594"/>
    </row>
    <row r="3" spans="1:33" ht="18" customHeight="1" thickBot="1">
      <c r="A3" s="679" t="s">
        <v>468</v>
      </c>
      <c r="B3" s="680">
        <f ca="1">IF(ISERROR(B2*10000/F43),0,ROUND(B2*10000/F43,0))</f>
        <v>11832</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81" t="s">
        <v>1723</v>
      </c>
      <c r="C6" s="3626">
        <f ca="1">ROUND(F6*F8*F7*(1-F9)/10000,4)</f>
        <v>2574.1691999999998</v>
      </c>
      <c r="D6" s="1909" t="s">
        <v>1722</v>
      </c>
      <c r="E6" s="636" t="s">
        <v>585</v>
      </c>
      <c r="F6" s="637">
        <f ca="1">INDIRECT("'数据-取费表'!u"&amp;$G$1)</f>
        <v>2.5</v>
      </c>
      <c r="G6" s="1599"/>
      <c r="H6" s="1916" t="s">
        <v>1278</v>
      </c>
      <c r="I6" s="4281" t="s">
        <v>1723</v>
      </c>
      <c r="J6" s="635">
        <f ca="1">ROUND(M6*M8*M7*(1-M9)/10000,0)</f>
        <v>0</v>
      </c>
      <c r="K6" s="231" t="s">
        <v>584</v>
      </c>
      <c r="L6" s="636" t="s">
        <v>585</v>
      </c>
      <c r="M6" s="637">
        <f ca="1">INDIRECT("'数据-取费表'!z"&amp;$G$1)</f>
        <v>0</v>
      </c>
    </row>
    <row r="7" spans="1:33" ht="18" customHeight="1">
      <c r="A7" s="1912"/>
      <c r="B7" s="4282"/>
      <c r="C7" s="3628"/>
      <c r="D7" s="641"/>
      <c r="E7" s="636" t="s">
        <v>586</v>
      </c>
      <c r="F7" s="637">
        <f ca="1">IF(INDIRECT("'数据-取费表'!ah"&amp;$G$1)="",INDIRECT("'数据-取费表'!k"&amp;$G$1),INDIRECT("'数据-取费表'!ah"&amp;$G$1))</f>
        <v>29082.55</v>
      </c>
      <c r="G7" s="1599"/>
      <c r="H7" s="1901"/>
      <c r="I7" s="4282"/>
      <c r="J7" s="640"/>
      <c r="K7" s="641"/>
      <c r="L7" s="636" t="s">
        <v>586</v>
      </c>
      <c r="M7" s="637">
        <f ca="1">F7</f>
        <v>29082.55</v>
      </c>
    </row>
    <row r="8" spans="1:33" ht="18" customHeight="1">
      <c r="A8" s="1905"/>
      <c r="B8" s="4283"/>
      <c r="C8" s="3628"/>
      <c r="D8" s="641"/>
      <c r="E8" s="636" t="s">
        <v>587</v>
      </c>
      <c r="F8" s="637">
        <f ca="1">INDIRECT("'数据-取费表'!ai"&amp;$G$1)</f>
        <v>365</v>
      </c>
      <c r="G8" s="1599"/>
      <c r="H8" s="1901"/>
      <c r="I8" s="4283"/>
      <c r="J8" s="640"/>
      <c r="K8" s="641"/>
      <c r="L8" s="636" t="s">
        <v>587</v>
      </c>
      <c r="M8" s="637">
        <f ca="1">INDIRECT("'数据-取费表'!ai"&amp;$G$1)</f>
        <v>365</v>
      </c>
    </row>
    <row r="9" spans="1:33" ht="18" customHeight="1">
      <c r="A9" s="638"/>
      <c r="B9" s="4284"/>
      <c r="C9" s="3628"/>
      <c r="D9" s="641"/>
      <c r="E9" s="636" t="s">
        <v>588</v>
      </c>
      <c r="F9" s="646">
        <f ca="1">INDIRECT("'数据-取费表'!w"&amp;$G$1)</f>
        <v>0.03</v>
      </c>
      <c r="G9" s="1599"/>
      <c r="H9" s="1917"/>
      <c r="I9" s="4283"/>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34409.928899999999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670">
        <f ca="1">IF(INDIRECT("'数据-取费表'!af"&amp;$G$1)=0,INDIRECT("'数据-取费表'!ae"&amp;$G$1),INDIRECT("'数据-取费表'!af"&amp;$G$1))</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0.52800000000000002</v>
      </c>
      <c r="K42" s="1618"/>
      <c r="L42" s="1564"/>
      <c r="M42" s="1564"/>
    </row>
    <row r="43" spans="1:18" ht="18" customHeight="1" thickBot="1">
      <c r="A43" s="671" t="s">
        <v>1261</v>
      </c>
      <c r="B43" s="672" t="s">
        <v>1264</v>
      </c>
      <c r="C43" s="3629">
        <f ca="1">ROUND(C40*10000/F43,0)</f>
        <v>11832</v>
      </c>
      <c r="D43" s="674" t="s">
        <v>1265</v>
      </c>
      <c r="E43" s="675" t="s">
        <v>1266</v>
      </c>
      <c r="F43" s="676">
        <f ca="1">INDIRECT("'数据-取费表'!k"&amp;$G$1)</f>
        <v>29082.55</v>
      </c>
      <c r="G43" s="1599"/>
      <c r="H43" s="1564"/>
      <c r="I43" s="693" t="s">
        <v>1276</v>
      </c>
      <c r="J43" s="694">
        <f ca="1">1-J42</f>
        <v>0.47199999999999998</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-36288.928899999999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34409.928899999999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5.5E-2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85" t="s">
        <v>2133</v>
      </c>
      <c r="L53" s="4286"/>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34409.928899999999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34409.928899999999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1.0306</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5.5E-2</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1.0306</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34409.928899999999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34409.928899999999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 ca="1">F41</f>
        <v>50</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 ca="1">L52</f>
        <v>5.5E-2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1.0306</v>
      </c>
      <c r="R75" s="1866" t="s">
        <v>1668</v>
      </c>
    </row>
    <row r="76" spans="1:18" ht="15.75" thickBot="1">
      <c r="O76" s="1861" t="s">
        <v>1662</v>
      </c>
      <c r="P76" s="1862" t="s">
        <v>1679</v>
      </c>
      <c r="Q76" s="1863">
        <f ca="1">Q66+Q67</f>
        <v>34409.928899999999</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J48" xr:uid="{00000000-0002-0000-2200-000002000000}">
      <formula1>"非生产用房,生产用房,受腐蚀的生产用房"</formula1>
    </dataValidation>
    <dataValidation type="list" allowBlank="1" showInputMessage="1" showErrorMessage="1" sqref="J47" xr:uid="{00000000-0002-0000-2200-000003000000}">
      <formula1>"钢,钢混,砖混"</formula1>
    </dataValidation>
    <dataValidation type="list" allowBlank="1" showInputMessage="1" showErrorMessage="1" sqref="J56" xr:uid="{00000000-0002-0000-2200-000004000000}">
      <formula1>估价范围判定</formula1>
    </dataValidation>
    <dataValidation type="list" allowBlank="1" showInputMessage="1" showErrorMessage="1" sqref="D33" xr:uid="{00000000-0002-0000-2200-000005000000}">
      <formula1>"按租金收入计税,按房产原值计税,按票据"</formula1>
    </dataValidation>
    <dataValidation type="list" allowBlank="1" showInputMessage="1" showErrorMessage="1" sqref="K19" xr:uid="{00000000-0002-0000-2200-000006000000}">
      <formula1>"按租金收入计税,按房产原值计税"</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4" zoomScale="80" zoomScaleNormal="60" zoomScaleSheetLayoutView="80" workbookViewId="0">
      <selection activeCell="J35" sqref="J3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697</v>
      </c>
      <c r="C1" s="362" t="s">
        <v>667</v>
      </c>
      <c r="D1" s="1838" t="s">
        <v>2645</v>
      </c>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696">
        <f>ROUND(B3*D3/10000,0)</f>
        <v>0</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468</v>
      </c>
      <c r="B3" s="368">
        <f>C49</f>
        <v>5.6</v>
      </c>
      <c r="C3" s="698" t="s">
        <v>669</v>
      </c>
      <c r="D3" s="697">
        <f>SUMIF('数据-汇总表'!$C19:$C33,D1,'数据-汇总表'!$E19:$E33)</f>
        <v>0</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201" t="s">
        <v>471</v>
      </c>
      <c r="D4" s="4202"/>
      <c r="E4" s="4240" t="s">
        <v>472</v>
      </c>
      <c r="F4" s="4241"/>
      <c r="G4" s="4201" t="s">
        <v>473</v>
      </c>
      <c r="H4" s="4202"/>
      <c r="I4" s="4201" t="s">
        <v>474</v>
      </c>
      <c r="J4" s="4202"/>
      <c r="K4" s="372"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6" t="s">
        <v>473</v>
      </c>
      <c r="AC4" s="4198" t="s">
        <v>474</v>
      </c>
    </row>
    <row r="5" spans="1:29" ht="15">
      <c r="A5" s="373"/>
      <c r="B5" s="374"/>
      <c r="C5" s="4217" t="s">
        <v>2100</v>
      </c>
      <c r="D5" s="4218"/>
      <c r="E5" s="4291" t="s">
        <v>3300</v>
      </c>
      <c r="F5" s="4243"/>
      <c r="G5" s="4290" t="s">
        <v>3301</v>
      </c>
      <c r="H5" s="4218"/>
      <c r="I5" s="4290" t="s">
        <v>3302</v>
      </c>
      <c r="J5" s="4218"/>
      <c r="K5" s="372"/>
      <c r="L5" s="1653"/>
      <c r="M5" s="1654"/>
      <c r="N5" s="1654"/>
      <c r="O5" s="1654"/>
      <c r="P5" s="4205"/>
      <c r="Q5" s="4206"/>
      <c r="R5" s="4211"/>
      <c r="S5" s="4212"/>
      <c r="T5" s="4211"/>
      <c r="U5" s="4212"/>
      <c r="V5" s="4196"/>
      <c r="W5" s="4196"/>
      <c r="X5" s="1228"/>
      <c r="Y5" s="4211"/>
      <c r="Z5" s="4212"/>
      <c r="AA5" s="4199"/>
      <c r="AB5" s="4196"/>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196"/>
      <c r="AC6" s="4200"/>
    </row>
    <row r="7" spans="1:29" s="981" customFormat="1" ht="15.75" thickBot="1">
      <c r="A7" s="2103"/>
      <c r="B7" s="2110" t="s">
        <v>478</v>
      </c>
      <c r="C7" s="377">
        <f>'数据-取费表'!B2</f>
        <v>45076</v>
      </c>
      <c r="D7" s="378">
        <v>100</v>
      </c>
      <c r="E7" s="379">
        <f>C7</f>
        <v>45076</v>
      </c>
      <c r="F7" s="380">
        <f>SUMIF(58:58,YEAR(E7)&amp;"-"&amp;MONTH(E7),59:59)</f>
        <v>100</v>
      </c>
      <c r="G7" s="379">
        <f>C7</f>
        <v>45076</v>
      </c>
      <c r="H7" s="378">
        <f>SUMIF(58:58,YEAR(G7)&amp;"-"&amp;MONTH(G7),59:59)</f>
        <v>100</v>
      </c>
      <c r="I7" s="379">
        <f>C7</f>
        <v>45076</v>
      </c>
      <c r="J7" s="378">
        <f>SUMIF(58:58,YEAR(I7)&amp;"-"&amp;MONTH(I7),59:59)</f>
        <v>100</v>
      </c>
      <c r="K7" s="382"/>
      <c r="L7" s="1655"/>
      <c r="M7" s="1656"/>
      <c r="N7" s="1656"/>
      <c r="O7" s="1656"/>
      <c r="P7" s="4225" t="s">
        <v>479</v>
      </c>
      <c r="Q7" s="4227"/>
      <c r="R7" s="1229" t="s">
        <v>5</v>
      </c>
      <c r="S7" s="1230">
        <f t="shared" ref="S7:S15" si="0">F7</f>
        <v>100</v>
      </c>
      <c r="T7" s="1229" t="s">
        <v>5</v>
      </c>
      <c r="U7" s="1230">
        <f t="shared" ref="U7:U15" si="1">H7</f>
        <v>100</v>
      </c>
      <c r="V7" s="1229" t="s">
        <v>5</v>
      </c>
      <c r="W7" s="1230">
        <f t="shared" ref="W7:W15" si="2">J7</f>
        <v>100</v>
      </c>
      <c r="X7" s="1231"/>
      <c r="Y7" s="4225" t="s">
        <v>479</v>
      </c>
      <c r="Z7" s="4226"/>
      <c r="AA7" s="1232">
        <f>D7/F7</f>
        <v>1</v>
      </c>
      <c r="AB7" s="1232">
        <f>D7/H7</f>
        <v>1</v>
      </c>
      <c r="AC7" s="1232">
        <f>D7/J7</f>
        <v>1</v>
      </c>
    </row>
    <row r="8" spans="1:29" s="981" customFormat="1" ht="15.75" thickBot="1">
      <c r="A8" s="2104"/>
      <c r="B8" s="2111" t="s">
        <v>480</v>
      </c>
      <c r="C8" s="383" t="s">
        <v>524</v>
      </c>
      <c r="D8" s="378">
        <v>100</v>
      </c>
      <c r="E8" s="383" t="s">
        <v>3263</v>
      </c>
      <c r="F8" s="380">
        <f>SUMIF(61:61,E8,62:62)-SUMIF(61:61,C8,62:62)+100</f>
        <v>100</v>
      </c>
      <c r="G8" s="383" t="s">
        <v>3263</v>
      </c>
      <c r="H8" s="378">
        <f>SUMIF(61:61,G8,62:62)-SUMIF(61:61,C8,62:62)+100</f>
        <v>100</v>
      </c>
      <c r="I8" s="383" t="s">
        <v>3263</v>
      </c>
      <c r="J8" s="378">
        <f>SUMIF(61:61,I8,62:62)-SUMIF(61:61,C8,62:62)+100</f>
        <v>100</v>
      </c>
      <c r="K8" s="382"/>
      <c r="L8" s="1655"/>
      <c r="M8" s="1656"/>
      <c r="N8" s="1656"/>
      <c r="O8" s="1656"/>
      <c r="P8" s="4225" t="s">
        <v>482</v>
      </c>
      <c r="Q8" s="4226"/>
      <c r="R8" s="1229" t="s">
        <v>5</v>
      </c>
      <c r="S8" s="1230">
        <f t="shared" si="0"/>
        <v>100</v>
      </c>
      <c r="T8" s="1229" t="s">
        <v>5</v>
      </c>
      <c r="U8" s="1230">
        <f t="shared" si="1"/>
        <v>100</v>
      </c>
      <c r="V8" s="1229" t="s">
        <v>5</v>
      </c>
      <c r="W8" s="1230">
        <f t="shared" si="2"/>
        <v>100</v>
      </c>
      <c r="X8" s="1231"/>
      <c r="Y8" s="4225" t="s">
        <v>482</v>
      </c>
      <c r="Z8" s="4226"/>
      <c r="AA8" s="1232">
        <f t="shared" ref="AA8:AA46" si="3">D8/F8</f>
        <v>1</v>
      </c>
      <c r="AB8" s="1232">
        <f t="shared" ref="AB8:AB46" si="4">D8/H8</f>
        <v>1</v>
      </c>
      <c r="AC8" s="1232">
        <f t="shared" ref="AC8:AC46" si="5">D8/J8</f>
        <v>1</v>
      </c>
    </row>
    <row r="9" spans="1:29" s="981" customFormat="1" ht="15.75" thickBot="1">
      <c r="A9" s="2105"/>
      <c r="B9" s="2112" t="s">
        <v>1947</v>
      </c>
      <c r="C9" s="3887" t="s">
        <v>3264</v>
      </c>
      <c r="D9" s="144">
        <v>100</v>
      </c>
      <c r="E9" s="706" t="s">
        <v>2645</v>
      </c>
      <c r="F9" s="144">
        <f>SUMIF(63:63,E9,64:64)-SUMIF(63:63,C9,64:64)+100</f>
        <v>100</v>
      </c>
      <c r="G9" s="706" t="s">
        <v>2645</v>
      </c>
      <c r="H9" s="144">
        <f>SUMIF(63:63,G9,64:64)-SUMIF(63:63,C9,64:64)+100</f>
        <v>100</v>
      </c>
      <c r="I9" s="706" t="s">
        <v>2645</v>
      </c>
      <c r="J9" s="144">
        <f>SUMIF(63:63,I9,64:64)-SUMIF(63:63,C9,64:64)+100</f>
        <v>100</v>
      </c>
      <c r="K9" s="382"/>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195"/>
      <c r="Q11" s="929" t="str">
        <f t="shared" si="6"/>
        <v>容积率</v>
      </c>
      <c r="R11" s="1229" t="s">
        <v>5</v>
      </c>
      <c r="S11" s="1230">
        <f t="shared" si="0"/>
        <v>100</v>
      </c>
      <c r="T11" s="1229" t="s">
        <v>5</v>
      </c>
      <c r="U11" s="1230">
        <f t="shared" si="1"/>
        <v>100</v>
      </c>
      <c r="V11" s="1229" t="s">
        <v>5</v>
      </c>
      <c r="W11" s="1230">
        <f t="shared" si="2"/>
        <v>100</v>
      </c>
      <c r="X11" s="1231"/>
      <c r="Y11" s="4076"/>
      <c r="Z11" s="928" t="str">
        <f t="shared" si="7"/>
        <v>容积率</v>
      </c>
      <c r="AA11" s="1232">
        <f t="shared" si="3"/>
        <v>1</v>
      </c>
      <c r="AB11" s="1232">
        <f t="shared" si="4"/>
        <v>1</v>
      </c>
      <c r="AC11" s="1232">
        <f t="shared" si="5"/>
        <v>1</v>
      </c>
    </row>
    <row r="12" spans="1:29" s="981" customFormat="1" ht="15" hidden="1">
      <c r="A12" s="2108"/>
      <c r="B12" s="2114">
        <v>111</v>
      </c>
      <c r="C12" s="386"/>
      <c r="D12" s="396">
        <v>100</v>
      </c>
      <c r="E12" s="397"/>
      <c r="F12" s="145">
        <f>SUMIF(70:70,E12,71:71)-SUMIF(70:70,C12,71:71)+100</f>
        <v>100</v>
      </c>
      <c r="G12" s="756"/>
      <c r="H12" s="145">
        <f>SUMIF(70:70,G12,71:71)-SUMIF(70:70,C12,71:71)+100</f>
        <v>100</v>
      </c>
      <c r="I12" s="397"/>
      <c r="J12" s="145">
        <f>SUMIF(70:70,I12,71:71)-SUMIF(70:70,C12,71:71)+100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hidden="1">
      <c r="A13" s="2108"/>
      <c r="B13" s="2114">
        <v>111</v>
      </c>
      <c r="C13" s="397"/>
      <c r="D13" s="398">
        <v>100</v>
      </c>
      <c r="E13" s="397"/>
      <c r="F13" s="145">
        <f>SUMIF(72:72,E13,73:73)-SUMIF(72:72,C13,73:73)+100</f>
        <v>100</v>
      </c>
      <c r="G13" s="756"/>
      <c r="H13" s="398">
        <f>SUMIF(72:72,G13,73:73)-SUMIF(72:72,C13,73:73)+100</f>
        <v>100</v>
      </c>
      <c r="I13" s="397"/>
      <c r="J13" s="398">
        <f>SUMIF(72:72,I13,73:73)-SUMIF(72:72,C13,73:73)+100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hidden="1" thickBot="1">
      <c r="A14" s="2109"/>
      <c r="B14" s="2115">
        <v>111</v>
      </c>
      <c r="C14" s="403"/>
      <c r="D14" s="404">
        <v>100</v>
      </c>
      <c r="E14" s="403"/>
      <c r="F14" s="404">
        <f>SUMIF(74:74,E14,75:75)-SUMIF(74:74,C14,75:75)+100</f>
        <v>100</v>
      </c>
      <c r="G14" s="756"/>
      <c r="H14" s="404">
        <f>SUMIF(74:74,G14,75:75)-SUMIF(74:74,C14,75:75)+100</f>
        <v>100</v>
      </c>
      <c r="I14" s="397"/>
      <c r="J14" s="404">
        <f>SUMIF(74:74,I14,75:75)-SUMIF(74:74,C14,75:75)+100</f>
        <v>100</v>
      </c>
      <c r="K14" s="439"/>
      <c r="L14" s="1662"/>
      <c r="M14" s="1654"/>
      <c r="N14" s="1654"/>
      <c r="O14" s="1661"/>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71.25">
      <c r="A15" s="2101" t="s">
        <v>1945</v>
      </c>
      <c r="B15" s="138" t="s">
        <v>490</v>
      </c>
      <c r="C15" s="711"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2">
        <v>2</v>
      </c>
      <c r="L15" s="1662"/>
      <c r="M15" s="1654"/>
      <c r="N15" s="1654"/>
      <c r="O15" s="1661"/>
      <c r="P15" s="4228" t="s">
        <v>489</v>
      </c>
      <c r="Q15" s="1233" t="str">
        <f t="shared" si="6"/>
        <v>商业繁华度</v>
      </c>
      <c r="R15" s="1234" t="s">
        <v>5</v>
      </c>
      <c r="S15" s="1235">
        <f t="shared" si="0"/>
        <v>100</v>
      </c>
      <c r="T15" s="1234" t="s">
        <v>5</v>
      </c>
      <c r="U15" s="1235">
        <f t="shared" si="1"/>
        <v>100</v>
      </c>
      <c r="V15" s="1234" t="s">
        <v>5</v>
      </c>
      <c r="W15" s="1235">
        <f t="shared" si="2"/>
        <v>100</v>
      </c>
      <c r="X15" s="1228"/>
      <c r="Y15" s="4228" t="s">
        <v>489</v>
      </c>
      <c r="Z15" s="1236" t="str">
        <f t="shared" si="7"/>
        <v>商业繁华度</v>
      </c>
      <c r="AA15" s="1237">
        <f t="shared" si="3"/>
        <v>1</v>
      </c>
      <c r="AB15" s="1237">
        <f t="shared" si="4"/>
        <v>1</v>
      </c>
      <c r="AC15" s="1237">
        <f t="shared" si="5"/>
        <v>1</v>
      </c>
    </row>
    <row r="16" spans="1:29" ht="15">
      <c r="A16" s="390"/>
      <c r="B16" s="713"/>
      <c r="C16" s="434" t="str">
        <f>'基准地价-商业'!C50</f>
        <v>一般</v>
      </c>
      <c r="D16" s="413"/>
      <c r="E16" s="434" t="s">
        <v>3180</v>
      </c>
      <c r="F16" s="415"/>
      <c r="G16" s="434" t="s">
        <v>3180</v>
      </c>
      <c r="H16" s="417"/>
      <c r="I16" s="434" t="s">
        <v>3180</v>
      </c>
      <c r="J16" s="413"/>
      <c r="K16" s="743"/>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2">
        <v>2</v>
      </c>
      <c r="L17" s="1662"/>
      <c r="M17" s="1654"/>
      <c r="N17" s="1654"/>
      <c r="O17" s="1661"/>
      <c r="P17" s="4229"/>
      <c r="Q17" s="1233" t="str">
        <f>B17</f>
        <v>交通便捷度</v>
      </c>
      <c r="R17" s="1234" t="s">
        <v>5</v>
      </c>
      <c r="S17" s="1235">
        <f>F17</f>
        <v>100</v>
      </c>
      <c r="T17" s="1234" t="s">
        <v>5</v>
      </c>
      <c r="U17" s="1235">
        <f>H17</f>
        <v>100</v>
      </c>
      <c r="V17" s="1234" t="s">
        <v>5</v>
      </c>
      <c r="W17" s="1235">
        <f>J17</f>
        <v>100</v>
      </c>
      <c r="X17" s="1228"/>
      <c r="Y17" s="4229"/>
      <c r="Z17" s="1236" t="str">
        <f>Q17</f>
        <v>交通便捷度</v>
      </c>
      <c r="AA17" s="1237">
        <f t="shared" si="3"/>
        <v>1</v>
      </c>
      <c r="AB17" s="1237">
        <f t="shared" si="4"/>
        <v>1</v>
      </c>
      <c r="AC17" s="1237">
        <f t="shared" si="5"/>
        <v>1</v>
      </c>
    </row>
    <row r="18" spans="1:29" ht="15">
      <c r="A18" s="390"/>
      <c r="B18" s="453"/>
      <c r="C18" s="717" t="str">
        <f>'基准地价-商业'!C51</f>
        <v>较好</v>
      </c>
      <c r="D18" s="417"/>
      <c r="E18" s="426" t="s">
        <v>3179</v>
      </c>
      <c r="F18" s="421"/>
      <c r="G18" s="426" t="s">
        <v>3179</v>
      </c>
      <c r="H18" s="413"/>
      <c r="I18" s="426" t="s">
        <v>3179</v>
      </c>
      <c r="J18" s="413"/>
      <c r="K18" s="743"/>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2">
        <v>2</v>
      </c>
      <c r="L19" s="1662"/>
      <c r="M19" s="1654"/>
      <c r="N19" s="1654"/>
      <c r="O19" s="1661"/>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53"/>
      <c r="C20" s="434" t="str">
        <f>'基准地价-商业'!C56</f>
        <v>一般</v>
      </c>
      <c r="D20" s="413"/>
      <c r="E20" s="414" t="s">
        <v>3180</v>
      </c>
      <c r="F20" s="415"/>
      <c r="G20" s="414" t="s">
        <v>3180</v>
      </c>
      <c r="H20" s="413"/>
      <c r="I20" s="414" t="s">
        <v>3180</v>
      </c>
      <c r="J20" s="413"/>
      <c r="K20" s="743"/>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2">
        <v>1</v>
      </c>
      <c r="L21" s="1662"/>
      <c r="M21" s="1654"/>
      <c r="N21" s="1654"/>
      <c r="O21" s="1661"/>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766"/>
      <c r="C22" s="717" t="s">
        <v>3266</v>
      </c>
      <c r="D22" s="413"/>
      <c r="E22" s="717" t="s">
        <v>3266</v>
      </c>
      <c r="F22" s="415"/>
      <c r="G22" s="717" t="s">
        <v>3266</v>
      </c>
      <c r="H22" s="413"/>
      <c r="I22" s="717" t="s">
        <v>3266</v>
      </c>
      <c r="J22" s="413"/>
      <c r="K22" s="1975"/>
      <c r="L22" s="1662"/>
      <c r="M22" s="1654"/>
      <c r="N22" s="1654"/>
      <c r="O22" s="1661"/>
      <c r="P22" s="4229"/>
      <c r="Q22" s="1958"/>
      <c r="R22" s="1234"/>
      <c r="S22" s="1235"/>
      <c r="T22" s="1234"/>
      <c r="U22" s="1235"/>
      <c r="V22" s="1234"/>
      <c r="W22" s="1235"/>
      <c r="X22" s="1960"/>
      <c r="Y22" s="4229"/>
      <c r="Z22" s="1959"/>
      <c r="AA22" s="1237">
        <v>1</v>
      </c>
      <c r="AB22" s="1237">
        <v>1</v>
      </c>
      <c r="AC22" s="1237">
        <v>1</v>
      </c>
    </row>
    <row r="23" spans="1:29" ht="57">
      <c r="A23" s="390"/>
      <c r="B23" s="715" t="s">
        <v>263</v>
      </c>
      <c r="C23" s="744"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2">
        <v>2</v>
      </c>
      <c r="L23" s="1662"/>
      <c r="M23" s="1654"/>
      <c r="N23" s="1654"/>
      <c r="O23" s="1661"/>
      <c r="P23" s="4229"/>
      <c r="Q23" s="1233" t="str">
        <f>B23</f>
        <v>自然及人文环境</v>
      </c>
      <c r="R23" s="1234" t="s">
        <v>5</v>
      </c>
      <c r="S23" s="1235">
        <f>F23</f>
        <v>100</v>
      </c>
      <c r="T23" s="1234" t="s">
        <v>5</v>
      </c>
      <c r="U23" s="1235">
        <f>H23</f>
        <v>100</v>
      </c>
      <c r="V23" s="1234" t="s">
        <v>5</v>
      </c>
      <c r="W23" s="1235">
        <f>J23</f>
        <v>100</v>
      </c>
      <c r="X23" s="1228"/>
      <c r="Y23" s="4229"/>
      <c r="Z23" s="1236" t="str">
        <f>Q23</f>
        <v>自然及人文环境</v>
      </c>
      <c r="AA23" s="1237">
        <f t="shared" si="3"/>
        <v>1</v>
      </c>
      <c r="AB23" s="1237">
        <f t="shared" si="4"/>
        <v>1</v>
      </c>
      <c r="AC23" s="1237">
        <f t="shared" si="5"/>
        <v>1</v>
      </c>
    </row>
    <row r="24" spans="1:29" ht="15">
      <c r="A24" s="390"/>
      <c r="B24" s="453"/>
      <c r="C24" s="434" t="str">
        <f>'基准地价-商业'!C58</f>
        <v>一般</v>
      </c>
      <c r="D24" s="413"/>
      <c r="E24" s="434" t="s">
        <v>3180</v>
      </c>
      <c r="F24" s="415"/>
      <c r="G24" s="434" t="s">
        <v>3180</v>
      </c>
      <c r="H24" s="413"/>
      <c r="I24" s="414" t="s">
        <v>3180</v>
      </c>
      <c r="J24" s="413"/>
      <c r="K24" s="743"/>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90"/>
      <c r="B25" s="385" t="s">
        <v>496</v>
      </c>
      <c r="C25" s="441" t="s">
        <v>3270</v>
      </c>
      <c r="D25" s="398">
        <v>100</v>
      </c>
      <c r="E25" s="441" t="s">
        <v>3270</v>
      </c>
      <c r="F25" s="433">
        <f>SUMIF(86:86,E25,87:87)-SUMIF(86:86,C25,87:87)+100</f>
        <v>100</v>
      </c>
      <c r="G25" s="441" t="s">
        <v>3270</v>
      </c>
      <c r="H25" s="398">
        <f>SUMIF(86:86,G25,87:87)-SUMIF(86:86,C25,87:87)+100</f>
        <v>100</v>
      </c>
      <c r="I25" s="441" t="s">
        <v>3270</v>
      </c>
      <c r="J25" s="398">
        <f>SUMIF(86:86,I25,87:87)-SUMIF(86:86,C25,87:87)+100</f>
        <v>100</v>
      </c>
      <c r="K25" s="442">
        <v>2</v>
      </c>
      <c r="L25" s="1662"/>
      <c r="M25" s="1654"/>
      <c r="N25" s="1654"/>
      <c r="O25" s="1661"/>
      <c r="P25" s="4229"/>
      <c r="Q25" s="1233" t="str">
        <f t="shared" ref="Q25:Q46" si="8">B25</f>
        <v>临街状况</v>
      </c>
      <c r="R25" s="1234" t="s">
        <v>5</v>
      </c>
      <c r="S25" s="1235">
        <f>F25</f>
        <v>100</v>
      </c>
      <c r="T25" s="1234" t="s">
        <v>5</v>
      </c>
      <c r="U25" s="1235">
        <f>H25</f>
        <v>100</v>
      </c>
      <c r="V25" s="1234" t="s">
        <v>5</v>
      </c>
      <c r="W25" s="1235">
        <f>J25</f>
        <v>100</v>
      </c>
      <c r="X25" s="1228"/>
      <c r="Y25" s="4229"/>
      <c r="Z25" s="1236" t="str">
        <f>Q25</f>
        <v>临街状况</v>
      </c>
      <c r="AA25" s="1237">
        <f t="shared" si="3"/>
        <v>1</v>
      </c>
      <c r="AB25" s="1237">
        <f t="shared" si="4"/>
        <v>1</v>
      </c>
      <c r="AC25" s="1237">
        <f t="shared" si="5"/>
        <v>1</v>
      </c>
    </row>
    <row r="26" spans="1:29" ht="15">
      <c r="A26" s="390"/>
      <c r="B26" s="721" t="s">
        <v>698</v>
      </c>
      <c r="C26" s="3892" t="s">
        <v>3275</v>
      </c>
      <c r="D26" s="398">
        <v>100</v>
      </c>
      <c r="E26" s="3892" t="s">
        <v>3275</v>
      </c>
      <c r="F26" s="433">
        <f>SUMIF(88:88,E26,89:89)-SUMIF(88:88,C26,89:89)+100</f>
        <v>100</v>
      </c>
      <c r="G26" s="3892" t="s">
        <v>3275</v>
      </c>
      <c r="H26" s="398">
        <f>SUMIF(88:88,G26,89:89)-SUMIF(88:88,C26,89:89)+100</f>
        <v>100</v>
      </c>
      <c r="I26" s="3892" t="s">
        <v>3275</v>
      </c>
      <c r="J26" s="398">
        <f>SUMIF(88:88,I26,89:89)-SUMIF(88:88,C26,89:89)+100</f>
        <v>100</v>
      </c>
      <c r="K26" s="439"/>
      <c r="L26" s="1662"/>
      <c r="M26" s="1654"/>
      <c r="N26" s="1654"/>
      <c r="O26" s="1661"/>
      <c r="P26" s="4229"/>
      <c r="Q26" s="1233" t="str">
        <f t="shared" si="8"/>
        <v>平面位置/可视性</v>
      </c>
      <c r="R26" s="1234" t="s">
        <v>5</v>
      </c>
      <c r="S26" s="1235">
        <f>F26</f>
        <v>100</v>
      </c>
      <c r="T26" s="1234" t="s">
        <v>5</v>
      </c>
      <c r="U26" s="1235">
        <f>H26</f>
        <v>100</v>
      </c>
      <c r="V26" s="1234" t="s">
        <v>5</v>
      </c>
      <c r="W26" s="1235">
        <f>J26</f>
        <v>100</v>
      </c>
      <c r="X26" s="1228"/>
      <c r="Y26" s="4229"/>
      <c r="Z26" s="1236" t="str">
        <f>Q26</f>
        <v>平面位置/可视性</v>
      </c>
      <c r="AA26" s="1237">
        <f t="shared" si="3"/>
        <v>1</v>
      </c>
      <c r="AB26" s="1237">
        <f t="shared" si="4"/>
        <v>1</v>
      </c>
      <c r="AC26" s="1237">
        <f t="shared" si="5"/>
        <v>1</v>
      </c>
    </row>
    <row r="27" spans="1:29" s="981" customFormat="1" ht="15">
      <c r="A27" s="394"/>
      <c r="B27" s="715" t="s">
        <v>699</v>
      </c>
      <c r="C27" s="745" t="s">
        <v>3180</v>
      </c>
      <c r="D27" s="719">
        <v>100</v>
      </c>
      <c r="E27" s="745" t="s">
        <v>3180</v>
      </c>
      <c r="F27" s="720">
        <f>SUMIF(90:90,E27,91:91)-SUMIF(90:90,C27,91:91)+100</f>
        <v>100</v>
      </c>
      <c r="G27" s="745" t="s">
        <v>3180</v>
      </c>
      <c r="H27" s="719">
        <f>SUMIF(90:90,G27,91:91)-SUMIF(90:90,C27,91:91)+100</f>
        <v>100</v>
      </c>
      <c r="I27" s="745" t="s">
        <v>3180</v>
      </c>
      <c r="J27" s="719">
        <f>SUMIF(90:90,I27,91:91)-SUMIF(90:90,C27,91:91)+100</f>
        <v>100</v>
      </c>
      <c r="K27" s="442">
        <v>2</v>
      </c>
      <c r="L27" s="1655"/>
      <c r="M27" s="1656"/>
      <c r="N27" s="1656"/>
      <c r="O27" s="1657"/>
      <c r="P27" s="4229"/>
      <c r="Q27" s="929" t="str">
        <f t="shared" si="8"/>
        <v>人流量</v>
      </c>
      <c r="R27" s="1229" t="s">
        <v>5</v>
      </c>
      <c r="S27" s="1230">
        <f>F27</f>
        <v>100</v>
      </c>
      <c r="T27" s="1229" t="s">
        <v>5</v>
      </c>
      <c r="U27" s="1230">
        <f>H27</f>
        <v>100</v>
      </c>
      <c r="V27" s="1229" t="s">
        <v>5</v>
      </c>
      <c r="W27" s="1230">
        <f>J27</f>
        <v>100</v>
      </c>
      <c r="X27" s="1231"/>
      <c r="Y27" s="4229"/>
      <c r="Z27" s="928" t="str">
        <f>Q27</f>
        <v>人流量</v>
      </c>
      <c r="AA27" s="1237">
        <f>D27/F27</f>
        <v>1</v>
      </c>
      <c r="AB27" s="1237">
        <f>D27/H27</f>
        <v>1</v>
      </c>
      <c r="AC27" s="1237">
        <f>D27/J27</f>
        <v>1</v>
      </c>
    </row>
    <row r="28" spans="1:29" ht="15">
      <c r="A28" s="390"/>
      <c r="B28" s="385" t="s">
        <v>701</v>
      </c>
      <c r="C28" s="441" t="s">
        <v>3299</v>
      </c>
      <c r="D28" s="398">
        <v>100</v>
      </c>
      <c r="E28" s="441" t="s">
        <v>3299</v>
      </c>
      <c r="F28" s="433">
        <f>SUMIF(92:92,E28,93:93)-SUMIF(92:92,C28,93:93)+100</f>
        <v>100</v>
      </c>
      <c r="G28" s="441" t="s">
        <v>3299</v>
      </c>
      <c r="H28" s="398">
        <f>SUMIF(92:92,G28,93:93)-SUMIF(92:92,C28,93:93)+100</f>
        <v>100</v>
      </c>
      <c r="I28" s="441" t="s">
        <v>3299</v>
      </c>
      <c r="J28" s="398">
        <f>SUMIF(92:92,I28,93:93)-SUMIF(92:92,C28,93:93)+100</f>
        <v>100</v>
      </c>
      <c r="K28" s="439"/>
      <c r="L28" s="1662"/>
      <c r="M28" s="1654"/>
      <c r="N28" s="1654"/>
      <c r="O28" s="1661"/>
      <c r="P28" s="4229"/>
      <c r="Q28" s="1233" t="str">
        <f t="shared" si="8"/>
        <v>楼层</v>
      </c>
      <c r="R28" s="1234" t="s">
        <v>5</v>
      </c>
      <c r="S28" s="1235">
        <f t="shared" ref="S28:S46" si="9">F28</f>
        <v>100</v>
      </c>
      <c r="T28" s="1234" t="s">
        <v>5</v>
      </c>
      <c r="U28" s="1235">
        <f t="shared" ref="U28:U46" si="10">H28</f>
        <v>100</v>
      </c>
      <c r="V28" s="1234" t="s">
        <v>5</v>
      </c>
      <c r="W28" s="1235">
        <f t="shared" ref="W28:W46" si="11">J28</f>
        <v>100</v>
      </c>
      <c r="X28" s="1228"/>
      <c r="Y28" s="4229"/>
      <c r="Z28" s="1236" t="str">
        <f t="shared" ref="Z28:Z46" si="12">Q28</f>
        <v>楼层</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229"/>
      <c r="Q29" s="1233">
        <f t="shared" si="8"/>
        <v>111</v>
      </c>
      <c r="R29" s="1234" t="s">
        <v>5</v>
      </c>
      <c r="S29" s="1235">
        <f t="shared" si="9"/>
        <v>100</v>
      </c>
      <c r="T29" s="1234" t="s">
        <v>5</v>
      </c>
      <c r="U29" s="1235">
        <f t="shared" si="10"/>
        <v>100</v>
      </c>
      <c r="V29" s="1234" t="s">
        <v>5</v>
      </c>
      <c r="W29" s="1235">
        <f t="shared" si="11"/>
        <v>100</v>
      </c>
      <c r="X29" s="1228"/>
      <c r="Y29" s="4229"/>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229"/>
      <c r="Q30" s="1233">
        <f t="shared" si="8"/>
        <v>111</v>
      </c>
      <c r="R30" s="1234" t="s">
        <v>5</v>
      </c>
      <c r="S30" s="1235">
        <f t="shared" si="9"/>
        <v>100</v>
      </c>
      <c r="T30" s="1234" t="s">
        <v>5</v>
      </c>
      <c r="U30" s="1235">
        <f t="shared" si="10"/>
        <v>100</v>
      </c>
      <c r="V30" s="1234" t="s">
        <v>5</v>
      </c>
      <c r="W30" s="1235">
        <f t="shared" si="11"/>
        <v>100</v>
      </c>
      <c r="X30" s="1228"/>
      <c r="Y30" s="4229"/>
      <c r="Z30" s="1236">
        <f t="shared" si="12"/>
        <v>111</v>
      </c>
      <c r="AA30" s="1237">
        <f t="shared" si="3"/>
        <v>1</v>
      </c>
      <c r="AB30" s="1237">
        <f t="shared" si="4"/>
        <v>1</v>
      </c>
      <c r="AC30" s="1237">
        <f t="shared" si="5"/>
        <v>1</v>
      </c>
    </row>
    <row r="31" spans="1:29" ht="15.75" thickBot="1">
      <c r="A31" s="401"/>
      <c r="B31" s="721">
        <v>111</v>
      </c>
      <c r="C31" s="403"/>
      <c r="D31" s="404">
        <v>100</v>
      </c>
      <c r="E31" s="397"/>
      <c r="F31" s="710">
        <f>SUMIF(98:98,E31,99:99)-SUMIF(98:98,C31,99:99)+100</f>
        <v>100</v>
      </c>
      <c r="G31" s="397"/>
      <c r="H31" s="404">
        <f>SUMIF(98:98,G31,99:99)-SUMIF(98:98,C31,99:99)+100</f>
        <v>100</v>
      </c>
      <c r="I31" s="397"/>
      <c r="J31" s="404">
        <f>SUMIF(98:98,I31,99:99)-SUMIF(98:98,C31,99:99)+100</f>
        <v>100</v>
      </c>
      <c r="K31" s="439"/>
      <c r="L31" s="1662"/>
      <c r="M31" s="1654"/>
      <c r="N31" s="1654"/>
      <c r="O31" s="1661"/>
      <c r="P31" s="4229"/>
      <c r="Q31" s="1233">
        <f t="shared" si="8"/>
        <v>111</v>
      </c>
      <c r="R31" s="1234" t="s">
        <v>5</v>
      </c>
      <c r="S31" s="1235">
        <f t="shared" si="9"/>
        <v>100</v>
      </c>
      <c r="T31" s="1234" t="s">
        <v>5</v>
      </c>
      <c r="U31" s="1235">
        <f t="shared" si="10"/>
        <v>100</v>
      </c>
      <c r="V31" s="1234" t="s">
        <v>5</v>
      </c>
      <c r="W31" s="1235">
        <f t="shared" si="11"/>
        <v>100</v>
      </c>
      <c r="X31" s="1228"/>
      <c r="Y31" s="4229"/>
      <c r="Z31" s="1236">
        <f t="shared" si="12"/>
        <v>111</v>
      </c>
      <c r="AA31" s="1237">
        <f t="shared" si="3"/>
        <v>1</v>
      </c>
      <c r="AB31" s="1237">
        <f t="shared" si="4"/>
        <v>1</v>
      </c>
      <c r="AC31" s="1237">
        <f t="shared" si="5"/>
        <v>1</v>
      </c>
    </row>
    <row r="32" spans="1:29" ht="15">
      <c r="A32" s="2098" t="s">
        <v>1946</v>
      </c>
      <c r="B32" s="140" t="s">
        <v>702</v>
      </c>
      <c r="C32" s="722" t="s">
        <v>3290</v>
      </c>
      <c r="D32" s="455">
        <v>100</v>
      </c>
      <c r="E32" s="722" t="s">
        <v>3290</v>
      </c>
      <c r="F32" s="433">
        <f>SUMIF(100:100,E32,101:101)-SUMIF(100:100,C32,101:101)+100</f>
        <v>100</v>
      </c>
      <c r="G32" s="722" t="s">
        <v>3292</v>
      </c>
      <c r="H32" s="398">
        <f>SUMIF(100:100,G32,101:101)-SUMIF(100:100,C32,101:101)+100</f>
        <v>97</v>
      </c>
      <c r="I32" s="722" t="s">
        <v>3292</v>
      </c>
      <c r="J32" s="455">
        <f>SUMIF(100:100,I32,101:101)-SUMIF(100:100,C32,101:101)+100</f>
        <v>97</v>
      </c>
      <c r="K32" s="442">
        <v>3</v>
      </c>
      <c r="L32" s="1662"/>
      <c r="M32" s="1654"/>
      <c r="N32" s="1654"/>
      <c r="O32" s="1661"/>
      <c r="P32" s="4230" t="s">
        <v>499</v>
      </c>
      <c r="Q32" s="1233" t="str">
        <f t="shared" si="8"/>
        <v>商业类型</v>
      </c>
      <c r="R32" s="1234" t="s">
        <v>5</v>
      </c>
      <c r="S32" s="1235">
        <f t="shared" si="9"/>
        <v>100</v>
      </c>
      <c r="T32" s="1234" t="s">
        <v>5</v>
      </c>
      <c r="U32" s="1235">
        <f t="shared" si="10"/>
        <v>97</v>
      </c>
      <c r="V32" s="1234" t="s">
        <v>5</v>
      </c>
      <c r="W32" s="1235">
        <f t="shared" si="11"/>
        <v>97</v>
      </c>
      <c r="X32" s="1228"/>
      <c r="Y32" s="4231" t="s">
        <v>499</v>
      </c>
      <c r="Z32" s="1236" t="str">
        <f t="shared" si="12"/>
        <v>商业类型</v>
      </c>
      <c r="AA32" s="1237">
        <f t="shared" si="3"/>
        <v>1</v>
      </c>
      <c r="AB32" s="1237">
        <f t="shared" si="4"/>
        <v>1.0309278350515463</v>
      </c>
      <c r="AC32" s="1237">
        <f t="shared" si="5"/>
        <v>1.0309278350515463</v>
      </c>
    </row>
    <row r="33" spans="1:29" s="1063" customFormat="1" ht="15">
      <c r="A33" s="461"/>
      <c r="B33" s="385" t="s">
        <v>673</v>
      </c>
      <c r="C33" s="724">
        <f>'数据-汇总表'!E20</f>
        <v>0</v>
      </c>
      <c r="D33" s="145">
        <v>100</v>
      </c>
      <c r="E33" s="392">
        <v>513</v>
      </c>
      <c r="F33" s="707">
        <f>LOOKUP(E33,103:103,104:104)-LOOKUP(C33,103:103,104:104)+100</f>
        <v>96</v>
      </c>
      <c r="G33" s="391">
        <v>870</v>
      </c>
      <c r="H33" s="145">
        <f>LOOKUP(G33,103:103,104:104)-LOOKUP(C33,103:103,104:104)+100</f>
        <v>96</v>
      </c>
      <c r="I33" s="391">
        <v>579</v>
      </c>
      <c r="J33" s="145">
        <f>LOOKUP(I33,103:103,104:104)-LOOKUP(C33,103:103,104:104)+100</f>
        <v>96</v>
      </c>
      <c r="K33" s="439"/>
      <c r="L33" s="1660"/>
      <c r="M33" s="1690"/>
      <c r="N33" s="1690"/>
      <c r="O33" s="1663"/>
      <c r="P33" s="4231"/>
      <c r="Q33" s="1260" t="str">
        <f t="shared" si="8"/>
        <v>项目建筑规模</v>
      </c>
      <c r="R33" s="1238" t="s">
        <v>5</v>
      </c>
      <c r="S33" s="1239">
        <f t="shared" si="9"/>
        <v>96</v>
      </c>
      <c r="T33" s="1238" t="s">
        <v>5</v>
      </c>
      <c r="U33" s="1239">
        <f t="shared" si="10"/>
        <v>96</v>
      </c>
      <c r="V33" s="1238" t="s">
        <v>5</v>
      </c>
      <c r="W33" s="1239">
        <f t="shared" si="11"/>
        <v>96</v>
      </c>
      <c r="X33" s="1240"/>
      <c r="Y33" s="4231"/>
      <c r="Z33" s="1241" t="str">
        <f t="shared" si="12"/>
        <v>项目建筑规模</v>
      </c>
      <c r="AA33" s="1237">
        <f t="shared" si="3"/>
        <v>1.0416666666666667</v>
      </c>
      <c r="AB33" s="1237">
        <f t="shared" si="4"/>
        <v>1.0416666666666667</v>
      </c>
      <c r="AC33" s="1237">
        <f t="shared" si="5"/>
        <v>1.0416666666666667</v>
      </c>
    </row>
    <row r="34" spans="1:29" ht="15">
      <c r="A34" s="452"/>
      <c r="B34" s="385" t="s">
        <v>674</v>
      </c>
      <c r="C34" s="725" t="s">
        <v>3187</v>
      </c>
      <c r="D34" s="398">
        <v>100</v>
      </c>
      <c r="E34" s="725" t="s">
        <v>3187</v>
      </c>
      <c r="F34" s="433">
        <f>SUMIF(105:105,E34,106:106)-SUMIF(105:105,C34,106:106)+100</f>
        <v>100</v>
      </c>
      <c r="G34" s="725" t="s">
        <v>3187</v>
      </c>
      <c r="H34" s="398">
        <f>SUMIF(105:105,G34,106:106)-SUMIF(105:105,C34,106:106)+100</f>
        <v>100</v>
      </c>
      <c r="I34" s="725" t="s">
        <v>3187</v>
      </c>
      <c r="J34" s="398">
        <f>SUMIF(105:105,I34,106:106)-SUMIF(105:105,C34,106:106)+100</f>
        <v>100</v>
      </c>
      <c r="K34" s="442">
        <v>2</v>
      </c>
      <c r="L34" s="1662"/>
      <c r="M34" s="1654"/>
      <c r="N34" s="1654"/>
      <c r="O34" s="1661"/>
      <c r="P34" s="4231"/>
      <c r="Q34" s="1233" t="str">
        <f t="shared" si="8"/>
        <v>建筑结构</v>
      </c>
      <c r="R34" s="1234" t="s">
        <v>5</v>
      </c>
      <c r="S34" s="1235">
        <f t="shared" si="9"/>
        <v>100</v>
      </c>
      <c r="T34" s="1234" t="s">
        <v>5</v>
      </c>
      <c r="U34" s="1235">
        <f t="shared" si="10"/>
        <v>100</v>
      </c>
      <c r="V34" s="1234" t="s">
        <v>5</v>
      </c>
      <c r="W34" s="1235">
        <f t="shared" si="11"/>
        <v>100</v>
      </c>
      <c r="X34" s="1228"/>
      <c r="Y34" s="4231"/>
      <c r="Z34" s="1236" t="str">
        <f t="shared" si="12"/>
        <v>建筑结构</v>
      </c>
      <c r="AA34" s="1237">
        <f t="shared" si="3"/>
        <v>1</v>
      </c>
      <c r="AB34" s="1237">
        <f t="shared" si="4"/>
        <v>1</v>
      </c>
      <c r="AC34" s="1237">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231"/>
      <c r="Q35" s="1233" t="str">
        <f t="shared" si="8"/>
        <v>公共部分装修</v>
      </c>
      <c r="R35" s="1234" t="s">
        <v>5</v>
      </c>
      <c r="S35" s="1235">
        <f t="shared" si="9"/>
        <v>100</v>
      </c>
      <c r="T35" s="1234" t="s">
        <v>5</v>
      </c>
      <c r="U35" s="1235">
        <f t="shared" si="10"/>
        <v>100</v>
      </c>
      <c r="V35" s="1234" t="s">
        <v>5</v>
      </c>
      <c r="W35" s="1235">
        <f t="shared" si="11"/>
        <v>100</v>
      </c>
      <c r="X35" s="1228"/>
      <c r="Y35" s="4231"/>
      <c r="Z35" s="1236" t="str">
        <f t="shared" si="12"/>
        <v>公共部分装修</v>
      </c>
      <c r="AA35" s="1237">
        <f t="shared" si="3"/>
        <v>1</v>
      </c>
      <c r="AB35" s="1237">
        <f t="shared" si="4"/>
        <v>1</v>
      </c>
      <c r="AC35" s="1237">
        <f t="shared" si="5"/>
        <v>1</v>
      </c>
    </row>
    <row r="36" spans="1:29" ht="15">
      <c r="A36" s="452"/>
      <c r="B36" s="385" t="s">
        <v>704</v>
      </c>
      <c r="C36" s="727">
        <v>1</v>
      </c>
      <c r="D36" s="398">
        <v>100</v>
      </c>
      <c r="E36" s="727">
        <v>0.85</v>
      </c>
      <c r="F36" s="433">
        <f>LOOKUP(E36,110:110,111:111)-LOOKUP(C36,110:110,111:111)+100</f>
        <v>99</v>
      </c>
      <c r="G36" s="727">
        <v>0.85</v>
      </c>
      <c r="H36" s="433">
        <f>LOOKUP(G36,110:110,111:111)-LOOKUP(C36,110:110,111:111)+100</f>
        <v>99</v>
      </c>
      <c r="I36" s="727">
        <v>0.85</v>
      </c>
      <c r="J36" s="398">
        <f>LOOKUP(I36,110:110,111:111)-LOOKUP(C36,110:110,111:111)+100</f>
        <v>99</v>
      </c>
      <c r="K36" s="442">
        <v>1</v>
      </c>
      <c r="L36" s="1662"/>
      <c r="M36" s="1654"/>
      <c r="N36" s="1654"/>
      <c r="O36" s="1661"/>
      <c r="P36" s="4231"/>
      <c r="Q36" s="1233" t="str">
        <f t="shared" si="8"/>
        <v>成新度</v>
      </c>
      <c r="R36" s="1234" t="s">
        <v>5</v>
      </c>
      <c r="S36" s="1235">
        <f t="shared" si="9"/>
        <v>99</v>
      </c>
      <c r="T36" s="1234" t="s">
        <v>5</v>
      </c>
      <c r="U36" s="1235">
        <f t="shared" si="10"/>
        <v>99</v>
      </c>
      <c r="V36" s="1234" t="s">
        <v>5</v>
      </c>
      <c r="W36" s="1235">
        <f t="shared" si="11"/>
        <v>99</v>
      </c>
      <c r="X36" s="1228"/>
      <c r="Y36" s="4231"/>
      <c r="Z36" s="1236" t="str">
        <f t="shared" si="12"/>
        <v>成新度</v>
      </c>
      <c r="AA36" s="1237">
        <f t="shared" si="3"/>
        <v>1.0101010101010102</v>
      </c>
      <c r="AB36" s="1237">
        <f t="shared" si="4"/>
        <v>1.0101010101010102</v>
      </c>
      <c r="AC36" s="1237">
        <f t="shared" si="5"/>
        <v>1.0101010101010102</v>
      </c>
    </row>
    <row r="37" spans="1:29" s="981" customFormat="1" ht="15">
      <c r="A37" s="458"/>
      <c r="B37" s="1479" t="s">
        <v>1757</v>
      </c>
      <c r="C37" s="457" t="s">
        <v>3265</v>
      </c>
      <c r="D37" s="145">
        <v>100</v>
      </c>
      <c r="E37" s="457" t="s">
        <v>3265</v>
      </c>
      <c r="F37" s="433">
        <f>SUMIF(112:112,E37,113:113)-SUMIF(112:112,C37,113:113)+100</f>
        <v>100</v>
      </c>
      <c r="G37" s="457" t="s">
        <v>3265</v>
      </c>
      <c r="H37" s="398">
        <f>SUMIF(112:112,G37,113:113)-SUMIF(112:112,C37,113:113)+100</f>
        <v>100</v>
      </c>
      <c r="I37" s="457" t="s">
        <v>3265</v>
      </c>
      <c r="J37" s="398">
        <f>SUMIF(112:112,I37,113:113)-SUMIF(112:112,C37,113:113)+100</f>
        <v>100</v>
      </c>
      <c r="K37" s="442">
        <v>1</v>
      </c>
      <c r="L37" s="1655"/>
      <c r="M37" s="1656"/>
      <c r="N37" s="1656"/>
      <c r="O37" s="1657"/>
      <c r="P37" s="4231"/>
      <c r="Q37" s="929" t="str">
        <f t="shared" si="8"/>
        <v>市政基础设施</v>
      </c>
      <c r="R37" s="1229" t="s">
        <v>5</v>
      </c>
      <c r="S37" s="1230">
        <f t="shared" si="9"/>
        <v>100</v>
      </c>
      <c r="T37" s="1229" t="s">
        <v>5</v>
      </c>
      <c r="U37" s="1230">
        <f t="shared" si="10"/>
        <v>100</v>
      </c>
      <c r="V37" s="1229" t="s">
        <v>5</v>
      </c>
      <c r="W37" s="1230">
        <f t="shared" si="11"/>
        <v>100</v>
      </c>
      <c r="X37" s="1231"/>
      <c r="Y37" s="4231"/>
      <c r="Z37" s="928" t="str">
        <f t="shared" si="12"/>
        <v>市政基础设施</v>
      </c>
      <c r="AA37" s="1232">
        <f t="shared" si="3"/>
        <v>1</v>
      </c>
      <c r="AB37" s="1232">
        <f t="shared" si="4"/>
        <v>1</v>
      </c>
      <c r="AC37" s="1232">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231" t="s">
        <v>706</v>
      </c>
      <c r="Q38" s="1233" t="str">
        <f t="shared" si="8"/>
        <v>业态</v>
      </c>
      <c r="R38" s="1234" t="s">
        <v>5</v>
      </c>
      <c r="S38" s="1235">
        <f t="shared" si="9"/>
        <v>100</v>
      </c>
      <c r="T38" s="1234" t="s">
        <v>5</v>
      </c>
      <c r="U38" s="1235">
        <f t="shared" si="10"/>
        <v>100</v>
      </c>
      <c r="V38" s="1234" t="s">
        <v>5</v>
      </c>
      <c r="W38" s="1235">
        <f t="shared" si="11"/>
        <v>100</v>
      </c>
      <c r="X38" s="1228"/>
      <c r="Y38" s="4231" t="s">
        <v>706</v>
      </c>
      <c r="Z38" s="1236" t="str">
        <f t="shared" si="12"/>
        <v>业态</v>
      </c>
      <c r="AA38" s="1237">
        <f t="shared" si="3"/>
        <v>1</v>
      </c>
      <c r="AB38" s="1237">
        <f t="shared" si="4"/>
        <v>1</v>
      </c>
      <c r="AC38" s="1237">
        <f t="shared" si="5"/>
        <v>1</v>
      </c>
    </row>
    <row r="39" spans="1:29" ht="15.75" thickBot="1">
      <c r="A39" s="452"/>
      <c r="B39" s="385" t="s">
        <v>707</v>
      </c>
      <c r="C39" s="457" t="s">
        <v>3288</v>
      </c>
      <c r="D39" s="398">
        <v>100</v>
      </c>
      <c r="E39" s="457" t="s">
        <v>3288</v>
      </c>
      <c r="F39" s="433">
        <f>SUMIF(116:116,E39,117:117)-SUMIF(116:116,C39,117:117)+100</f>
        <v>100</v>
      </c>
      <c r="G39" s="457" t="s">
        <v>3288</v>
      </c>
      <c r="H39" s="398">
        <f>SUMIF(116:116,G39,117:117)-SUMIF(116:116,C39,117:117)+100</f>
        <v>100</v>
      </c>
      <c r="I39" s="457" t="s">
        <v>3288</v>
      </c>
      <c r="J39" s="398">
        <f>SUMIF(116:116,I39,117:117)-SUMIF(116:116,C39,117:117)+100</f>
        <v>100</v>
      </c>
      <c r="K39" s="442">
        <v>3</v>
      </c>
      <c r="L39" s="1662"/>
      <c r="M39" s="1654"/>
      <c r="N39" s="1654"/>
      <c r="O39" s="1661"/>
      <c r="P39" s="4231"/>
      <c r="Q39" s="1233" t="str">
        <f t="shared" si="8"/>
        <v>层高</v>
      </c>
      <c r="R39" s="1234" t="s">
        <v>5</v>
      </c>
      <c r="S39" s="1235">
        <f t="shared" si="9"/>
        <v>100</v>
      </c>
      <c r="T39" s="1234" t="s">
        <v>5</v>
      </c>
      <c r="U39" s="1235">
        <f t="shared" si="10"/>
        <v>100</v>
      </c>
      <c r="V39" s="1234" t="s">
        <v>5</v>
      </c>
      <c r="W39" s="1235">
        <f t="shared" si="11"/>
        <v>100</v>
      </c>
      <c r="X39" s="1228"/>
      <c r="Y39" s="4231"/>
      <c r="Z39" s="1236" t="str">
        <f t="shared" si="12"/>
        <v>层高</v>
      </c>
      <c r="AA39" s="1237">
        <f t="shared" si="3"/>
        <v>1</v>
      </c>
      <c r="AB39" s="1237">
        <f t="shared" si="4"/>
        <v>1</v>
      </c>
      <c r="AC39" s="1237">
        <f t="shared" si="5"/>
        <v>1</v>
      </c>
    </row>
    <row r="40" spans="1:29" ht="15" hidden="1">
      <c r="A40" s="452"/>
      <c r="B40" s="385" t="s">
        <v>708</v>
      </c>
      <c r="C40" s="746"/>
      <c r="D40" s="398">
        <v>100</v>
      </c>
      <c r="E40" s="747"/>
      <c r="F40" s="433">
        <f>SUMIF(118:118,E40,119:119)-SUMIF(118:118,C40,119:119)+100</f>
        <v>100</v>
      </c>
      <c r="G40" s="747"/>
      <c r="H40" s="398">
        <f>SUMIF(118:118,G40,119:119)-SUMIF(118:118,C40,119:119)+100</f>
        <v>100</v>
      </c>
      <c r="I40" s="747"/>
      <c r="J40" s="398">
        <f>SUMIF(118:118,I40,119:119)-SUMIF(118:118,C40,119:119)+100</f>
        <v>100</v>
      </c>
      <c r="K40" s="439"/>
      <c r="L40" s="1662"/>
      <c r="M40" s="1654"/>
      <c r="N40" s="1654"/>
      <c r="O40" s="1661"/>
      <c r="P40" s="4231"/>
      <c r="Q40" s="1233" t="str">
        <f t="shared" si="8"/>
        <v>单套建筑面积</v>
      </c>
      <c r="R40" s="1234" t="s">
        <v>5</v>
      </c>
      <c r="S40" s="1235">
        <f t="shared" si="9"/>
        <v>100</v>
      </c>
      <c r="T40" s="1234" t="s">
        <v>5</v>
      </c>
      <c r="U40" s="1235">
        <f t="shared" si="10"/>
        <v>100</v>
      </c>
      <c r="V40" s="1234" t="s">
        <v>5</v>
      </c>
      <c r="W40" s="1235">
        <f t="shared" si="11"/>
        <v>100</v>
      </c>
      <c r="X40" s="1228"/>
      <c r="Y40" s="4231"/>
      <c r="Z40" s="1236" t="str">
        <f t="shared" si="12"/>
        <v>单套建筑面积</v>
      </c>
      <c r="AA40" s="1237">
        <f t="shared" si="3"/>
        <v>1</v>
      </c>
      <c r="AB40" s="1237">
        <f t="shared" si="4"/>
        <v>1</v>
      </c>
      <c r="AC40" s="1237">
        <f t="shared" si="5"/>
        <v>1</v>
      </c>
    </row>
    <row r="41" spans="1:29" s="1063" customFormat="1" ht="15" hidden="1">
      <c r="A41" s="461"/>
      <c r="B41" s="748"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231"/>
      <c r="Q41" s="1260" t="str">
        <f t="shared" si="8"/>
        <v>进深比</v>
      </c>
      <c r="R41" s="1238" t="s">
        <v>5</v>
      </c>
      <c r="S41" s="1239">
        <f t="shared" si="9"/>
        <v>100</v>
      </c>
      <c r="T41" s="1238" t="s">
        <v>5</v>
      </c>
      <c r="U41" s="1239">
        <f t="shared" si="10"/>
        <v>100</v>
      </c>
      <c r="V41" s="1238" t="s">
        <v>5</v>
      </c>
      <c r="W41" s="1239">
        <f t="shared" si="11"/>
        <v>100</v>
      </c>
      <c r="X41" s="1240"/>
      <c r="Y41" s="4231"/>
      <c r="Z41" s="1241" t="str">
        <f t="shared" si="12"/>
        <v>进深比</v>
      </c>
      <c r="AA41" s="1237">
        <f t="shared" si="3"/>
        <v>1</v>
      </c>
      <c r="AB41" s="1237">
        <f t="shared" si="4"/>
        <v>1</v>
      </c>
      <c r="AC41" s="1237">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231"/>
      <c r="Q42" s="1233" t="str">
        <f t="shared" si="8"/>
        <v>内部装修</v>
      </c>
      <c r="R42" s="1234" t="s">
        <v>5</v>
      </c>
      <c r="S42" s="1235">
        <f t="shared" si="9"/>
        <v>100</v>
      </c>
      <c r="T42" s="1234" t="s">
        <v>5</v>
      </c>
      <c r="U42" s="1235">
        <f t="shared" si="10"/>
        <v>100</v>
      </c>
      <c r="V42" s="1234" t="s">
        <v>5</v>
      </c>
      <c r="W42" s="1235">
        <f t="shared" si="11"/>
        <v>100</v>
      </c>
      <c r="X42" s="1228"/>
      <c r="Y42" s="4231"/>
      <c r="Z42" s="1236" t="str">
        <f t="shared" si="12"/>
        <v>内部装修</v>
      </c>
      <c r="AA42" s="1237">
        <f t="shared" si="3"/>
        <v>1</v>
      </c>
      <c r="AB42" s="1237">
        <f t="shared" si="4"/>
        <v>1</v>
      </c>
      <c r="AC42" s="1237">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231"/>
      <c r="Q43" s="1233" t="str">
        <f t="shared" si="8"/>
        <v>内部装修维护情况</v>
      </c>
      <c r="R43" s="1234" t="s">
        <v>5</v>
      </c>
      <c r="S43" s="1235">
        <f t="shared" si="9"/>
        <v>100</v>
      </c>
      <c r="T43" s="1234" t="s">
        <v>5</v>
      </c>
      <c r="U43" s="1235">
        <f t="shared" si="10"/>
        <v>100</v>
      </c>
      <c r="V43" s="1234" t="s">
        <v>5</v>
      </c>
      <c r="W43" s="1235">
        <f t="shared" si="11"/>
        <v>100</v>
      </c>
      <c r="X43" s="1228"/>
      <c r="Y43" s="4231"/>
      <c r="Z43" s="1236" t="str">
        <f t="shared" si="12"/>
        <v>内部装修维护情况</v>
      </c>
      <c r="AA43" s="1237">
        <f t="shared" si="3"/>
        <v>1</v>
      </c>
      <c r="AB43" s="1237">
        <f t="shared" si="4"/>
        <v>1</v>
      </c>
      <c r="AC43" s="1237">
        <f t="shared" si="5"/>
        <v>1</v>
      </c>
    </row>
    <row r="44" spans="1:29" s="981" customFormat="1" ht="15" hidden="1">
      <c r="A44" s="458"/>
      <c r="B44" s="721">
        <v>111</v>
      </c>
      <c r="C44" s="724"/>
      <c r="D44" s="145">
        <v>100</v>
      </c>
      <c r="E44" s="397"/>
      <c r="F44" s="707">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231"/>
      <c r="Q44" s="929">
        <f t="shared" si="8"/>
        <v>111</v>
      </c>
      <c r="R44" s="1229" t="s">
        <v>5</v>
      </c>
      <c r="S44" s="1230">
        <f t="shared" si="9"/>
        <v>100</v>
      </c>
      <c r="T44" s="1229" t="s">
        <v>5</v>
      </c>
      <c r="U44" s="1230">
        <f t="shared" si="10"/>
        <v>100</v>
      </c>
      <c r="V44" s="1229" t="s">
        <v>5</v>
      </c>
      <c r="W44" s="1230">
        <f t="shared" si="11"/>
        <v>100</v>
      </c>
      <c r="X44" s="1231"/>
      <c r="Y44" s="4231"/>
      <c r="Z44" s="928">
        <f t="shared" si="12"/>
        <v>111</v>
      </c>
      <c r="AA44" s="1232">
        <f t="shared" si="3"/>
        <v>1</v>
      </c>
      <c r="AB44" s="1232">
        <f t="shared" si="4"/>
        <v>1</v>
      </c>
      <c r="AC44" s="1232">
        <f t="shared" si="5"/>
        <v>1</v>
      </c>
    </row>
    <row r="45" spans="1:29" ht="15" hidden="1">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231"/>
      <c r="Q45" s="1233">
        <f t="shared" si="8"/>
        <v>111</v>
      </c>
      <c r="R45" s="1234" t="s">
        <v>5</v>
      </c>
      <c r="S45" s="1235">
        <f t="shared" si="9"/>
        <v>100</v>
      </c>
      <c r="T45" s="1234" t="s">
        <v>5</v>
      </c>
      <c r="U45" s="1235">
        <f t="shared" si="10"/>
        <v>100</v>
      </c>
      <c r="V45" s="1234" t="s">
        <v>5</v>
      </c>
      <c r="W45" s="1235">
        <f t="shared" si="11"/>
        <v>100</v>
      </c>
      <c r="X45" s="1228"/>
      <c r="Y45" s="4231"/>
      <c r="Z45" s="1236">
        <f t="shared" si="12"/>
        <v>111</v>
      </c>
      <c r="AA45" s="1237">
        <f t="shared" si="3"/>
        <v>1</v>
      </c>
      <c r="AB45" s="1237">
        <f t="shared" si="4"/>
        <v>1</v>
      </c>
      <c r="AC45" s="1237">
        <f t="shared" si="5"/>
        <v>1</v>
      </c>
    </row>
    <row r="46" spans="1:29" ht="15.75" hidden="1" thickBot="1">
      <c r="A46" s="730"/>
      <c r="B46" s="402">
        <v>111</v>
      </c>
      <c r="C46" s="403"/>
      <c r="D46" s="404">
        <v>100</v>
      </c>
      <c r="E46" s="397"/>
      <c r="F46" s="710">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89"/>
      <c r="Q46" s="1233">
        <f t="shared" si="8"/>
        <v>111</v>
      </c>
      <c r="R46" s="1234" t="s">
        <v>5</v>
      </c>
      <c r="S46" s="1235">
        <f t="shared" si="9"/>
        <v>100</v>
      </c>
      <c r="T46" s="1234" t="s">
        <v>5</v>
      </c>
      <c r="U46" s="1235">
        <f t="shared" si="10"/>
        <v>100</v>
      </c>
      <c r="V46" s="1234" t="s">
        <v>5</v>
      </c>
      <c r="W46" s="1235">
        <f t="shared" si="11"/>
        <v>100</v>
      </c>
      <c r="X46" s="1228"/>
      <c r="Y46" s="4289"/>
      <c r="Z46" s="1236">
        <f t="shared" si="12"/>
        <v>111</v>
      </c>
      <c r="AA46" s="1237">
        <f t="shared" si="3"/>
        <v>1</v>
      </c>
      <c r="AB46" s="1237">
        <f t="shared" si="4"/>
        <v>1</v>
      </c>
      <c r="AC46" s="1237">
        <f t="shared" si="5"/>
        <v>1</v>
      </c>
    </row>
    <row r="47" spans="1:29" ht="15">
      <c r="A47" s="465" t="s">
        <v>683</v>
      </c>
      <c r="B47" s="731"/>
      <c r="C47" s="1998" t="s">
        <v>0</v>
      </c>
      <c r="D47" s="1999"/>
      <c r="E47" s="2000">
        <v>5</v>
      </c>
      <c r="F47" s="2001"/>
      <c r="G47" s="2002">
        <v>5.75</v>
      </c>
      <c r="H47" s="2003"/>
      <c r="I47" s="2000">
        <v>5</v>
      </c>
      <c r="J47" s="2003"/>
      <c r="K47" s="1265"/>
      <c r="L47" s="1664"/>
      <c r="M47" s="1665"/>
      <c r="N47" s="1654"/>
      <c r="O47" s="1665"/>
      <c r="P47" s="4195" t="str">
        <f>A47</f>
        <v>成交单价（元/平方米）</v>
      </c>
      <c r="Q47" s="4195"/>
      <c r="R47" s="4287">
        <f>E47</f>
        <v>5</v>
      </c>
      <c r="S47" s="4287"/>
      <c r="T47" s="4287">
        <f>G47</f>
        <v>5.75</v>
      </c>
      <c r="U47" s="4287"/>
      <c r="V47" s="4287">
        <f>I47</f>
        <v>5</v>
      </c>
      <c r="W47" s="4287"/>
      <c r="X47" s="1223"/>
      <c r="Y47" s="1242"/>
      <c r="Z47" s="1223"/>
      <c r="AA47" s="1223"/>
      <c r="AB47" s="1223"/>
      <c r="AC47" s="1223"/>
    </row>
    <row r="48" spans="1:29" ht="15.75" thickBot="1">
      <c r="A48" s="473" t="s">
        <v>1951</v>
      </c>
      <c r="B48" s="732"/>
      <c r="C48" s="2004">
        <f>R49</f>
        <v>5.6</v>
      </c>
      <c r="D48" s="2450" t="s">
        <v>2167</v>
      </c>
      <c r="E48" s="2005">
        <f>R48</f>
        <v>5.3</v>
      </c>
      <c r="F48" s="2451"/>
      <c r="G48" s="2004">
        <f>T48</f>
        <v>6.2</v>
      </c>
      <c r="H48" s="2451"/>
      <c r="I48" s="2005">
        <f>V48</f>
        <v>5.4</v>
      </c>
      <c r="J48" s="2451"/>
      <c r="K48" s="2458">
        <f>F48+H48+J48</f>
        <v>0</v>
      </c>
      <c r="L48" s="1664"/>
      <c r="M48" s="1665"/>
      <c r="N48" s="1654"/>
      <c r="O48" s="1665"/>
      <c r="P48" s="4195" t="str">
        <f>A48</f>
        <v>比较价格（元/平方米）</v>
      </c>
      <c r="Q48" s="4195"/>
      <c r="R48" s="4287">
        <f>IF(F1="售价",ROUND(PRODUCT(R47,AA7:AA46),0),ROUND(PRODUCT(R47,AA7:AA46),1))</f>
        <v>5.3</v>
      </c>
      <c r="S48" s="4287"/>
      <c r="T48" s="4287">
        <f>IF(F1="售价",ROUND(PRODUCT(T47,AB7:AB46),0),ROUND(PRODUCT(T47,AB7:AB46),1))</f>
        <v>6.2</v>
      </c>
      <c r="U48" s="4287"/>
      <c r="V48" s="4287">
        <f>IF(F1="售价",ROUND(PRODUCT(V47,AC7:AC46),0),ROUND(PRODUCT(V47,AC7:AC46),1))</f>
        <v>5.4</v>
      </c>
      <c r="W48" s="4287"/>
      <c r="X48" s="1223"/>
      <c r="Y48" s="1223"/>
      <c r="Z48" s="1223"/>
      <c r="AA48" s="1223"/>
      <c r="AB48" s="1223"/>
      <c r="AC48" s="1223"/>
    </row>
    <row r="49" spans="1:29" ht="15.75" thickBot="1">
      <c r="A49" s="477" t="s">
        <v>2106</v>
      </c>
      <c r="B49" s="478"/>
      <c r="C49" s="2006">
        <f>R49</f>
        <v>5.6</v>
      </c>
      <c r="D49" s="2006"/>
      <c r="E49" s="2006"/>
      <c r="F49" s="2006"/>
      <c r="G49" s="2006"/>
      <c r="H49" s="2006"/>
      <c r="I49" s="2006"/>
      <c r="J49" s="2006"/>
      <c r="K49" s="1266"/>
      <c r="L49" s="1664"/>
      <c r="M49" s="1665"/>
      <c r="N49" s="1654"/>
      <c r="O49" s="1665"/>
      <c r="P49" s="4232" t="str">
        <f>A49</f>
        <v>估价对象XX用房的比较价格（楼面单价，元/平方米）</v>
      </c>
      <c r="Q49" s="4233"/>
      <c r="R49" s="4288">
        <f>IF(F1="售价",ROUND(IF(D48="简单平均",AVERAGE(R48:V48),R48*F48+T48*H48+V48*J48),0),ROUND(IF(D48="简单平均",AVERAGE(R48:V48),R48*F48+T48*H48+V48*J48),1))</f>
        <v>5.6</v>
      </c>
      <c r="S49" s="4288"/>
      <c r="T49" s="4288"/>
      <c r="U49" s="4288"/>
      <c r="V49" s="4288"/>
      <c r="W49" s="4288"/>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6.0000000000000053E-2</v>
      </c>
      <c r="F52" s="483" t="str">
        <f>IF(OR(E52&gt;=0.3,E52&lt;=-0.3),"超过30%","")</f>
        <v/>
      </c>
      <c r="G52" s="482">
        <f>IF(G47&lt;G48,G48/G47-1,G47/G48-1)</f>
        <v>7.8260869565217384E-2</v>
      </c>
      <c r="H52" s="483" t="str">
        <f>IF(OR(G52&gt;=0.3,G52&lt;=-0.3),"超过30%","")</f>
        <v/>
      </c>
      <c r="I52" s="482">
        <f>IF(I47&lt;I48,I48/I47-1,I47/I48-1)</f>
        <v>8.0000000000000071E-2</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0.16981132075471694</v>
      </c>
      <c r="F53" s="483" t="str">
        <f>IF(OR(E53&gt;=0.2,E53&lt;=-0.2),"超过20%","")</f>
        <v/>
      </c>
      <c r="G53" s="482">
        <f>IF(G48&lt;I48,I48/G48-1,G48/I48-1)</f>
        <v>0.14814814814814814</v>
      </c>
      <c r="H53" s="483" t="str">
        <f>IF(OR(G53&gt;=0.2,G53&lt;=-0.2),"超过20%","")</f>
        <v/>
      </c>
      <c r="I53" s="482">
        <f>IF(I48&lt;E48,E48/I48-1,I48/E48-1)</f>
        <v>1.8867924528301883E-2</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f>IF(E47&lt;G47,G47/E47-1,E47/G47-1)</f>
        <v>0.14999999999999991</v>
      </c>
      <c r="F54" s="483" t="str">
        <f>IF(OR(E54&gt;=0.3,E54&lt;=-0.3),"超过30%","")</f>
        <v/>
      </c>
      <c r="G54" s="482">
        <f>IF(G47&lt;I47,I47/G47-1,G47/I47-1)</f>
        <v>0.14999999999999991</v>
      </c>
      <c r="H54" s="483" t="str">
        <f>IF(OR(G54&gt;=0.3,G54&lt;=-0.3),"超过30%","")</f>
        <v/>
      </c>
      <c r="I54" s="482">
        <f>IF(I47&lt;E47,E47/I47-1,I47/E47-1)</f>
        <v>0</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9"/>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529" t="s">
        <v>711</v>
      </c>
      <c r="C86" s="3889" t="s">
        <v>3267</v>
      </c>
      <c r="D86" s="3889" t="s">
        <v>3268</v>
      </c>
      <c r="E86" s="3888" t="s">
        <v>3269</v>
      </c>
      <c r="F86" s="3890" t="s">
        <v>3271</v>
      </c>
      <c r="G86" s="3890" t="s">
        <v>3272</v>
      </c>
      <c r="H86" s="3890" t="s">
        <v>3273</v>
      </c>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tr">
        <f>B26</f>
        <v>平面位置/可视性</v>
      </c>
      <c r="C88" s="3890" t="s">
        <v>3274</v>
      </c>
      <c r="D88" s="3890" t="s">
        <v>3275</v>
      </c>
      <c r="E88" s="3890" t="s">
        <v>3276</v>
      </c>
      <c r="F88" s="3891" t="s">
        <v>3277</v>
      </c>
      <c r="G88" s="3890" t="s">
        <v>3278</v>
      </c>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48">
        <v>100</v>
      </c>
      <c r="D89" s="527">
        <v>98</v>
      </c>
      <c r="E89" s="527">
        <v>96</v>
      </c>
      <c r="F89" s="527">
        <v>94</v>
      </c>
      <c r="G89" s="527">
        <v>92</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人流量</v>
      </c>
      <c r="C90" s="3890" t="s">
        <v>3274</v>
      </c>
      <c r="D90" s="3890" t="s">
        <v>3275</v>
      </c>
      <c r="E90" s="3890" t="s">
        <v>3276</v>
      </c>
      <c r="F90" s="3891" t="s">
        <v>3277</v>
      </c>
      <c r="G90" s="3890" t="s">
        <v>3278</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3296</v>
      </c>
      <c r="D92" s="544" t="s">
        <v>3297</v>
      </c>
      <c r="E92" s="544" t="s">
        <v>3298</v>
      </c>
      <c r="F92" s="544"/>
      <c r="G92" s="544"/>
      <c r="H92" s="544"/>
      <c r="I92" s="544"/>
      <c r="J92" s="544"/>
      <c r="K92" s="544"/>
      <c r="L92" s="734"/>
      <c r="M92" s="735"/>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3" t="s">
        <v>3291</v>
      </c>
      <c r="D100" s="3893" t="s">
        <v>3293</v>
      </c>
      <c r="E100" s="3893" t="s">
        <v>3294</v>
      </c>
      <c r="F100" s="3893" t="s">
        <v>3295</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97</v>
      </c>
      <c r="E101" s="535">
        <f t="shared" si="18"/>
        <v>94</v>
      </c>
      <c r="F101" s="535">
        <f t="shared" si="18"/>
        <v>91</v>
      </c>
      <c r="G101" s="535">
        <f t="shared" si="18"/>
        <v>88</v>
      </c>
      <c r="H101" s="535">
        <f t="shared" si="18"/>
        <v>85</v>
      </c>
      <c r="I101" s="535">
        <f t="shared" si="18"/>
        <v>82</v>
      </c>
      <c r="J101" s="535">
        <f t="shared" si="18"/>
        <v>79</v>
      </c>
      <c r="K101" s="535">
        <f t="shared" si="18"/>
        <v>76</v>
      </c>
      <c r="L101" s="535">
        <f t="shared" si="18"/>
        <v>73</v>
      </c>
      <c r="M101" s="536">
        <f t="shared" si="18"/>
        <v>70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C103&amp;"(含)"&amp;"-"&amp;D103</f>
        <v>0(含)-200</v>
      </c>
      <c r="D102" s="564" t="str">
        <f t="shared" ref="D102:L102" si="19">D103&amp;"(含)"&amp;"-"&amp;E103</f>
        <v>200(含)-500</v>
      </c>
      <c r="E102" s="564" t="str">
        <f t="shared" si="19"/>
        <v>500(含)-1000</v>
      </c>
      <c r="F102" s="564" t="str">
        <f t="shared" si="19"/>
        <v>1000(含)-1500</v>
      </c>
      <c r="G102" s="564" t="str">
        <f t="shared" si="19"/>
        <v>1500(含)-</v>
      </c>
      <c r="H102" s="564" t="str">
        <f t="shared" si="19"/>
        <v>(含)-</v>
      </c>
      <c r="I102" s="564" t="str">
        <f t="shared" si="19"/>
        <v>(含)-</v>
      </c>
      <c r="J102" s="564" t="str">
        <f t="shared" si="19"/>
        <v>(含)-</v>
      </c>
      <c r="K102" s="564" t="str">
        <f t="shared" si="19"/>
        <v>(含)-</v>
      </c>
      <c r="L102" s="564" t="str">
        <f t="shared" si="19"/>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ht="15.75" thickTop="1" thickBot="1">
      <c r="A103" s="584"/>
      <c r="B103" s="585"/>
      <c r="C103" s="544">
        <v>0</v>
      </c>
      <c r="D103" s="544">
        <v>200</v>
      </c>
      <c r="E103" s="544">
        <v>500</v>
      </c>
      <c r="F103" s="544">
        <v>1000</v>
      </c>
      <c r="G103" s="544">
        <v>1500</v>
      </c>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6.5" thickTop="1" thickBot="1">
      <c r="A104" s="543"/>
      <c r="B104" s="534"/>
      <c r="C104" s="544">
        <v>100</v>
      </c>
      <c r="D104" s="544">
        <v>98</v>
      </c>
      <c r="E104" s="544">
        <v>96</v>
      </c>
      <c r="F104" s="544">
        <v>94</v>
      </c>
      <c r="G104" s="544">
        <v>92</v>
      </c>
      <c r="H104" s="527"/>
      <c r="I104" s="527"/>
      <c r="J104" s="527"/>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0" t="s">
        <v>3279</v>
      </c>
      <c r="D105" s="3890" t="s">
        <v>3280</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98</v>
      </c>
      <c r="E106" s="535">
        <f t="shared" si="20"/>
        <v>96</v>
      </c>
      <c r="F106" s="535">
        <f t="shared" si="20"/>
        <v>94</v>
      </c>
      <c r="G106" s="535">
        <f t="shared" si="20"/>
        <v>92</v>
      </c>
      <c r="H106" s="535">
        <f t="shared" si="20"/>
        <v>90</v>
      </c>
      <c r="I106" s="535">
        <f t="shared" si="20"/>
        <v>88</v>
      </c>
      <c r="J106" s="535">
        <f t="shared" si="20"/>
        <v>86</v>
      </c>
      <c r="K106" s="535">
        <f t="shared" si="20"/>
        <v>84</v>
      </c>
      <c r="L106" s="535">
        <f t="shared" si="20"/>
        <v>82</v>
      </c>
      <c r="M106" s="536">
        <f t="shared" si="20"/>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0" t="s">
        <v>3281</v>
      </c>
      <c r="D107" s="3890" t="s">
        <v>3282</v>
      </c>
      <c r="E107" s="3890" t="s">
        <v>3283</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98</v>
      </c>
      <c r="E108" s="535">
        <f t="shared" si="21"/>
        <v>96</v>
      </c>
      <c r="F108" s="535">
        <f t="shared" si="21"/>
        <v>94</v>
      </c>
      <c r="G108" s="535">
        <f t="shared" si="21"/>
        <v>92</v>
      </c>
      <c r="H108" s="535">
        <f t="shared" si="21"/>
        <v>90</v>
      </c>
      <c r="I108" s="535">
        <f t="shared" si="21"/>
        <v>88</v>
      </c>
      <c r="J108" s="535">
        <f t="shared" si="21"/>
        <v>86</v>
      </c>
      <c r="K108" s="535">
        <f t="shared" si="21"/>
        <v>84</v>
      </c>
      <c r="L108" s="535">
        <f t="shared" si="21"/>
        <v>82</v>
      </c>
      <c r="M108" s="536">
        <f t="shared" si="21"/>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8">
        <v>0.5</v>
      </c>
      <c r="D110" s="738">
        <v>0.6</v>
      </c>
      <c r="E110" s="738">
        <v>0.7</v>
      </c>
      <c r="F110" s="738">
        <v>0.8</v>
      </c>
      <c r="G110" s="738">
        <v>0.9</v>
      </c>
      <c r="H110" s="738">
        <v>1.0001</v>
      </c>
      <c r="I110" s="749"/>
      <c r="J110" s="749"/>
      <c r="K110" s="750"/>
      <c r="L110" s="751"/>
      <c r="M110" s="752"/>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2">D111+$K36</f>
        <v>102</v>
      </c>
      <c r="F111" s="535">
        <f t="shared" si="22"/>
        <v>103</v>
      </c>
      <c r="G111" s="535">
        <f t="shared" si="22"/>
        <v>104</v>
      </c>
      <c r="H111" s="535">
        <f t="shared" si="22"/>
        <v>105</v>
      </c>
      <c r="I111" s="535">
        <f t="shared" si="22"/>
        <v>106</v>
      </c>
      <c r="J111" s="535">
        <f t="shared" si="22"/>
        <v>107</v>
      </c>
      <c r="K111" s="535">
        <f t="shared" si="22"/>
        <v>108</v>
      </c>
      <c r="L111" s="535">
        <f t="shared" si="22"/>
        <v>109</v>
      </c>
      <c r="M111" s="535">
        <f t="shared" si="22"/>
        <v>110</v>
      </c>
      <c r="N111" s="1685"/>
      <c r="O111" s="1685"/>
      <c r="P111" s="1684"/>
      <c r="Q111" s="1677"/>
      <c r="R111" s="1665"/>
      <c r="S111" s="1665"/>
      <c r="T111" s="1665"/>
      <c r="U111" s="1665"/>
      <c r="V111" s="1665"/>
      <c r="W111" s="1665"/>
      <c r="X111" s="1665"/>
      <c r="Y111" s="1665"/>
      <c r="Z111" s="1665"/>
      <c r="AA111" s="1665"/>
      <c r="AB111" s="1665"/>
      <c r="AC111" s="1665"/>
    </row>
    <row r="112" spans="1:29" s="1063" customFormat="1" ht="15" thickTop="1">
      <c r="A112" s="584"/>
      <c r="B112" s="1480" t="s">
        <v>1748</v>
      </c>
      <c r="C112" s="3890" t="s">
        <v>3284</v>
      </c>
      <c r="D112" s="3890" t="s">
        <v>3285</v>
      </c>
      <c r="E112" s="3890" t="s">
        <v>3286</v>
      </c>
      <c r="F112" s="3890" t="s">
        <v>3287</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35">
        <v>100</v>
      </c>
      <c r="D113" s="535">
        <f>C113-$K37</f>
        <v>99</v>
      </c>
      <c r="E113" s="535">
        <f t="shared" ref="E113:M113" si="23">D113-$K37</f>
        <v>98</v>
      </c>
      <c r="F113" s="535">
        <f t="shared" si="23"/>
        <v>97</v>
      </c>
      <c r="G113" s="535">
        <f t="shared" si="23"/>
        <v>96</v>
      </c>
      <c r="H113" s="535">
        <f t="shared" si="23"/>
        <v>95</v>
      </c>
      <c r="I113" s="535">
        <f t="shared" si="23"/>
        <v>94</v>
      </c>
      <c r="J113" s="535">
        <f t="shared" si="23"/>
        <v>93</v>
      </c>
      <c r="K113" s="535">
        <f t="shared" si="23"/>
        <v>92</v>
      </c>
      <c r="L113" s="535">
        <f t="shared" si="23"/>
        <v>91</v>
      </c>
      <c r="M113" s="535">
        <f t="shared" si="23"/>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4">C115-$K38</f>
        <v>98</v>
      </c>
      <c r="E115" s="535">
        <f t="shared" si="24"/>
        <v>96</v>
      </c>
      <c r="F115" s="535">
        <f t="shared" si="24"/>
        <v>94</v>
      </c>
      <c r="G115" s="535">
        <f t="shared" si="24"/>
        <v>92</v>
      </c>
      <c r="H115" s="535">
        <f t="shared" si="24"/>
        <v>90</v>
      </c>
      <c r="I115" s="535">
        <f t="shared" si="24"/>
        <v>88</v>
      </c>
      <c r="J115" s="535">
        <f t="shared" si="24"/>
        <v>86</v>
      </c>
      <c r="K115" s="535">
        <f t="shared" si="24"/>
        <v>84</v>
      </c>
      <c r="L115" s="535">
        <f t="shared" si="24"/>
        <v>82</v>
      </c>
      <c r="M115" s="536">
        <f t="shared" si="24"/>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0" t="s">
        <v>3289</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3"/>
      <c r="D118" s="753"/>
      <c r="E118" s="753"/>
      <c r="F118" s="753"/>
      <c r="G118" s="753"/>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3"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68">
        <v>100</v>
      </c>
      <c r="D121" s="535">
        <f>C121-$K41</f>
        <v>100</v>
      </c>
      <c r="E121" s="535">
        <f t="shared" ref="E121:M121" si="25">D121-$K41</f>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0" t="s">
        <v>3281</v>
      </c>
      <c r="D122" s="3890" t="s">
        <v>3282</v>
      </c>
      <c r="E122" s="3890" t="s">
        <v>3283</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I2:S7"/>
  <sheetViews>
    <sheetView topLeftCell="A124" workbookViewId="0">
      <selection activeCell="K127" sqref="K127"/>
    </sheetView>
  </sheetViews>
  <sheetFormatPr defaultRowHeight="13.5"/>
  <cols>
    <col min="9" max="9" width="18.875" customWidth="1"/>
  </cols>
  <sheetData>
    <row r="2" spans="9:19">
      <c r="I2" s="2129" t="s">
        <v>2054</v>
      </c>
      <c r="J2" s="2129" t="s">
        <v>3226</v>
      </c>
      <c r="K2" s="2129" t="s">
        <v>3227</v>
      </c>
      <c r="L2" s="2129" t="s">
        <v>3228</v>
      </c>
      <c r="M2" s="2129"/>
      <c r="N2" s="2129"/>
      <c r="O2" s="2129"/>
      <c r="P2" s="2129"/>
      <c r="Q2" s="2129"/>
      <c r="R2" s="2129"/>
      <c r="S2" s="2129"/>
    </row>
    <row r="3" spans="9:19">
      <c r="I3" s="2129" t="s">
        <v>3229</v>
      </c>
      <c r="J3" s="2129"/>
      <c r="K3" s="2129"/>
      <c r="L3" s="2129"/>
      <c r="M3" s="2129"/>
      <c r="N3" s="2129"/>
      <c r="O3" s="2129"/>
      <c r="P3" s="2129" t="s">
        <v>3230</v>
      </c>
      <c r="Q3" s="2129"/>
      <c r="R3" s="2129"/>
      <c r="S3" s="2129"/>
    </row>
    <row r="4" spans="9:19">
      <c r="I4" s="2695" t="s">
        <v>3235</v>
      </c>
      <c r="J4" s="3879">
        <v>14</v>
      </c>
      <c r="K4" s="2129"/>
      <c r="L4" s="3879">
        <f>5.5*0.6</f>
        <v>3.3</v>
      </c>
      <c r="M4" s="2129" t="s">
        <v>3231</v>
      </c>
      <c r="N4" s="2129"/>
      <c r="O4" s="2129"/>
      <c r="P4" s="2129" t="s">
        <v>3232</v>
      </c>
      <c r="Q4" s="2129" t="s">
        <v>3210</v>
      </c>
      <c r="R4" s="2129" t="s">
        <v>3233</v>
      </c>
      <c r="S4" s="2129"/>
    </row>
    <row r="5" spans="9:19">
      <c r="I5" s="2695" t="s">
        <v>3230</v>
      </c>
      <c r="J5" s="2129"/>
      <c r="K5" s="3879">
        <v>25</v>
      </c>
      <c r="L5" s="3879">
        <v>3</v>
      </c>
      <c r="M5" s="2129" t="s">
        <v>3231</v>
      </c>
      <c r="N5" s="2129"/>
      <c r="O5" s="2129"/>
      <c r="P5" s="2129">
        <v>28.5</v>
      </c>
      <c r="Q5" s="3879">
        <f>(2250+2763)/2</f>
        <v>2506.5</v>
      </c>
      <c r="R5" s="3880">
        <f>Q5/P5/30</f>
        <v>2.9315789473684211</v>
      </c>
      <c r="S5" s="2129"/>
    </row>
    <row r="6" spans="9:19">
      <c r="I6" s="2695" t="s">
        <v>3262</v>
      </c>
      <c r="J6" s="2129"/>
      <c r="K6" s="2129"/>
      <c r="L6" s="2129"/>
      <c r="M6" s="2129"/>
      <c r="N6" s="2129"/>
      <c r="O6" s="2129"/>
      <c r="P6" s="2129">
        <v>23</v>
      </c>
      <c r="Q6" s="2129">
        <f>(1985+2190)/2</f>
        <v>2087.5</v>
      </c>
      <c r="R6" s="3880">
        <f>Q6/P6/30</f>
        <v>3.0253623188405796</v>
      </c>
      <c r="S6" s="2129"/>
    </row>
    <row r="7" spans="9:19">
      <c r="I7" s="2129"/>
      <c r="J7" s="2129"/>
      <c r="K7" s="2129"/>
      <c r="L7" s="2129"/>
      <c r="M7" s="2129"/>
      <c r="N7" s="2129"/>
      <c r="O7" s="2129"/>
      <c r="P7" s="2129">
        <v>30</v>
      </c>
      <c r="Q7" s="2129">
        <f>(2938+3763)/2</f>
        <v>3350.5</v>
      </c>
      <c r="R7" s="3880">
        <f>Q7/P7/30</f>
        <v>3.722777777777778</v>
      </c>
      <c r="S7" s="2129" t="s">
        <v>3234</v>
      </c>
    </row>
  </sheetData>
  <phoneticPr fontId="22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
  <sheetViews>
    <sheetView workbookViewId="0">
      <selection activeCell="L18" sqref="L18"/>
    </sheetView>
  </sheetViews>
  <sheetFormatPr defaultRowHeight="13.5"/>
  <sheetData/>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AE490"/>
  <sheetViews>
    <sheetView view="pageBreakPreview" topLeftCell="A7" zoomScale="80" zoomScaleNormal="80" zoomScaleSheetLayoutView="80" workbookViewId="0">
      <selection activeCell="G18" sqref="G18"/>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2643</v>
      </c>
      <c r="C1" s="3340"/>
      <c r="D1" s="3340"/>
      <c r="E1" s="3340"/>
      <c r="F1" s="3340"/>
      <c r="G1" s="3340"/>
      <c r="H1" s="3340"/>
      <c r="I1" s="3340"/>
      <c r="J1" s="3340"/>
      <c r="K1" s="3341">
        <f>MATCH(B1,'数据-取费表'!A6:A16,0)+5</f>
        <v>6</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13189.7361</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4535</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10875</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725</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34197.441099999996</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2643</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SUMIF('数据-汇总表'!$C19:$C33,'剩余法（待）-科研'!C7,'数据-汇总表'!$E19:$E33)</f>
        <v>29082.55</v>
      </c>
      <c r="D9" s="3367">
        <f>SUMIF('数据-汇总表'!$C19:$C33,'剩余法（待）-科研'!D7,'数据-汇总表'!$E19:$E33)</f>
        <v>0</v>
      </c>
      <c r="E9" s="3367">
        <f>SUMIF('数据-汇总表'!$C19:$C33,'剩余法（待）-科研'!E7,'数据-汇总表'!$E19:$E33)</f>
        <v>0</v>
      </c>
      <c r="F9" s="3367">
        <f>SUMIF('数据-汇总表'!$C19:$C33,'剩余法（待）-科研'!F7,'数据-汇总表'!$E19:$E33)</f>
        <v>0</v>
      </c>
      <c r="G9" s="3367">
        <f>SUMIF('数据-汇总表'!$C19:$C33,'剩余法（待）-科研'!G7,'数据-汇总表'!$E19:$E33)</f>
        <v>0</v>
      </c>
      <c r="H9" s="3367">
        <f>SUMIF('数据-汇总表'!$C19:$C33,'剩余法（待）-科研'!H7,'数据-汇总表'!$E19:$E33)</f>
        <v>0</v>
      </c>
      <c r="I9" s="3367">
        <f>SUMIF('数据-汇总表'!$C19:$C33,'剩余法（待）-科研'!I7,'数据-汇总表'!$E19:$E33)</f>
        <v>0</v>
      </c>
      <c r="J9" s="3367">
        <f>SUMIF('数据-汇总表'!$C19:$C33,'剩余法（待）-科研'!J7,'数据-汇总表'!$E19:$E33)</f>
        <v>0</v>
      </c>
      <c r="K9" s="3368">
        <f>SUMIF('数据-汇总表'!$C19:$C33,'剩余法（待）-科研'!K7,'数据-汇总表'!$E19:$E33)</f>
        <v>0</v>
      </c>
      <c r="AA9" s="3366"/>
      <c r="AB9" s="3366"/>
      <c r="AC9" s="3366"/>
      <c r="AD9" s="3366"/>
      <c r="AE9" s="3366"/>
    </row>
    <row r="10" spans="1:31" s="3365" customFormat="1" ht="13.5" customHeight="1" thickBot="1">
      <c r="A10" s="2050" t="s">
        <v>1301</v>
      </c>
      <c r="B10" s="296" t="s">
        <v>434</v>
      </c>
      <c r="C10" s="3826">
        <f ca="1">'不动产收益法-科研'!C40</f>
        <v>34197.441099999996</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13087.147499999999</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654.35739999999998</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581.65099999999995</v>
      </c>
      <c r="D16" s="3378">
        <f ca="1">IF(B1="",'数据-汇总表'!E3,INDIRECT("'数据-取费表'!K"&amp;$K$1)+INDIRECT("'数据-取费表'!S"&amp;$K$1))</f>
        <v>29082.55</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196.30719999999999</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14519.463099999999</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29082.55</v>
      </c>
      <c r="E19" s="3946">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581.65099999999995</v>
      </c>
      <c r="D20" s="3389"/>
      <c r="E20" s="3332"/>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3400">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581.65099999999995</v>
      </c>
      <c r="D22" s="3378">
        <f ca="1">IF(B1="",'数据-汇总表'!E6,IF(INDIRECT("'数据-取费表'!c"&amp;$K$1)="住宅",INDIRECT("'数据-取费表'!s"&amp;$K$1),INDIRECT("'数据-取费表'!k"&amp;$K$1)+INDIRECT("'数据-取费表'!s"&amp;$K$1)))</f>
        <v>29082.55</v>
      </c>
      <c r="E22" s="3400">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302.02229999999997</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683.94880000000001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3.0499999999999999E-2</v>
      </c>
      <c r="D25" s="3399" t="s">
        <v>455</v>
      </c>
      <c r="E25" s="3400"/>
      <c r="F25" s="3953">
        <v>3.0499999999999999E-2</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569.76520000000005</v>
      </c>
      <c r="D26" s="3332">
        <f ca="1">C27</f>
        <v>7.4300000000000005E-2</v>
      </c>
      <c r="E26" s="3400" t="s">
        <v>455</v>
      </c>
      <c r="F26" s="3405">
        <f ca="1">'数据-取费表'!B40</f>
        <v>4.7500000000000001E-2</v>
      </c>
      <c r="G26" s="3323"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7.4300000000000005E-2</v>
      </c>
      <c r="D27" s="3407"/>
      <c r="E27" s="3397"/>
      <c r="F27" s="3408"/>
      <c r="G27" s="3323"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569.76520000000005</v>
      </c>
      <c r="D28" s="3407"/>
      <c r="E28" s="3397"/>
      <c r="F28" s="3408"/>
      <c r="G28" s="3323"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f ca="1">C31</f>
        <v>16656.850399999999</v>
      </c>
      <c r="D30" s="3412">
        <f ca="1">C32</f>
        <v>0.1048</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16656.850399999999</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0.1048</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1608.7085</v>
      </c>
      <c r="D33" s="3332">
        <f ca="1">C34</f>
        <v>0.1031</v>
      </c>
      <c r="E33" s="3400" t="s">
        <v>455</v>
      </c>
      <c r="F33" s="3416">
        <f ca="1">IF(B1="",'数据-取费表'!Q16,INDIRECT("'数据-取费表'!q"&amp;$K$1))</f>
        <v>0.1</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0.1031</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f ca="1">ROUND((C18+C19+C20+C23+C24)*F33,4)</f>
        <v>1608.7085</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13189.7361</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xr:uid="{00000000-0002-0000-2600-000000000000}">
      <formula1>"比较法,收益法"</formula1>
    </dataValidation>
    <dataValidation type="list" allowBlank="1" showInputMessage="1" showErrorMessage="1" sqref="G20" xr:uid="{00000000-0002-0000-2600-000001000000}">
      <formula1>"已全部缴纳,已部分缴纳"</formula1>
    </dataValidation>
    <dataValidation type="list" allowBlank="1" showInputMessage="1" showErrorMessage="1" sqref="C7:K7 B1" xr:uid="{00000000-0002-0000-2600-000002000000}">
      <formula1>项目类型</formula1>
    </dataValidation>
  </dataValidations>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AG76"/>
  <sheetViews>
    <sheetView view="pageBreakPreview" topLeftCell="A7" zoomScale="80" zoomScaleNormal="60" zoomScaleSheetLayoutView="80" workbookViewId="0">
      <selection activeCell="D36" sqref="D36"/>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34197.441099999996</v>
      </c>
      <c r="C2" s="2675"/>
      <c r="D2" s="2676"/>
      <c r="E2" s="2677"/>
      <c r="F2" s="2677"/>
      <c r="G2" s="2671"/>
      <c r="H2" s="1594"/>
      <c r="I2" s="1594"/>
      <c r="J2" s="1594"/>
      <c r="K2" s="1595"/>
      <c r="L2" s="1594"/>
      <c r="M2" s="1594"/>
    </row>
    <row r="3" spans="1:33" ht="18" customHeight="1" thickBot="1">
      <c r="A3" s="679" t="s">
        <v>468</v>
      </c>
      <c r="B3" s="680">
        <f ca="1">IF(ISERROR(B2*10000/F43),0,ROUND(B2*10000/F43,0))</f>
        <v>11759</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81" t="s">
        <v>1723</v>
      </c>
      <c r="C6" s="3626">
        <f ca="1">ROUND(F6*F8*F7*(1-F9)/10000,4)</f>
        <v>2574.1691999999998</v>
      </c>
      <c r="D6" s="1909" t="s">
        <v>1722</v>
      </c>
      <c r="E6" s="636" t="s">
        <v>585</v>
      </c>
      <c r="F6" s="637">
        <f ca="1">INDIRECT("'数据-取费表'!u"&amp;$G$1)</f>
        <v>2.5</v>
      </c>
      <c r="G6" s="1599"/>
      <c r="H6" s="1916" t="s">
        <v>1278</v>
      </c>
      <c r="I6" s="4281" t="s">
        <v>1723</v>
      </c>
      <c r="J6" s="635">
        <f ca="1">ROUND(M6*M8*M7*(1-M9)/10000,0)</f>
        <v>0</v>
      </c>
      <c r="K6" s="231" t="s">
        <v>584</v>
      </c>
      <c r="L6" s="636" t="s">
        <v>585</v>
      </c>
      <c r="M6" s="637">
        <f ca="1">INDIRECT("'数据-取费表'!z"&amp;$G$1)</f>
        <v>0</v>
      </c>
    </row>
    <row r="7" spans="1:33" ht="18" customHeight="1">
      <c r="A7" s="1912"/>
      <c r="B7" s="4282"/>
      <c r="C7" s="3628"/>
      <c r="D7" s="641"/>
      <c r="E7" s="636" t="s">
        <v>586</v>
      </c>
      <c r="F7" s="637">
        <f ca="1">IF(INDIRECT("'数据-取费表'!ah"&amp;$G$1)="",INDIRECT("'数据-取费表'!k"&amp;$G$1),INDIRECT("'数据-取费表'!ah"&amp;$G$1))</f>
        <v>29082.55</v>
      </c>
      <c r="G7" s="1599"/>
      <c r="H7" s="1901"/>
      <c r="I7" s="4282"/>
      <c r="J7" s="640"/>
      <c r="K7" s="641"/>
      <c r="L7" s="636" t="s">
        <v>586</v>
      </c>
      <c r="M7" s="637">
        <f ca="1">F7</f>
        <v>29082.55</v>
      </c>
    </row>
    <row r="8" spans="1:33" ht="18" customHeight="1">
      <c r="A8" s="1905"/>
      <c r="B8" s="4283"/>
      <c r="C8" s="3628"/>
      <c r="D8" s="641"/>
      <c r="E8" s="636" t="s">
        <v>587</v>
      </c>
      <c r="F8" s="637">
        <f ca="1">INDIRECT("'数据-取费表'!ai"&amp;$G$1)</f>
        <v>365</v>
      </c>
      <c r="G8" s="1599"/>
      <c r="H8" s="1901"/>
      <c r="I8" s="4283"/>
      <c r="J8" s="640"/>
      <c r="K8" s="641"/>
      <c r="L8" s="636" t="s">
        <v>587</v>
      </c>
      <c r="M8" s="637">
        <f ca="1">INDIRECT("'数据-取费表'!ai"&amp;$G$1)</f>
        <v>365</v>
      </c>
    </row>
    <row r="9" spans="1:33" ht="18" customHeight="1">
      <c r="A9" s="638"/>
      <c r="B9" s="4284"/>
      <c r="C9" s="3628"/>
      <c r="D9" s="641"/>
      <c r="E9" s="636" t="s">
        <v>588</v>
      </c>
      <c r="F9" s="646">
        <f ca="1">INDIRECT("'数据-取费表'!w"&amp;$G$1)</f>
        <v>0.03</v>
      </c>
      <c r="G9" s="1599"/>
      <c r="H9" s="1917"/>
      <c r="I9" s="4283"/>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34197.441099999996</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3945">
        <f>'数据-取费表'!F6-'数据-取费表'!B20</f>
        <v>48.5</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0.53200000000000003</v>
      </c>
      <c r="K42" s="1618"/>
      <c r="L42" s="1564"/>
      <c r="M42" s="1564"/>
    </row>
    <row r="43" spans="1:18" ht="18" customHeight="1" thickBot="1">
      <c r="A43" s="671" t="s">
        <v>1261</v>
      </c>
      <c r="B43" s="672" t="s">
        <v>1264</v>
      </c>
      <c r="C43" s="3629">
        <f ca="1">ROUND(C40*10000/F43,0)</f>
        <v>11759</v>
      </c>
      <c r="D43" s="674" t="s">
        <v>1265</v>
      </c>
      <c r="E43" s="675" t="s">
        <v>1266</v>
      </c>
      <c r="F43" s="676">
        <f ca="1">INDIRECT("'数据-取费表'!k"&amp;$G$1)</f>
        <v>29082.55</v>
      </c>
      <c r="G43" s="1599"/>
      <c r="H43" s="1564"/>
      <c r="I43" s="693" t="s">
        <v>1276</v>
      </c>
      <c r="J43" s="694">
        <f ca="1">1-J42</f>
        <v>0.46799999999999997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-36065.441099999996</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34197.441099999996</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'数据-取费表'!J18</f>
        <v>0.06</v>
      </c>
      <c r="K52" s="2253" t="s">
        <v>1690</v>
      </c>
      <c r="L52" s="1851">
        <f>'数据-取费表'!H18</f>
        <v>0.05</v>
      </c>
      <c r="M52" s="2674"/>
      <c r="O52" s="1864" t="s">
        <v>1657</v>
      </c>
      <c r="P52" s="1862" t="s">
        <v>1658</v>
      </c>
      <c r="Q52" s="1865">
        <f>J52</f>
        <v>0.06</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85" t="s">
        <v>2133</v>
      </c>
      <c r="L53" s="4286"/>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34197.441099999996</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34197.441099999996</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1.0368999999999999</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L52</f>
        <v>0.05</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1.0368999999999999</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34197.441099999996</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34197.441099999996</v>
      </c>
      <c r="R66" s="1862" t="s">
        <v>1651</v>
      </c>
    </row>
    <row r="67" spans="1:18" s="1596" customFormat="1" ht="20.25" thickBot="1">
      <c r="A67" s="633" t="s">
        <v>1260</v>
      </c>
      <c r="B67" s="1748" t="s">
        <v>1576</v>
      </c>
      <c r="C67" s="635">
        <f ca="1">ROUND(C66*(1-((1+F69)/(1+F67))^F68)/(F67-F69),0)</f>
        <v>-1868</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F41</f>
        <v>48.5</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-642</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L52</f>
        <v>0.05</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1.0368999999999999</v>
      </c>
      <c r="R75" s="1866" t="s">
        <v>1668</v>
      </c>
    </row>
    <row r="76" spans="1:18" ht="15.75" thickBot="1">
      <c r="O76" s="1861" t="s">
        <v>1662</v>
      </c>
      <c r="P76" s="1862" t="s">
        <v>1679</v>
      </c>
      <c r="Q76" s="1863">
        <f ca="1">Q66+Q67</f>
        <v>34197.441099999996</v>
      </c>
      <c r="R76" s="1866" t="s">
        <v>1663</v>
      </c>
    </row>
  </sheetData>
  <sheetProtection algorithmName="SHA-512" hashValue="6gE8jdBfEtjkYd5mOqtJpZjSM0Y9FsLuz1FGhOmCxPQcObUW/aNrU6KXrTS0beT4KuZwqPfrbb9P/3ZzeuaG4w==" saltValue="P+URQl4MWT2wfwR0KBHkQw==" spinCount="100000"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xr:uid="{00000000-0002-0000-2700-000000000000}">
      <formula1>项目类型</formula1>
    </dataValidation>
    <dataValidation type="list" allowBlank="1" showInputMessage="1" showErrorMessage="1" sqref="K19" xr:uid="{00000000-0002-0000-2700-000001000000}">
      <formula1>"按租金收入计税,按房产原值计税"</formula1>
    </dataValidation>
    <dataValidation type="list" allowBlank="1" showInputMessage="1" showErrorMessage="1" sqref="D33" xr:uid="{00000000-0002-0000-2700-000002000000}">
      <formula1>"按租金收入计税,按房产原值计税,按票据"</formula1>
    </dataValidation>
    <dataValidation type="list" allowBlank="1" showInputMessage="1" showErrorMessage="1" sqref="J56" xr:uid="{00000000-0002-0000-2700-000003000000}">
      <formula1>估价范围判定</formula1>
    </dataValidation>
    <dataValidation type="list" allowBlank="1" showInputMessage="1" showErrorMessage="1" sqref="J47" xr:uid="{00000000-0002-0000-2700-000004000000}">
      <formula1>"钢,钢混,砖混"</formula1>
    </dataValidation>
    <dataValidation type="list" allowBlank="1" showInputMessage="1" showErrorMessage="1" sqref="J48" xr:uid="{00000000-0002-0000-2700-000005000000}">
      <formula1>"非生产用房,生产用房,受腐蚀的生产用房"</formula1>
    </dataValidation>
    <dataValidation type="list" allowBlank="1" showInputMessage="1" showErrorMessage="1" sqref="F10 M10 F52" xr:uid="{00000000-0002-0000-2700-000006000000}">
      <formula1>"押一,押二,押三,自定义"</formula1>
    </dataValidation>
    <dataValidation type="list" allowBlank="1" showInputMessage="1" showErrorMessage="1" sqref="D1" xr:uid="{00000000-0002-0000-2700-000007000000}">
      <formula1>"土地（套用方法）,——"</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92D050"/>
    <pageSetUpPr fitToPage="1"/>
  </sheetPr>
  <dimension ref="A1:AC853"/>
  <sheetViews>
    <sheetView view="pageBreakPreview" topLeftCell="C27" zoomScale="90" zoomScaleNormal="60" zoomScaleSheetLayoutView="90" workbookViewId="0">
      <selection activeCell="G25" sqref="G25:I2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737"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717</v>
      </c>
      <c r="C1" s="362" t="s">
        <v>667</v>
      </c>
      <c r="D1" s="695" t="s">
        <v>2643</v>
      </c>
      <c r="E1" s="364"/>
      <c r="F1" s="4328" t="s">
        <v>3408</v>
      </c>
      <c r="G1" s="1256"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60" customFormat="1" ht="28.5" customHeight="1">
      <c r="A2" s="309" t="s">
        <v>427</v>
      </c>
      <c r="B2" s="696">
        <f>ROUND(B3*D3/10000,0)</f>
        <v>7</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60" customFormat="1" ht="28.5" customHeight="1" thickBot="1">
      <c r="A3" s="367" t="s">
        <v>468</v>
      </c>
      <c r="B3" s="368">
        <f>C50</f>
        <v>2.5</v>
      </c>
      <c r="C3" s="698" t="s">
        <v>669</v>
      </c>
      <c r="D3" s="697">
        <f>SUMIF('数据-汇总表'!$C19:$C33,D1,'数据-汇总表'!$E19:$E33)</f>
        <v>29082.55</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201" t="s">
        <v>471</v>
      </c>
      <c r="D4" s="4202"/>
      <c r="E4" s="4240" t="s">
        <v>472</v>
      </c>
      <c r="F4" s="4241"/>
      <c r="G4" s="4201" t="s">
        <v>473</v>
      </c>
      <c r="H4" s="4202"/>
      <c r="I4" s="4201" t="s">
        <v>474</v>
      </c>
      <c r="J4" s="4202"/>
      <c r="K4" s="372" t="s">
        <v>475</v>
      </c>
      <c r="L4" s="1653"/>
      <c r="M4" s="1654"/>
      <c r="N4" s="1654"/>
      <c r="O4" s="1654"/>
      <c r="P4" s="4293" t="s">
        <v>476</v>
      </c>
      <c r="Q4" s="4204"/>
      <c r="R4" s="4209" t="s">
        <v>472</v>
      </c>
      <c r="S4" s="4210"/>
      <c r="T4" s="4209" t="s">
        <v>473</v>
      </c>
      <c r="U4" s="4210"/>
      <c r="V4" s="4196" t="s">
        <v>474</v>
      </c>
      <c r="W4" s="4196"/>
      <c r="X4" s="1228"/>
      <c r="Y4" s="4209" t="s">
        <v>476</v>
      </c>
      <c r="Z4" s="4210"/>
      <c r="AA4" s="4198" t="s">
        <v>472</v>
      </c>
      <c r="AB4" s="4198" t="s">
        <v>473</v>
      </c>
      <c r="AC4" s="4198" t="s">
        <v>474</v>
      </c>
    </row>
    <row r="5" spans="1:29" ht="15">
      <c r="A5" s="373"/>
      <c r="B5" s="374"/>
      <c r="C5" s="4290" t="s">
        <v>3395</v>
      </c>
      <c r="D5" s="4218"/>
      <c r="E5" s="4291" t="s">
        <v>3394</v>
      </c>
      <c r="F5" s="4243"/>
      <c r="G5" s="4290" t="s">
        <v>3396</v>
      </c>
      <c r="H5" s="4218"/>
      <c r="I5" s="4290" t="s">
        <v>3378</v>
      </c>
      <c r="J5" s="4218"/>
      <c r="K5" s="372"/>
      <c r="L5" s="1653"/>
      <c r="M5" s="1654"/>
      <c r="N5" s="1654"/>
      <c r="O5" s="1654"/>
      <c r="P5" s="4294"/>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95"/>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f>C7</f>
        <v>45076</v>
      </c>
      <c r="F7" s="380">
        <f>SUMIF(59:59,YEAR(E7)&amp;"-"&amp;MONTH(E7),60:60)</f>
        <v>100</v>
      </c>
      <c r="G7" s="379">
        <f>C7</f>
        <v>45076</v>
      </c>
      <c r="H7" s="378">
        <f>SUMIF(59:59,YEAR(G7)&amp;"-"&amp;MONTH(G7),60:60)</f>
        <v>100</v>
      </c>
      <c r="I7" s="379">
        <f>C7</f>
        <v>45076</v>
      </c>
      <c r="J7" s="378">
        <f>SUMIF(59:59,YEAR(I7)&amp;"-"&amp;MONTH(I7),60:60)</f>
        <v>100</v>
      </c>
      <c r="K7" s="382"/>
      <c r="L7" s="1655"/>
      <c r="M7" s="1656"/>
      <c r="N7" s="1656"/>
      <c r="O7" s="1656"/>
      <c r="P7" s="4227" t="s">
        <v>479</v>
      </c>
      <c r="Q7" s="4227"/>
      <c r="R7" s="1229" t="s">
        <v>5</v>
      </c>
      <c r="S7" s="1230">
        <f t="shared" ref="S7:S15" si="0">F7</f>
        <v>100</v>
      </c>
      <c r="T7" s="1229" t="s">
        <v>5</v>
      </c>
      <c r="U7" s="1230">
        <f t="shared" ref="U7:U15" si="1">H7</f>
        <v>100</v>
      </c>
      <c r="V7" s="1229" t="s">
        <v>5</v>
      </c>
      <c r="W7" s="1230">
        <f t="shared" ref="W7:W15" si="2">J7</f>
        <v>100</v>
      </c>
      <c r="X7" s="1231"/>
      <c r="Y7" s="4225" t="s">
        <v>479</v>
      </c>
      <c r="Z7" s="4226"/>
      <c r="AA7" s="1232">
        <f>D7/F7</f>
        <v>1</v>
      </c>
      <c r="AB7" s="1232">
        <f>D7/H7</f>
        <v>1</v>
      </c>
      <c r="AC7" s="1232">
        <f>D7/J7</f>
        <v>1</v>
      </c>
    </row>
    <row r="8" spans="1:29" s="981" customFormat="1" ht="15.75" thickBot="1">
      <c r="A8" s="2104"/>
      <c r="B8" s="2111" t="s">
        <v>480</v>
      </c>
      <c r="C8" s="383" t="s">
        <v>524</v>
      </c>
      <c r="D8" s="378">
        <v>100</v>
      </c>
      <c r="E8" s="383" t="s">
        <v>3263</v>
      </c>
      <c r="F8" s="380">
        <f>SUMIF(62:62,E8,63:63)-SUMIF(62:62,C8,63:63)+100</f>
        <v>100</v>
      </c>
      <c r="G8" s="383" t="s">
        <v>3263</v>
      </c>
      <c r="H8" s="378">
        <f>SUMIF(62:62,G8,63:63)-SUMIF(62:62,C8,63:63)+100</f>
        <v>100</v>
      </c>
      <c r="I8" s="383" t="s">
        <v>3263</v>
      </c>
      <c r="J8" s="378">
        <f>SUMIF(62:62,I8,63:63)-SUMIF(62:62,C8,63:63)+100</f>
        <v>100</v>
      </c>
      <c r="K8" s="382"/>
      <c r="L8" s="1655"/>
      <c r="M8" s="1656"/>
      <c r="N8" s="1656"/>
      <c r="O8" s="1656"/>
      <c r="P8" s="4227" t="s">
        <v>482</v>
      </c>
      <c r="Q8" s="4226"/>
      <c r="R8" s="1229" t="s">
        <v>5</v>
      </c>
      <c r="S8" s="1230">
        <f t="shared" si="0"/>
        <v>100</v>
      </c>
      <c r="T8" s="1229" t="s">
        <v>5</v>
      </c>
      <c r="U8" s="1230">
        <f t="shared" si="1"/>
        <v>100</v>
      </c>
      <c r="V8" s="1229" t="s">
        <v>5</v>
      </c>
      <c r="W8" s="1230">
        <f t="shared" si="2"/>
        <v>100</v>
      </c>
      <c r="X8" s="1231"/>
      <c r="Y8" s="4225" t="s">
        <v>482</v>
      </c>
      <c r="Z8" s="4226"/>
      <c r="AA8" s="1232">
        <f t="shared" ref="AA8:AA47" si="3">D8/F8</f>
        <v>1</v>
      </c>
      <c r="AB8" s="1232">
        <f t="shared" ref="AB8:AB47" si="4">D8/H8</f>
        <v>1</v>
      </c>
      <c r="AC8" s="1232">
        <f t="shared" ref="AC8:AC47" si="5">D8/J8</f>
        <v>1</v>
      </c>
    </row>
    <row r="9" spans="1:29" s="981" customFormat="1" ht="15.75" thickBot="1">
      <c r="A9" s="2105"/>
      <c r="B9" s="2112" t="s">
        <v>1947</v>
      </c>
      <c r="C9" s="3887" t="s">
        <v>3398</v>
      </c>
      <c r="D9" s="144">
        <v>100</v>
      </c>
      <c r="E9" s="706" t="s">
        <v>3397</v>
      </c>
      <c r="F9" s="144">
        <f>SUMIF(64:64,E9,65:65)-SUMIF(64:64,C9,65:65)+100</f>
        <v>100</v>
      </c>
      <c r="G9" s="704" t="s">
        <v>3397</v>
      </c>
      <c r="H9" s="144">
        <f>SUMIF(64:64,G9,65:65)-SUMIF(64:64,C9,65:65)+100</f>
        <v>100</v>
      </c>
      <c r="I9" s="704" t="s">
        <v>3397</v>
      </c>
      <c r="J9" s="144">
        <f>SUMIF(64:64,I9,65:65)-SUMIF(64:64,C9,65:65)+100</f>
        <v>100</v>
      </c>
      <c r="K9" s="382"/>
      <c r="L9" s="1655"/>
      <c r="M9" s="1656"/>
      <c r="N9" s="1656"/>
      <c r="O9" s="1656"/>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hidden="1">
      <c r="A10" s="2106"/>
      <c r="B10" s="2111" t="s">
        <v>1948</v>
      </c>
      <c r="C10" s="3311" t="s">
        <v>3376</v>
      </c>
      <c r="D10" s="145">
        <v>100</v>
      </c>
      <c r="E10" s="3311" t="s">
        <v>3376</v>
      </c>
      <c r="F10" s="145">
        <f>SUMIF(66:66,E10,67:67)-SUMIF(66:66,C10,67:67)+100</f>
        <v>100</v>
      </c>
      <c r="G10" s="3312" t="s">
        <v>3377</v>
      </c>
      <c r="H10" s="145">
        <f>SUMIF(66:66,G10,67:67)-SUMIF(66:66,C10,67:67)+100</f>
        <v>100</v>
      </c>
      <c r="I10" s="3311"/>
      <c r="J10" s="145">
        <f>SUMIF(66:66,I10,67:67)-SUMIF(66:66,C10,67:67)+100</f>
        <v>100</v>
      </c>
      <c r="K10" s="382"/>
      <c r="L10" s="1658"/>
      <c r="M10" s="1697"/>
      <c r="N10" s="1697"/>
      <c r="O10" s="1697"/>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hidden="1">
      <c r="A11" s="2107"/>
      <c r="B11" s="2111" t="s">
        <v>1949</v>
      </c>
      <c r="C11" s="3939">
        <f>'数据-汇总表'!I7</f>
        <v>2.3979675131926119</v>
      </c>
      <c r="D11" s="145">
        <v>100</v>
      </c>
      <c r="E11" s="391">
        <v>2</v>
      </c>
      <c r="F11" s="145">
        <f>LOOKUP(E11,69:69,70:70)-LOOKUP(C11,69:69,70:70)+100</f>
        <v>100</v>
      </c>
      <c r="G11" s="392">
        <v>2</v>
      </c>
      <c r="H11" s="145">
        <f>LOOKUP(G11,69:69,70:70)-LOOKUP(C11,69:69,70:70)+100</f>
        <v>100</v>
      </c>
      <c r="I11" s="391">
        <v>2</v>
      </c>
      <c r="J11" s="145">
        <f>LOOKUP(I11,69:69,70:70)-LOOKUP(C11,69:69,70:70)+100</f>
        <v>100</v>
      </c>
      <c r="K11" s="442"/>
      <c r="L11" s="1660"/>
      <c r="M11" s="1654"/>
      <c r="N11" s="1654"/>
      <c r="O11" s="1654"/>
      <c r="P11" s="4195"/>
      <c r="Q11" s="929" t="str">
        <f t="shared" si="6"/>
        <v>容积率</v>
      </c>
      <c r="R11" s="1229" t="s">
        <v>5</v>
      </c>
      <c r="S11" s="1230">
        <f t="shared" si="0"/>
        <v>100</v>
      </c>
      <c r="T11" s="1229" t="s">
        <v>5</v>
      </c>
      <c r="U11" s="1230">
        <f t="shared" si="1"/>
        <v>100</v>
      </c>
      <c r="V11" s="1229" t="s">
        <v>5</v>
      </c>
      <c r="W11" s="1230">
        <f t="shared" si="2"/>
        <v>100</v>
      </c>
      <c r="X11" s="1231"/>
      <c r="Y11" s="4076"/>
      <c r="Z11" s="928" t="str">
        <f t="shared" si="7"/>
        <v>容积率</v>
      </c>
      <c r="AA11" s="1232">
        <f t="shared" si="3"/>
        <v>1</v>
      </c>
      <c r="AB11" s="1232">
        <f t="shared" si="4"/>
        <v>1</v>
      </c>
      <c r="AC11" s="1232">
        <f t="shared" si="5"/>
        <v>1</v>
      </c>
    </row>
    <row r="12" spans="1:29" s="981" customFormat="1" ht="15" hidden="1">
      <c r="A12" s="2108"/>
      <c r="B12" s="2114">
        <v>111</v>
      </c>
      <c r="C12" s="386"/>
      <c r="D12" s="396">
        <v>100</v>
      </c>
      <c r="E12" s="386"/>
      <c r="F12" s="145">
        <f>SUMIF(71:71,E12,72:72)-SUMIF(71:71,C12,72:72)+100</f>
        <v>100</v>
      </c>
      <c r="G12" s="754"/>
      <c r="H12" s="145">
        <f>SUMIF(71:71,G12,72:72)-SUMIF(71:71,C12,72:72)+100</f>
        <v>100</v>
      </c>
      <c r="I12" s="386"/>
      <c r="J12" s="145">
        <f>SUMIF(71:71,I12,72:72)-SUMIF(71:71,C12,72:72)+100</f>
        <v>100</v>
      </c>
      <c r="K12" s="439"/>
      <c r="L12" s="1655"/>
      <c r="M12" s="1656"/>
      <c r="N12" s="1656"/>
      <c r="O12" s="1656"/>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hidden="1">
      <c r="A13" s="2108"/>
      <c r="B13" s="2114">
        <v>111</v>
      </c>
      <c r="C13" s="397"/>
      <c r="D13" s="398">
        <v>100</v>
      </c>
      <c r="E13" s="386"/>
      <c r="F13" s="145">
        <f>SUMIF(73:73,E13,74:74)-SUMIF(73:73,C13,74:74)+100</f>
        <v>100</v>
      </c>
      <c r="G13" s="754"/>
      <c r="H13" s="398">
        <f>SUMIF(73:73,G13,74:74)-SUMIF(73:73,C13,74:74)+100</f>
        <v>100</v>
      </c>
      <c r="I13" s="386"/>
      <c r="J13" s="398">
        <f>SUMIF(73:73,I13,74:74)-SUMIF(73:73,C13,74:74)+100</f>
        <v>100</v>
      </c>
      <c r="K13" s="439"/>
      <c r="L13" s="1662"/>
      <c r="M13" s="1654"/>
      <c r="N13" s="1654"/>
      <c r="O13" s="1654"/>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hidden="1" thickBot="1">
      <c r="A14" s="2109"/>
      <c r="B14" s="2115">
        <v>111</v>
      </c>
      <c r="C14" s="403"/>
      <c r="D14" s="404">
        <v>100</v>
      </c>
      <c r="E14" s="755"/>
      <c r="F14" s="404">
        <f>SUMIF(75:75,E14,76:76)-SUMIF(75:75,C14,76:76)+100</f>
        <v>100</v>
      </c>
      <c r="G14" s="754"/>
      <c r="H14" s="404">
        <f>SUMIF(75:75,G14,76:76)-SUMIF(75:75,C14,76:76)+100</f>
        <v>100</v>
      </c>
      <c r="I14" s="386"/>
      <c r="J14" s="404">
        <f>SUMIF(75:75,I14,76:76)-SUMIF(75:75,C14,76:76)+100</f>
        <v>100</v>
      </c>
      <c r="K14" s="439"/>
      <c r="L14" s="1662"/>
      <c r="M14" s="1654"/>
      <c r="N14" s="1654"/>
      <c r="O14" s="1654"/>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100</v>
      </c>
      <c r="I15" s="408"/>
      <c r="J15" s="407">
        <f>SUMIF(77:77,I16,78:78)-SUMIF(77:77,C16,78:78)+100</f>
        <v>100</v>
      </c>
      <c r="K15" s="742">
        <v>2</v>
      </c>
      <c r="L15" s="1662"/>
      <c r="M15" s="1654"/>
      <c r="N15" s="1654"/>
      <c r="O15" s="1654"/>
      <c r="P15" s="4228" t="s">
        <v>489</v>
      </c>
      <c r="Q15" s="1233" t="str">
        <f t="shared" si="6"/>
        <v>办公集聚程度</v>
      </c>
      <c r="R15" s="1234" t="s">
        <v>5</v>
      </c>
      <c r="S15" s="1235">
        <f t="shared" si="0"/>
        <v>100</v>
      </c>
      <c r="T15" s="1234" t="s">
        <v>5</v>
      </c>
      <c r="U15" s="1235">
        <f t="shared" si="1"/>
        <v>100</v>
      </c>
      <c r="V15" s="1234" t="s">
        <v>5</v>
      </c>
      <c r="W15" s="1235">
        <f t="shared" si="2"/>
        <v>100</v>
      </c>
      <c r="X15" s="1228"/>
      <c r="Y15" s="4228" t="s">
        <v>489</v>
      </c>
      <c r="Z15" s="1236" t="str">
        <f t="shared" si="7"/>
        <v>办公集聚程度</v>
      </c>
      <c r="AA15" s="1237">
        <f t="shared" si="3"/>
        <v>1</v>
      </c>
      <c r="AB15" s="1237">
        <f t="shared" si="4"/>
        <v>1</v>
      </c>
      <c r="AC15" s="1237">
        <f t="shared" si="5"/>
        <v>1</v>
      </c>
    </row>
    <row r="16" spans="1:29" ht="15">
      <c r="A16" s="390"/>
      <c r="B16" s="411"/>
      <c r="C16" s="412" t="s">
        <v>3180</v>
      </c>
      <c r="D16" s="413"/>
      <c r="E16" s="434" t="s">
        <v>3180</v>
      </c>
      <c r="F16" s="413"/>
      <c r="G16" s="434" t="s">
        <v>3180</v>
      </c>
      <c r="H16" s="417"/>
      <c r="I16" s="434" t="s">
        <v>3180</v>
      </c>
      <c r="J16" s="413"/>
      <c r="K16" s="743"/>
      <c r="L16" s="1662"/>
      <c r="M16" s="1654"/>
      <c r="N16" s="1654"/>
      <c r="O16" s="1654"/>
      <c r="P16" s="4229"/>
      <c r="Q16" s="1233"/>
      <c r="R16" s="1234"/>
      <c r="S16" s="1235"/>
      <c r="T16" s="1234"/>
      <c r="U16" s="1235"/>
      <c r="V16" s="1234"/>
      <c r="W16" s="1235"/>
      <c r="X16" s="1228"/>
      <c r="Y16" s="4229"/>
      <c r="Z16" s="1236"/>
      <c r="AA16" s="1237">
        <v>1</v>
      </c>
      <c r="AB16" s="1237">
        <v>1</v>
      </c>
      <c r="AC16" s="1237">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97</v>
      </c>
      <c r="G17" s="420"/>
      <c r="H17" s="423">
        <f>SUMIF(79:79,G18,80:80)-SUMIF(79:79,C18,80:80)+100</f>
        <v>100</v>
      </c>
      <c r="I17" s="420"/>
      <c r="J17" s="423">
        <f>SUMIF(79:79,I18,80:80)-SUMIF(79:79,C18,80:80)+100</f>
        <v>100</v>
      </c>
      <c r="K17" s="742">
        <v>3</v>
      </c>
      <c r="L17" s="1662"/>
      <c r="M17" s="1654"/>
      <c r="N17" s="1654"/>
      <c r="O17" s="1654"/>
      <c r="P17" s="4229"/>
      <c r="Q17" s="1233" t="str">
        <f>B17</f>
        <v>交通便捷度</v>
      </c>
      <c r="R17" s="1234" t="s">
        <v>5</v>
      </c>
      <c r="S17" s="1235">
        <f>F17</f>
        <v>97</v>
      </c>
      <c r="T17" s="1234" t="s">
        <v>5</v>
      </c>
      <c r="U17" s="1235">
        <f>H17</f>
        <v>100</v>
      </c>
      <c r="V17" s="1234" t="s">
        <v>5</v>
      </c>
      <c r="W17" s="1235">
        <f>J17</f>
        <v>100</v>
      </c>
      <c r="X17" s="1228"/>
      <c r="Y17" s="4229"/>
      <c r="Z17" s="1236" t="str">
        <f>Q17</f>
        <v>交通便捷度</v>
      </c>
      <c r="AA17" s="1237">
        <f t="shared" si="3"/>
        <v>1.0309278350515463</v>
      </c>
      <c r="AB17" s="1237">
        <f t="shared" si="4"/>
        <v>1</v>
      </c>
      <c r="AC17" s="1237">
        <f t="shared" si="5"/>
        <v>1</v>
      </c>
    </row>
    <row r="18" spans="1:29" ht="15">
      <c r="A18" s="390"/>
      <c r="B18" s="424"/>
      <c r="C18" s="3943" t="s">
        <v>3179</v>
      </c>
      <c r="D18" s="417"/>
      <c r="E18" s="427" t="s">
        <v>3180</v>
      </c>
      <c r="F18" s="417"/>
      <c r="G18" s="426" t="s">
        <v>3179</v>
      </c>
      <c r="H18" s="413"/>
      <c r="I18" s="426" t="s">
        <v>3179</v>
      </c>
      <c r="J18" s="413"/>
      <c r="K18" s="743"/>
      <c r="L18" s="1662"/>
      <c r="M18" s="1654"/>
      <c r="N18" s="1654"/>
      <c r="O18" s="1654"/>
      <c r="P18" s="4229"/>
      <c r="Q18" s="1233"/>
      <c r="R18" s="1234"/>
      <c r="S18" s="1235"/>
      <c r="T18" s="1234"/>
      <c r="U18" s="1235"/>
      <c r="V18" s="1234"/>
      <c r="W18" s="1235"/>
      <c r="X18" s="1228"/>
      <c r="Y18" s="4229"/>
      <c r="Z18" s="1236"/>
      <c r="AA18" s="1237">
        <v>1</v>
      </c>
      <c r="AB18" s="1237">
        <v>1</v>
      </c>
      <c r="AC18" s="1237">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2">
        <v>2</v>
      </c>
      <c r="L19" s="1662"/>
      <c r="M19" s="1654"/>
      <c r="N19" s="1654"/>
      <c r="O19" s="1654"/>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24"/>
      <c r="C20" s="412" t="s">
        <v>3180</v>
      </c>
      <c r="D20" s="413"/>
      <c r="E20" s="416" t="s">
        <v>3180</v>
      </c>
      <c r="F20" s="413"/>
      <c r="G20" s="414" t="s">
        <v>3180</v>
      </c>
      <c r="H20" s="413"/>
      <c r="I20" s="414" t="s">
        <v>3180</v>
      </c>
      <c r="J20" s="413"/>
      <c r="K20" s="743"/>
      <c r="L20" s="1662"/>
      <c r="M20" s="1654"/>
      <c r="N20" s="1654"/>
      <c r="O20" s="1654"/>
      <c r="P20" s="4229"/>
      <c r="Q20" s="1233"/>
      <c r="R20" s="1234"/>
      <c r="S20" s="1235"/>
      <c r="T20" s="1234"/>
      <c r="U20" s="1235"/>
      <c r="V20" s="1234"/>
      <c r="W20" s="1235"/>
      <c r="X20" s="1228"/>
      <c r="Y20" s="4229"/>
      <c r="Z20" s="1236"/>
      <c r="AA20" s="1237">
        <v>1</v>
      </c>
      <c r="AB20" s="1237">
        <v>1</v>
      </c>
      <c r="AC20" s="1237">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2">
        <v>1</v>
      </c>
      <c r="L21" s="1662"/>
      <c r="M21" s="1654"/>
      <c r="N21" s="1654"/>
      <c r="O21" s="1654"/>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436"/>
      <c r="C22" s="3943" t="s">
        <v>3266</v>
      </c>
      <c r="D22" s="413"/>
      <c r="E22" s="434" t="s">
        <v>3266</v>
      </c>
      <c r="F22" s="413"/>
      <c r="G22" s="412" t="s">
        <v>3266</v>
      </c>
      <c r="H22" s="413"/>
      <c r="I22" s="412" t="s">
        <v>3266</v>
      </c>
      <c r="J22" s="413"/>
      <c r="K22" s="1975"/>
      <c r="L22" s="1662"/>
      <c r="M22" s="1654"/>
      <c r="N22" s="1654"/>
      <c r="O22" s="1654"/>
      <c r="P22" s="4229"/>
      <c r="Q22" s="1958"/>
      <c r="R22" s="1234"/>
      <c r="S22" s="1235"/>
      <c r="T22" s="1234"/>
      <c r="U22" s="1235"/>
      <c r="V22" s="1234"/>
      <c r="W22" s="1235"/>
      <c r="X22" s="1960"/>
      <c r="Y22" s="4229"/>
      <c r="Z22" s="1959"/>
      <c r="AA22" s="1237">
        <v>1</v>
      </c>
      <c r="AB22" s="1237">
        <v>1</v>
      </c>
      <c r="AC22" s="1237">
        <v>1</v>
      </c>
    </row>
    <row r="23" spans="1:29" ht="57">
      <c r="A23" s="390"/>
      <c r="B23" s="418" t="s">
        <v>718</v>
      </c>
      <c r="C23" s="431" t="str">
        <f>估价对象房地状况!C9</f>
        <v>区域自然环境：；人文环境；综合评价环境状况一般</v>
      </c>
      <c r="D23" s="417">
        <v>100</v>
      </c>
      <c r="E23" s="422"/>
      <c r="F23" s="417">
        <f>SUMIF(85:85,E24,86:86)-SUMIF(85:85,C24,86:86)+100</f>
        <v>100</v>
      </c>
      <c r="G23" s="420"/>
      <c r="H23" s="417">
        <f>SUMIF(85:85,G24,86:86)-SUMIF(85:85,C24,86:86)+100</f>
        <v>97</v>
      </c>
      <c r="I23" s="420"/>
      <c r="J23" s="417">
        <f>SUMIF(85:85,I24,86:86)-SUMIF(85:85,C24,86:86)+100</f>
        <v>97</v>
      </c>
      <c r="K23" s="742">
        <v>3</v>
      </c>
      <c r="L23" s="1662"/>
      <c r="M23" s="1654"/>
      <c r="N23" s="1654"/>
      <c r="O23" s="1654"/>
      <c r="P23" s="4229"/>
      <c r="Q23" s="1233" t="str">
        <f>B23</f>
        <v>环境质量</v>
      </c>
      <c r="R23" s="1234" t="s">
        <v>5</v>
      </c>
      <c r="S23" s="1235">
        <f>F23</f>
        <v>100</v>
      </c>
      <c r="T23" s="1234" t="s">
        <v>5</v>
      </c>
      <c r="U23" s="1235">
        <f>H23</f>
        <v>97</v>
      </c>
      <c r="V23" s="1234" t="s">
        <v>5</v>
      </c>
      <c r="W23" s="1235">
        <f>J23</f>
        <v>97</v>
      </c>
      <c r="X23" s="1228"/>
      <c r="Y23" s="4229"/>
      <c r="Z23" s="1236" t="str">
        <f>Q23</f>
        <v>环境质量</v>
      </c>
      <c r="AA23" s="1237">
        <f t="shared" si="3"/>
        <v>1</v>
      </c>
      <c r="AB23" s="1237">
        <f t="shared" si="4"/>
        <v>1.0309278350515463</v>
      </c>
      <c r="AC23" s="1237">
        <f t="shared" si="5"/>
        <v>1.0309278350515463</v>
      </c>
    </row>
    <row r="24" spans="1:29" ht="15">
      <c r="A24" s="390"/>
      <c r="B24" s="436"/>
      <c r="C24" s="412" t="s">
        <v>3179</v>
      </c>
      <c r="D24" s="413"/>
      <c r="E24" s="416" t="s">
        <v>3179</v>
      </c>
      <c r="F24" s="413"/>
      <c r="G24" s="414" t="s">
        <v>3180</v>
      </c>
      <c r="H24" s="413"/>
      <c r="I24" s="414" t="s">
        <v>3180</v>
      </c>
      <c r="J24" s="413"/>
      <c r="K24" s="743"/>
      <c r="L24" s="1662"/>
      <c r="M24" s="1654"/>
      <c r="N24" s="1654"/>
      <c r="O24" s="1654"/>
      <c r="P24" s="4229"/>
      <c r="Q24" s="1233"/>
      <c r="R24" s="1234"/>
      <c r="S24" s="1235"/>
      <c r="T24" s="1234"/>
      <c r="U24" s="1235"/>
      <c r="V24" s="1234"/>
      <c r="W24" s="1235"/>
      <c r="X24" s="1228"/>
      <c r="Y24" s="4229"/>
      <c r="Z24" s="1236"/>
      <c r="AA24" s="1237">
        <v>1</v>
      </c>
      <c r="AB24" s="1237">
        <v>1</v>
      </c>
      <c r="AC24" s="1237">
        <v>1</v>
      </c>
    </row>
    <row r="25" spans="1:29" ht="27">
      <c r="A25" s="373"/>
      <c r="B25" s="418" t="s">
        <v>497</v>
      </c>
      <c r="C25" s="756"/>
      <c r="D25" s="398">
        <v>100</v>
      </c>
      <c r="E25" s="397"/>
      <c r="F25" s="398">
        <f>SUMIF(87:87,E26,88:88)-SUMIF(87:87,C26,88:88)+100</f>
        <v>100</v>
      </c>
      <c r="G25" s="756"/>
      <c r="H25" s="398">
        <f>SUMIF(87:87,G26,88:88)-SUMIF(87:87,C26,88:88)+100</f>
        <v>100</v>
      </c>
      <c r="I25" s="397"/>
      <c r="J25" s="398">
        <f>SUMIF(87:87,I26,88:88)-SUMIF(87:87,C26,88:88)+100</f>
        <v>100</v>
      </c>
      <c r="K25" s="742">
        <v>1</v>
      </c>
      <c r="L25" s="1662"/>
      <c r="M25" s="1654"/>
      <c r="N25" s="1654"/>
      <c r="O25" s="1654"/>
      <c r="P25" s="4229"/>
      <c r="Q25" s="1233" t="str">
        <f>B25</f>
        <v>毗邻道路的类型与等级</v>
      </c>
      <c r="R25" s="1234" t="s">
        <v>5</v>
      </c>
      <c r="S25" s="1235">
        <f>F25</f>
        <v>100</v>
      </c>
      <c r="T25" s="1234" t="s">
        <v>5</v>
      </c>
      <c r="U25" s="1235">
        <f>H25</f>
        <v>100</v>
      </c>
      <c r="V25" s="1234" t="s">
        <v>5</v>
      </c>
      <c r="W25" s="1235">
        <f>J25</f>
        <v>100</v>
      </c>
      <c r="X25" s="1228"/>
      <c r="Y25" s="4229"/>
      <c r="Z25" s="1236" t="str">
        <f>Q25</f>
        <v>毗邻道路的类型与等级</v>
      </c>
      <c r="AA25" s="1237">
        <f t="shared" si="3"/>
        <v>1</v>
      </c>
      <c r="AB25" s="1237">
        <f t="shared" si="4"/>
        <v>1</v>
      </c>
      <c r="AC25" s="1237">
        <f t="shared" si="5"/>
        <v>1</v>
      </c>
    </row>
    <row r="26" spans="1:29" ht="15">
      <c r="A26" s="373"/>
      <c r="B26" s="424"/>
      <c r="C26" s="438"/>
      <c r="D26" s="398"/>
      <c r="E26" s="441"/>
      <c r="F26" s="398"/>
      <c r="G26" s="438"/>
      <c r="H26" s="398"/>
      <c r="I26" s="441"/>
      <c r="J26" s="398"/>
      <c r="K26" s="743"/>
      <c r="L26" s="1662"/>
      <c r="M26" s="1654"/>
      <c r="N26" s="1654"/>
      <c r="O26" s="1654"/>
      <c r="P26" s="4229"/>
      <c r="Q26" s="1233"/>
      <c r="R26" s="1234"/>
      <c r="S26" s="1235"/>
      <c r="T26" s="1234"/>
      <c r="U26" s="1235"/>
      <c r="V26" s="1234"/>
      <c r="W26" s="1235"/>
      <c r="X26" s="1228"/>
      <c r="Y26" s="4229"/>
      <c r="Z26" s="1236"/>
      <c r="AA26" s="1237">
        <v>1</v>
      </c>
      <c r="AB26" s="1237">
        <v>1</v>
      </c>
      <c r="AC26" s="1237">
        <v>1</v>
      </c>
    </row>
    <row r="27" spans="1:29" ht="15.75" thickBot="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v>2</v>
      </c>
      <c r="L27" s="1662"/>
      <c r="M27" s="1654"/>
      <c r="N27" s="1654"/>
      <c r="O27" s="1654"/>
      <c r="P27" s="4229"/>
      <c r="Q27" s="1233" t="str">
        <f t="shared" ref="Q27:Q47" si="8">B27</f>
        <v>楼层</v>
      </c>
      <c r="R27" s="1234" t="s">
        <v>5</v>
      </c>
      <c r="S27" s="1235">
        <f>F27</f>
        <v>100</v>
      </c>
      <c r="T27" s="1234" t="s">
        <v>5</v>
      </c>
      <c r="U27" s="1235">
        <f>H27</f>
        <v>100</v>
      </c>
      <c r="V27" s="1234" t="s">
        <v>5</v>
      </c>
      <c r="W27" s="1235">
        <f>J27</f>
        <v>100</v>
      </c>
      <c r="X27" s="1228"/>
      <c r="Y27" s="4229"/>
      <c r="Z27" s="1236" t="str">
        <f>Q27</f>
        <v>楼层</v>
      </c>
      <c r="AA27" s="1237">
        <f t="shared" si="3"/>
        <v>1</v>
      </c>
      <c r="AB27" s="1237">
        <f t="shared" si="4"/>
        <v>1</v>
      </c>
      <c r="AC27" s="1237">
        <f t="shared" si="5"/>
        <v>1</v>
      </c>
    </row>
    <row r="28" spans="1:29" s="981" customFormat="1" ht="15" hidden="1">
      <c r="A28" s="394"/>
      <c r="B28" s="418" t="s">
        <v>719</v>
      </c>
      <c r="C28" s="757"/>
      <c r="D28" s="719">
        <v>100</v>
      </c>
      <c r="E28" s="745"/>
      <c r="F28" s="719">
        <f>SUMIF(91:91,E28,92:92)-SUMIF(91:91,C28,92:92)+100</f>
        <v>100</v>
      </c>
      <c r="G28" s="757"/>
      <c r="H28" s="719">
        <f>SUMIF(91:91,G28,92:92)-SUMIF(91:91,C28,92:92)+100</f>
        <v>100</v>
      </c>
      <c r="I28" s="745"/>
      <c r="J28" s="719">
        <f>SUMIF(91:91,I28,92:92)-SUMIF(91:91,C28,92:92)+100</f>
        <v>100</v>
      </c>
      <c r="K28" s="442"/>
      <c r="L28" s="1655"/>
      <c r="M28" s="1656"/>
      <c r="N28" s="1656"/>
      <c r="O28" s="1656"/>
      <c r="P28" s="4229"/>
      <c r="Q28" s="929" t="str">
        <f t="shared" si="8"/>
        <v>朝向</v>
      </c>
      <c r="R28" s="1229" t="s">
        <v>5</v>
      </c>
      <c r="S28" s="1230">
        <f>F28</f>
        <v>100</v>
      </c>
      <c r="T28" s="1229" t="s">
        <v>5</v>
      </c>
      <c r="U28" s="1230">
        <f>H28</f>
        <v>100</v>
      </c>
      <c r="V28" s="1229" t="s">
        <v>5</v>
      </c>
      <c r="W28" s="1230">
        <f>J28</f>
        <v>100</v>
      </c>
      <c r="X28" s="1231"/>
      <c r="Y28" s="4229"/>
      <c r="Z28" s="928" t="str">
        <f>Q28</f>
        <v>朝向</v>
      </c>
      <c r="AA28" s="1237">
        <f>D28/F28</f>
        <v>1</v>
      </c>
      <c r="AB28" s="1237">
        <f>D28/H28</f>
        <v>1</v>
      </c>
      <c r="AC28" s="1237">
        <f>D28/J28</f>
        <v>1</v>
      </c>
    </row>
    <row r="29" spans="1:29" ht="15" hidden="1">
      <c r="A29" s="390"/>
      <c r="B29" s="443">
        <v>111</v>
      </c>
      <c r="C29" s="756"/>
      <c r="D29" s="398">
        <v>100</v>
      </c>
      <c r="E29" s="386"/>
      <c r="F29" s="398">
        <f>SUMIF(93:93,E29,94:94)-SUMIF(93:93,C29,94:94)+100</f>
        <v>100</v>
      </c>
      <c r="G29" s="754"/>
      <c r="H29" s="398">
        <f>SUMIF(93:93,G29,94:94)-SUMIF(93:93,C29,94:94)+100</f>
        <v>100</v>
      </c>
      <c r="I29" s="386"/>
      <c r="J29" s="398">
        <f>SUMIF(93:93,I29,94:94)-SUMIF(93:93,C29,94:94)+100</f>
        <v>100</v>
      </c>
      <c r="K29" s="439"/>
      <c r="L29" s="1662"/>
      <c r="M29" s="1654"/>
      <c r="N29" s="1654"/>
      <c r="O29" s="1654"/>
      <c r="P29" s="4229"/>
      <c r="Q29" s="1233">
        <f t="shared" si="8"/>
        <v>111</v>
      </c>
      <c r="R29" s="1234" t="s">
        <v>5</v>
      </c>
      <c r="S29" s="1235">
        <f t="shared" ref="S29:S47" si="9">F29</f>
        <v>100</v>
      </c>
      <c r="T29" s="1234" t="s">
        <v>5</v>
      </c>
      <c r="U29" s="1235">
        <f t="shared" ref="U29:U47" si="10">H29</f>
        <v>100</v>
      </c>
      <c r="V29" s="1234" t="s">
        <v>5</v>
      </c>
      <c r="W29" s="1235">
        <f t="shared" ref="W29:W47" si="11">J29</f>
        <v>100</v>
      </c>
      <c r="X29" s="1228"/>
      <c r="Y29" s="4229"/>
      <c r="Z29" s="1236">
        <f t="shared" ref="Z29:Z47" si="12">Q29</f>
        <v>111</v>
      </c>
      <c r="AA29" s="1237">
        <f t="shared" si="3"/>
        <v>1</v>
      </c>
      <c r="AB29" s="1237">
        <f t="shared" si="4"/>
        <v>1</v>
      </c>
      <c r="AC29" s="1237">
        <f t="shared" si="5"/>
        <v>1</v>
      </c>
    </row>
    <row r="30" spans="1:29" ht="15" hidden="1">
      <c r="A30" s="390"/>
      <c r="B30" s="443">
        <v>111</v>
      </c>
      <c r="C30" s="756"/>
      <c r="D30" s="398">
        <v>100</v>
      </c>
      <c r="E30" s="386"/>
      <c r="F30" s="398">
        <f>SUMIF(95:95,E30,96:96)-SUMIF(95:95,C30,96:96)+100</f>
        <v>100</v>
      </c>
      <c r="G30" s="754"/>
      <c r="H30" s="398">
        <f>SUMIF(95:95,G30,96:96)-SUMIF(95:95,C30,96:96)+100</f>
        <v>100</v>
      </c>
      <c r="I30" s="386"/>
      <c r="J30" s="398">
        <f>SUMIF(95:95,I30,96:96)-SUMIF(95:95,C30,96:96)+100</f>
        <v>100</v>
      </c>
      <c r="K30" s="439"/>
      <c r="L30" s="1662"/>
      <c r="M30" s="1654"/>
      <c r="N30" s="1654"/>
      <c r="O30" s="1654"/>
      <c r="P30" s="4229"/>
      <c r="Q30" s="1233">
        <f t="shared" si="8"/>
        <v>111</v>
      </c>
      <c r="R30" s="1234" t="s">
        <v>5</v>
      </c>
      <c r="S30" s="1235">
        <f t="shared" si="9"/>
        <v>100</v>
      </c>
      <c r="T30" s="1234" t="s">
        <v>5</v>
      </c>
      <c r="U30" s="1235">
        <f t="shared" si="10"/>
        <v>100</v>
      </c>
      <c r="V30" s="1234" t="s">
        <v>5</v>
      </c>
      <c r="W30" s="1235">
        <f t="shared" si="11"/>
        <v>100</v>
      </c>
      <c r="X30" s="1228"/>
      <c r="Y30" s="4229"/>
      <c r="Z30" s="1236">
        <f t="shared" si="12"/>
        <v>111</v>
      </c>
      <c r="AA30" s="1237">
        <f t="shared" si="3"/>
        <v>1</v>
      </c>
      <c r="AB30" s="1237">
        <f t="shared" si="4"/>
        <v>1</v>
      </c>
      <c r="AC30" s="1237">
        <f t="shared" si="5"/>
        <v>1</v>
      </c>
    </row>
    <row r="31" spans="1:29" ht="15" hidden="1">
      <c r="A31" s="390"/>
      <c r="B31" s="443">
        <v>111</v>
      </c>
      <c r="C31" s="756"/>
      <c r="D31" s="398">
        <v>100</v>
      </c>
      <c r="E31" s="386"/>
      <c r="F31" s="398">
        <f>SUMIF(97:97,E31,98:98)-SUMIF(97:97,C31,98:98)+100</f>
        <v>100</v>
      </c>
      <c r="G31" s="754"/>
      <c r="H31" s="398">
        <f>SUMIF(97:97,G31,98:98)-SUMIF(97:97,C31,98:98)+100</f>
        <v>100</v>
      </c>
      <c r="I31" s="386"/>
      <c r="J31" s="398">
        <f>SUMIF(97:97,I31,98:98)-SUMIF(97:97,C31,98:98)+100</f>
        <v>100</v>
      </c>
      <c r="K31" s="439"/>
      <c r="L31" s="1662"/>
      <c r="M31" s="1654"/>
      <c r="N31" s="1654"/>
      <c r="O31" s="1654"/>
      <c r="P31" s="4229"/>
      <c r="Q31" s="1233">
        <f t="shared" si="8"/>
        <v>111</v>
      </c>
      <c r="R31" s="1234" t="s">
        <v>5</v>
      </c>
      <c r="S31" s="1235">
        <f t="shared" si="9"/>
        <v>100</v>
      </c>
      <c r="T31" s="1234" t="s">
        <v>5</v>
      </c>
      <c r="U31" s="1235">
        <f t="shared" si="10"/>
        <v>100</v>
      </c>
      <c r="V31" s="1234" t="s">
        <v>5</v>
      </c>
      <c r="W31" s="1235">
        <f t="shared" si="11"/>
        <v>100</v>
      </c>
      <c r="X31" s="1228"/>
      <c r="Y31" s="4229"/>
      <c r="Z31" s="1236">
        <f t="shared" si="12"/>
        <v>111</v>
      </c>
      <c r="AA31" s="1237">
        <f t="shared" si="3"/>
        <v>1</v>
      </c>
      <c r="AB31" s="1237">
        <f t="shared" si="4"/>
        <v>1</v>
      </c>
      <c r="AC31" s="1237">
        <f t="shared" si="5"/>
        <v>1</v>
      </c>
    </row>
    <row r="32" spans="1:29" ht="15.75" hidden="1" thickBot="1">
      <c r="A32" s="401"/>
      <c r="B32" s="758">
        <v>111</v>
      </c>
      <c r="C32" s="759"/>
      <c r="D32" s="404">
        <v>100</v>
      </c>
      <c r="E32" s="755"/>
      <c r="F32" s="404">
        <f>SUMIF(99:99,E32,100:100)-SUMIF(99:99,C32,100:100)+100</f>
        <v>100</v>
      </c>
      <c r="G32" s="754"/>
      <c r="H32" s="404">
        <f>SUMIF(99:99,G32,100:100)-SUMIF(99:99,C32,100:100)+100</f>
        <v>100</v>
      </c>
      <c r="I32" s="386"/>
      <c r="J32" s="404">
        <f>SUMIF(99:99,I32,100:100)-SUMIF(99:99,C32,100:100)+100</f>
        <v>100</v>
      </c>
      <c r="K32" s="439"/>
      <c r="L32" s="1662"/>
      <c r="M32" s="1654"/>
      <c r="N32" s="1654"/>
      <c r="O32" s="1654"/>
      <c r="P32" s="4229"/>
      <c r="Q32" s="1233">
        <f t="shared" si="8"/>
        <v>111</v>
      </c>
      <c r="R32" s="1234" t="s">
        <v>5</v>
      </c>
      <c r="S32" s="1235">
        <f t="shared" si="9"/>
        <v>100</v>
      </c>
      <c r="T32" s="1234" t="s">
        <v>5</v>
      </c>
      <c r="U32" s="1235">
        <f t="shared" si="10"/>
        <v>100</v>
      </c>
      <c r="V32" s="1234" t="s">
        <v>5</v>
      </c>
      <c r="W32" s="1235">
        <f t="shared" si="11"/>
        <v>100</v>
      </c>
      <c r="X32" s="1228"/>
      <c r="Y32" s="4229"/>
      <c r="Z32" s="1236">
        <f t="shared" si="12"/>
        <v>111</v>
      </c>
      <c r="AA32" s="1237">
        <f t="shared" si="3"/>
        <v>1</v>
      </c>
      <c r="AB32" s="1237">
        <f t="shared" si="4"/>
        <v>1</v>
      </c>
      <c r="AC32" s="1237">
        <f t="shared" si="5"/>
        <v>1</v>
      </c>
    </row>
    <row r="33" spans="1:29" ht="15">
      <c r="A33" s="2098" t="s">
        <v>1946</v>
      </c>
      <c r="B33" s="140" t="s">
        <v>720</v>
      </c>
      <c r="C33" s="760" t="s">
        <v>3384</v>
      </c>
      <c r="D33" s="455">
        <v>100</v>
      </c>
      <c r="E33" s="760" t="s">
        <v>3384</v>
      </c>
      <c r="F33" s="433">
        <f>SUMIF(101:101,E33,102:102)-SUMIF(101:101,C33,102:102)+100</f>
        <v>100</v>
      </c>
      <c r="G33" s="760" t="s">
        <v>3384</v>
      </c>
      <c r="H33" s="398">
        <f>SUMIF(101:101,G33,102:102)-SUMIF(101:101,C33,102:102)+100</f>
        <v>100</v>
      </c>
      <c r="I33" s="760" t="s">
        <v>3384</v>
      </c>
      <c r="J33" s="455">
        <f>SUMIF(101:101,I33,102:102)-SUMIF(101:101,C33,102:102)+100</f>
        <v>100</v>
      </c>
      <c r="K33" s="442">
        <v>2</v>
      </c>
      <c r="L33" s="1662"/>
      <c r="M33" s="1654"/>
      <c r="N33" s="1654"/>
      <c r="O33" s="1654"/>
      <c r="P33" s="4230" t="s">
        <v>499</v>
      </c>
      <c r="Q33" s="1233" t="str">
        <f t="shared" si="8"/>
        <v>建筑类型</v>
      </c>
      <c r="R33" s="1234" t="s">
        <v>5</v>
      </c>
      <c r="S33" s="1235">
        <f t="shared" si="9"/>
        <v>100</v>
      </c>
      <c r="T33" s="1234" t="s">
        <v>5</v>
      </c>
      <c r="U33" s="1235">
        <f t="shared" si="10"/>
        <v>100</v>
      </c>
      <c r="V33" s="1234" t="s">
        <v>5</v>
      </c>
      <c r="W33" s="1235">
        <f t="shared" si="11"/>
        <v>100</v>
      </c>
      <c r="X33" s="1228"/>
      <c r="Y33" s="4231" t="s">
        <v>499</v>
      </c>
      <c r="Z33" s="1236" t="str">
        <f t="shared" si="12"/>
        <v>建筑类型</v>
      </c>
      <c r="AA33" s="1237">
        <f t="shared" si="3"/>
        <v>1</v>
      </c>
      <c r="AB33" s="1237">
        <f t="shared" si="4"/>
        <v>1</v>
      </c>
      <c r="AC33" s="1237">
        <f t="shared" si="5"/>
        <v>1</v>
      </c>
    </row>
    <row r="34" spans="1:29" s="1063" customFormat="1" ht="15">
      <c r="A34" s="461"/>
      <c r="B34" s="385" t="s">
        <v>673</v>
      </c>
      <c r="C34" s="3940">
        <f>面积表!F7</f>
        <v>29082.55</v>
      </c>
      <c r="D34" s="145">
        <v>100</v>
      </c>
      <c r="E34" s="392">
        <v>1600</v>
      </c>
      <c r="F34" s="707">
        <f>LOOKUP(E34,104:104,105:105)-LOOKUP(C34,104:104,105:105)+100</f>
        <v>103</v>
      </c>
      <c r="G34" s="391">
        <v>339</v>
      </c>
      <c r="H34" s="145">
        <f>LOOKUP(G34,104:104,105:105)-LOOKUP(C34,104:104,105:105)+100</f>
        <v>103</v>
      </c>
      <c r="I34" s="391">
        <v>500</v>
      </c>
      <c r="J34" s="145">
        <f>LOOKUP(I34,104:104,105:105)-LOOKUP(C34,104:104,105:105)+100</f>
        <v>103</v>
      </c>
      <c r="K34" s="439"/>
      <c r="L34" s="1660"/>
      <c r="M34" s="1690"/>
      <c r="N34" s="1690"/>
      <c r="O34" s="1690"/>
      <c r="P34" s="4231"/>
      <c r="Q34" s="1260" t="str">
        <f t="shared" si="8"/>
        <v>项目建筑规模</v>
      </c>
      <c r="R34" s="1238" t="s">
        <v>5</v>
      </c>
      <c r="S34" s="1239">
        <f t="shared" si="9"/>
        <v>103</v>
      </c>
      <c r="T34" s="1238" t="s">
        <v>5</v>
      </c>
      <c r="U34" s="1239">
        <f t="shared" si="10"/>
        <v>103</v>
      </c>
      <c r="V34" s="1238" t="s">
        <v>5</v>
      </c>
      <c r="W34" s="1239">
        <f t="shared" si="11"/>
        <v>103</v>
      </c>
      <c r="X34" s="1240"/>
      <c r="Y34" s="4231"/>
      <c r="Z34" s="1241" t="str">
        <f t="shared" si="12"/>
        <v>项目建筑规模</v>
      </c>
      <c r="AA34" s="1237">
        <f t="shared" si="3"/>
        <v>0.970873786407767</v>
      </c>
      <c r="AB34" s="1237">
        <f t="shared" si="4"/>
        <v>0.970873786407767</v>
      </c>
      <c r="AC34" s="1237">
        <f t="shared" si="5"/>
        <v>0.970873786407767</v>
      </c>
    </row>
    <row r="35" spans="1:29" ht="15">
      <c r="A35" s="452"/>
      <c r="B35" s="385" t="s">
        <v>674</v>
      </c>
      <c r="C35" s="432" t="s">
        <v>3187</v>
      </c>
      <c r="D35" s="398">
        <v>100</v>
      </c>
      <c r="E35" s="432" t="s">
        <v>3187</v>
      </c>
      <c r="F35" s="433">
        <f>SUMIF(106:106,E35,107:107)-SUMIF(106:106,C35,107:107)+100</f>
        <v>100</v>
      </c>
      <c r="G35" s="432" t="s">
        <v>3187</v>
      </c>
      <c r="H35" s="398">
        <f>SUMIF(106:106,G35,107:107)-SUMIF(106:106,C35,107:107)+100</f>
        <v>100</v>
      </c>
      <c r="I35" s="432" t="s">
        <v>3187</v>
      </c>
      <c r="J35" s="398">
        <f>SUMIF(106:106,I35,107:107)-SUMIF(106:106,C35,107:107)+100</f>
        <v>100</v>
      </c>
      <c r="K35" s="442">
        <v>2</v>
      </c>
      <c r="L35" s="1662"/>
      <c r="M35" s="1654"/>
      <c r="N35" s="1654"/>
      <c r="O35" s="1654"/>
      <c r="P35" s="4231"/>
      <c r="Q35" s="1233" t="str">
        <f t="shared" si="8"/>
        <v>建筑结构</v>
      </c>
      <c r="R35" s="1234" t="s">
        <v>5</v>
      </c>
      <c r="S35" s="1235">
        <f t="shared" si="9"/>
        <v>100</v>
      </c>
      <c r="T35" s="1234" t="s">
        <v>5</v>
      </c>
      <c r="U35" s="1235">
        <f t="shared" si="10"/>
        <v>100</v>
      </c>
      <c r="V35" s="1234" t="s">
        <v>5</v>
      </c>
      <c r="W35" s="1235">
        <f t="shared" si="11"/>
        <v>100</v>
      </c>
      <c r="X35" s="1228"/>
      <c r="Y35" s="4231"/>
      <c r="Z35" s="1236" t="str">
        <f t="shared" si="12"/>
        <v>建筑结构</v>
      </c>
      <c r="AA35" s="1237">
        <f t="shared" si="3"/>
        <v>1</v>
      </c>
      <c r="AB35" s="1237">
        <f t="shared" si="4"/>
        <v>1</v>
      </c>
      <c r="AC35" s="1237">
        <f t="shared" si="5"/>
        <v>1</v>
      </c>
    </row>
    <row r="36" spans="1:29" ht="15">
      <c r="A36" s="452"/>
      <c r="B36" s="385" t="s">
        <v>703</v>
      </c>
      <c r="C36" s="432" t="s">
        <v>3379</v>
      </c>
      <c r="D36" s="398">
        <v>100</v>
      </c>
      <c r="E36" s="432" t="s">
        <v>3379</v>
      </c>
      <c r="F36" s="433">
        <f>SUMIF(108:108,E36,109:109)-SUMIF(108:108,C36,109:109)+100</f>
        <v>100</v>
      </c>
      <c r="G36" s="432" t="s">
        <v>3379</v>
      </c>
      <c r="H36" s="398">
        <f>SUMIF(108:108,G36,109:109)-SUMIF(108:108,C36,109:109)+100</f>
        <v>100</v>
      </c>
      <c r="I36" s="432" t="s">
        <v>3379</v>
      </c>
      <c r="J36" s="398">
        <f>SUMIF(108:108,I36,109:109)-SUMIF(108:108,C36,109:109)+100</f>
        <v>100</v>
      </c>
      <c r="K36" s="442">
        <v>2</v>
      </c>
      <c r="L36" s="1662"/>
      <c r="M36" s="1654"/>
      <c r="N36" s="1654"/>
      <c r="O36" s="1654"/>
      <c r="P36" s="4231"/>
      <c r="Q36" s="1233" t="str">
        <f t="shared" si="8"/>
        <v>公共部分装修</v>
      </c>
      <c r="R36" s="1234" t="s">
        <v>5</v>
      </c>
      <c r="S36" s="1235">
        <f t="shared" si="9"/>
        <v>100</v>
      </c>
      <c r="T36" s="1234" t="s">
        <v>5</v>
      </c>
      <c r="U36" s="1235">
        <f t="shared" si="10"/>
        <v>100</v>
      </c>
      <c r="V36" s="1234" t="s">
        <v>5</v>
      </c>
      <c r="W36" s="1235">
        <f t="shared" si="11"/>
        <v>100</v>
      </c>
      <c r="X36" s="1228"/>
      <c r="Y36" s="4231"/>
      <c r="Z36" s="1236" t="str">
        <f t="shared" si="12"/>
        <v>公共部分装修</v>
      </c>
      <c r="AA36" s="1237">
        <f t="shared" si="3"/>
        <v>1</v>
      </c>
      <c r="AB36" s="1237">
        <f t="shared" si="4"/>
        <v>1</v>
      </c>
      <c r="AC36" s="1237">
        <f t="shared" si="5"/>
        <v>1</v>
      </c>
    </row>
    <row r="37" spans="1:29" ht="15">
      <c r="A37" s="452"/>
      <c r="B37" s="385" t="s">
        <v>704</v>
      </c>
      <c r="C37" s="727">
        <v>1</v>
      </c>
      <c r="D37" s="398">
        <v>100</v>
      </c>
      <c r="E37" s="727">
        <v>0.95</v>
      </c>
      <c r="F37" s="433">
        <f>LOOKUP(E37,111:111,112:112)-LOOKUP(C37,111:111,112:112)+100</f>
        <v>100</v>
      </c>
      <c r="G37" s="727">
        <v>0.95</v>
      </c>
      <c r="H37" s="433">
        <f>LOOKUP(G37,111:111,112:112)-LOOKUP(C37,111:111,112:112)+100</f>
        <v>100</v>
      </c>
      <c r="I37" s="727">
        <v>0.95</v>
      </c>
      <c r="J37" s="398">
        <f>LOOKUP(I37,111:111,112:112)-LOOKUP(C37,111:111,112:112)+100</f>
        <v>100</v>
      </c>
      <c r="K37" s="442">
        <v>1</v>
      </c>
      <c r="L37" s="1662"/>
      <c r="M37" s="1654"/>
      <c r="N37" s="1654"/>
      <c r="O37" s="1654"/>
      <c r="P37" s="4231"/>
      <c r="Q37" s="1233" t="str">
        <f t="shared" si="8"/>
        <v>成新度</v>
      </c>
      <c r="R37" s="1234" t="s">
        <v>5</v>
      </c>
      <c r="S37" s="1235">
        <f t="shared" si="9"/>
        <v>100</v>
      </c>
      <c r="T37" s="1234" t="s">
        <v>5</v>
      </c>
      <c r="U37" s="1235">
        <f t="shared" si="10"/>
        <v>100</v>
      </c>
      <c r="V37" s="1234" t="s">
        <v>5</v>
      </c>
      <c r="W37" s="1235">
        <f t="shared" si="11"/>
        <v>100</v>
      </c>
      <c r="X37" s="1228"/>
      <c r="Y37" s="4231"/>
      <c r="Z37" s="1236" t="str">
        <f t="shared" si="12"/>
        <v>成新度</v>
      </c>
      <c r="AA37" s="1237">
        <f t="shared" si="3"/>
        <v>1</v>
      </c>
      <c r="AB37" s="1237">
        <f t="shared" si="4"/>
        <v>1</v>
      </c>
      <c r="AC37" s="1237">
        <f t="shared" si="5"/>
        <v>1</v>
      </c>
    </row>
    <row r="38" spans="1:29" s="981" customFormat="1" ht="15" hidden="1">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231"/>
      <c r="Q38" s="929" t="str">
        <f t="shared" si="8"/>
        <v>写字楼等级</v>
      </c>
      <c r="R38" s="1229" t="s">
        <v>5</v>
      </c>
      <c r="S38" s="1230">
        <f t="shared" si="9"/>
        <v>100</v>
      </c>
      <c r="T38" s="1229" t="s">
        <v>5</v>
      </c>
      <c r="U38" s="1230">
        <f t="shared" si="10"/>
        <v>100</v>
      </c>
      <c r="V38" s="1229" t="s">
        <v>5</v>
      </c>
      <c r="W38" s="1230">
        <f t="shared" si="11"/>
        <v>100</v>
      </c>
      <c r="X38" s="1231"/>
      <c r="Y38" s="4231"/>
      <c r="Z38" s="928" t="str">
        <f t="shared" si="12"/>
        <v>写字楼等级</v>
      </c>
      <c r="AA38" s="1232">
        <f t="shared" si="3"/>
        <v>1</v>
      </c>
      <c r="AB38" s="1232">
        <f t="shared" si="4"/>
        <v>1</v>
      </c>
      <c r="AC38" s="1232">
        <f t="shared" si="5"/>
        <v>1</v>
      </c>
    </row>
    <row r="39" spans="1:29" ht="15" hidden="1">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231" t="s">
        <v>499</v>
      </c>
      <c r="Q39" s="1233" t="str">
        <f t="shared" si="8"/>
        <v>物业管理</v>
      </c>
      <c r="R39" s="1234" t="s">
        <v>5</v>
      </c>
      <c r="S39" s="1235">
        <f t="shared" si="9"/>
        <v>100</v>
      </c>
      <c r="T39" s="1234" t="s">
        <v>5</v>
      </c>
      <c r="U39" s="1235">
        <f t="shared" si="10"/>
        <v>100</v>
      </c>
      <c r="V39" s="1234" t="s">
        <v>5</v>
      </c>
      <c r="W39" s="1235">
        <f t="shared" si="11"/>
        <v>100</v>
      </c>
      <c r="X39" s="1228"/>
      <c r="Y39" s="4231" t="s">
        <v>499</v>
      </c>
      <c r="Z39" s="1236" t="str">
        <f t="shared" si="12"/>
        <v>物业管理</v>
      </c>
      <c r="AA39" s="1237">
        <f t="shared" si="3"/>
        <v>1</v>
      </c>
      <c r="AB39" s="1237">
        <f t="shared" si="4"/>
        <v>1</v>
      </c>
      <c r="AC39" s="1237">
        <f t="shared" si="5"/>
        <v>1</v>
      </c>
    </row>
    <row r="40" spans="1:29" ht="15">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v>1</v>
      </c>
      <c r="L40" s="1662"/>
      <c r="M40" s="1654"/>
      <c r="N40" s="1654"/>
      <c r="O40" s="1654"/>
      <c r="P40" s="4231"/>
      <c r="Q40" s="1233" t="str">
        <f t="shared" si="8"/>
        <v>市政基础设施</v>
      </c>
      <c r="R40" s="1234" t="s">
        <v>5</v>
      </c>
      <c r="S40" s="1235">
        <f t="shared" si="9"/>
        <v>100</v>
      </c>
      <c r="T40" s="1234" t="s">
        <v>5</v>
      </c>
      <c r="U40" s="1235">
        <f t="shared" si="10"/>
        <v>100</v>
      </c>
      <c r="V40" s="1234" t="s">
        <v>5</v>
      </c>
      <c r="W40" s="1235">
        <f t="shared" si="11"/>
        <v>100</v>
      </c>
      <c r="X40" s="1228"/>
      <c r="Y40" s="4231"/>
      <c r="Z40" s="1236" t="str">
        <f t="shared" si="12"/>
        <v>市政基础设施</v>
      </c>
      <c r="AA40" s="1237">
        <f t="shared" si="3"/>
        <v>1</v>
      </c>
      <c r="AB40" s="1237">
        <f t="shared" si="4"/>
        <v>1</v>
      </c>
      <c r="AC40" s="1237">
        <f t="shared" si="5"/>
        <v>1</v>
      </c>
    </row>
    <row r="41" spans="1:29" ht="15" hidden="1">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231"/>
      <c r="Q41" s="1233" t="str">
        <f t="shared" si="8"/>
        <v>层高</v>
      </c>
      <c r="R41" s="1234" t="s">
        <v>5</v>
      </c>
      <c r="S41" s="1235">
        <f t="shared" si="9"/>
        <v>100</v>
      </c>
      <c r="T41" s="1234" t="s">
        <v>5</v>
      </c>
      <c r="U41" s="1235">
        <f t="shared" si="10"/>
        <v>100</v>
      </c>
      <c r="V41" s="1234" t="s">
        <v>5</v>
      </c>
      <c r="W41" s="1235">
        <f t="shared" si="11"/>
        <v>100</v>
      </c>
      <c r="X41" s="1228"/>
      <c r="Y41" s="4231"/>
      <c r="Z41" s="1236" t="str">
        <f t="shared" si="12"/>
        <v>层高</v>
      </c>
      <c r="AA41" s="1237">
        <f t="shared" si="3"/>
        <v>1</v>
      </c>
      <c r="AB41" s="1237">
        <f t="shared" si="4"/>
        <v>1</v>
      </c>
      <c r="AC41" s="1237">
        <f t="shared" si="5"/>
        <v>1</v>
      </c>
    </row>
    <row r="42" spans="1:29" s="1063" customFormat="1" ht="15" hidden="1">
      <c r="A42" s="461"/>
      <c r="B42" s="748"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231"/>
      <c r="Q42" s="1260" t="str">
        <f t="shared" si="8"/>
        <v>单套建筑面积</v>
      </c>
      <c r="R42" s="1238" t="s">
        <v>5</v>
      </c>
      <c r="S42" s="1239">
        <f t="shared" si="9"/>
        <v>100</v>
      </c>
      <c r="T42" s="1238" t="s">
        <v>5</v>
      </c>
      <c r="U42" s="1239">
        <f t="shared" si="10"/>
        <v>100</v>
      </c>
      <c r="V42" s="1238" t="s">
        <v>5</v>
      </c>
      <c r="W42" s="1239">
        <f t="shared" si="11"/>
        <v>100</v>
      </c>
      <c r="X42" s="1240"/>
      <c r="Y42" s="4231"/>
      <c r="Z42" s="1241" t="str">
        <f t="shared" si="12"/>
        <v>单套建筑面积</v>
      </c>
      <c r="AA42" s="1237">
        <f t="shared" si="3"/>
        <v>1</v>
      </c>
      <c r="AB42" s="1237">
        <f t="shared" si="4"/>
        <v>1</v>
      </c>
      <c r="AC42" s="1237">
        <f t="shared" si="5"/>
        <v>1</v>
      </c>
    </row>
    <row r="43" spans="1:29" ht="15.75" thickBot="1">
      <c r="A43" s="452"/>
      <c r="B43" s="385" t="s">
        <v>710</v>
      </c>
      <c r="C43" s="432"/>
      <c r="D43" s="398">
        <v>100</v>
      </c>
      <c r="E43" s="432"/>
      <c r="F43" s="433">
        <f>SUMIF(123:123,E43,124:124)-SUMIF(123:123,C43,124:124)+100</f>
        <v>100</v>
      </c>
      <c r="G43" s="432"/>
      <c r="H43" s="398">
        <f>SUMIF(123:123,G43,124:124)-SUMIF(123:123,C43,124:124)+100</f>
        <v>100</v>
      </c>
      <c r="I43" s="432"/>
      <c r="J43" s="398">
        <f>SUMIF(123:123,I43,124:124)-SUMIF(123:123,C43,124:124)+100</f>
        <v>100</v>
      </c>
      <c r="K43" s="442">
        <v>2</v>
      </c>
      <c r="L43" s="1662"/>
      <c r="M43" s="1654"/>
      <c r="N43" s="1654"/>
      <c r="O43" s="1654"/>
      <c r="P43" s="4231"/>
      <c r="Q43" s="1233" t="str">
        <f t="shared" si="8"/>
        <v>内部装修</v>
      </c>
      <c r="R43" s="1234" t="s">
        <v>5</v>
      </c>
      <c r="S43" s="1235">
        <f t="shared" si="9"/>
        <v>100</v>
      </c>
      <c r="T43" s="1234" t="s">
        <v>5</v>
      </c>
      <c r="U43" s="1235">
        <f t="shared" si="10"/>
        <v>100</v>
      </c>
      <c r="V43" s="1234" t="s">
        <v>5</v>
      </c>
      <c r="W43" s="1235">
        <f t="shared" si="11"/>
        <v>100</v>
      </c>
      <c r="X43" s="1228"/>
      <c r="Y43" s="4231"/>
      <c r="Z43" s="1236" t="str">
        <f t="shared" si="12"/>
        <v>内部装修</v>
      </c>
      <c r="AA43" s="1237">
        <f t="shared" si="3"/>
        <v>1</v>
      </c>
      <c r="AB43" s="1237">
        <f t="shared" si="4"/>
        <v>1</v>
      </c>
      <c r="AC43" s="1237">
        <f t="shared" si="5"/>
        <v>1</v>
      </c>
    </row>
    <row r="44" spans="1:29" ht="27" hidden="1">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231"/>
      <c r="Q44" s="1233" t="str">
        <f t="shared" si="8"/>
        <v>内部装修维护情况</v>
      </c>
      <c r="R44" s="1234" t="s">
        <v>5</v>
      </c>
      <c r="S44" s="1235">
        <f t="shared" si="9"/>
        <v>100</v>
      </c>
      <c r="T44" s="1234" t="s">
        <v>5</v>
      </c>
      <c r="U44" s="1235">
        <f t="shared" si="10"/>
        <v>100</v>
      </c>
      <c r="V44" s="1234" t="s">
        <v>5</v>
      </c>
      <c r="W44" s="1235">
        <f t="shared" si="11"/>
        <v>100</v>
      </c>
      <c r="X44" s="1228"/>
      <c r="Y44" s="4231"/>
      <c r="Z44" s="1236" t="str">
        <f t="shared" si="12"/>
        <v>内部装修维护情况</v>
      </c>
      <c r="AA44" s="1237">
        <f t="shared" si="3"/>
        <v>1</v>
      </c>
      <c r="AB44" s="1237">
        <f t="shared" si="4"/>
        <v>1</v>
      </c>
      <c r="AC44" s="1237">
        <f t="shared" si="5"/>
        <v>1</v>
      </c>
    </row>
    <row r="45" spans="1:29" s="981" customFormat="1" ht="15" hidden="1">
      <c r="A45" s="458"/>
      <c r="B45" s="721">
        <v>111</v>
      </c>
      <c r="C45" s="724"/>
      <c r="D45" s="145">
        <v>100</v>
      </c>
      <c r="E45" s="386"/>
      <c r="F45" s="707">
        <f>SUMIF(127:127,E45,128:128)-SUMIF(127:127,C45,128:128)+100</f>
        <v>100</v>
      </c>
      <c r="G45" s="386"/>
      <c r="H45" s="145">
        <f>SUMIF(127:127,G45,128:128)-SUMIF(127:127,C45,128:128)+100</f>
        <v>100</v>
      </c>
      <c r="I45" s="386"/>
      <c r="J45" s="145">
        <f>SUMIF(127:127,I45,128:128)-SUMIF(127:127,C45,128:128)+100</f>
        <v>100</v>
      </c>
      <c r="K45" s="439"/>
      <c r="L45" s="1655"/>
      <c r="M45" s="1656"/>
      <c r="N45" s="1656"/>
      <c r="O45" s="1656"/>
      <c r="P45" s="4231"/>
      <c r="Q45" s="929">
        <f t="shared" si="8"/>
        <v>111</v>
      </c>
      <c r="R45" s="1229" t="s">
        <v>5</v>
      </c>
      <c r="S45" s="1230">
        <f t="shared" si="9"/>
        <v>100</v>
      </c>
      <c r="T45" s="1229" t="s">
        <v>5</v>
      </c>
      <c r="U45" s="1230">
        <f t="shared" si="10"/>
        <v>100</v>
      </c>
      <c r="V45" s="1229" t="s">
        <v>5</v>
      </c>
      <c r="W45" s="1230">
        <f t="shared" si="11"/>
        <v>100</v>
      </c>
      <c r="X45" s="1231"/>
      <c r="Y45" s="4231"/>
      <c r="Z45" s="928">
        <f t="shared" si="12"/>
        <v>111</v>
      </c>
      <c r="AA45" s="1232">
        <f t="shared" si="3"/>
        <v>1</v>
      </c>
      <c r="AB45" s="1232">
        <f t="shared" si="4"/>
        <v>1</v>
      </c>
      <c r="AC45" s="1232">
        <f t="shared" si="5"/>
        <v>1</v>
      </c>
    </row>
    <row r="46" spans="1:29" ht="15" hidden="1">
      <c r="A46" s="452"/>
      <c r="B46" s="721">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231"/>
      <c r="Q46" s="1233">
        <f t="shared" si="8"/>
        <v>111</v>
      </c>
      <c r="R46" s="1234" t="s">
        <v>5</v>
      </c>
      <c r="S46" s="1235">
        <f t="shared" si="9"/>
        <v>100</v>
      </c>
      <c r="T46" s="1234" t="s">
        <v>5</v>
      </c>
      <c r="U46" s="1235">
        <f t="shared" si="10"/>
        <v>100</v>
      </c>
      <c r="V46" s="1234" t="s">
        <v>5</v>
      </c>
      <c r="W46" s="1235">
        <f t="shared" si="11"/>
        <v>100</v>
      </c>
      <c r="X46" s="1228"/>
      <c r="Y46" s="4231"/>
      <c r="Z46" s="1236">
        <f t="shared" si="12"/>
        <v>111</v>
      </c>
      <c r="AA46" s="1237">
        <f t="shared" si="3"/>
        <v>1</v>
      </c>
      <c r="AB46" s="1237">
        <f t="shared" si="4"/>
        <v>1</v>
      </c>
      <c r="AC46" s="1237">
        <f t="shared" si="5"/>
        <v>1</v>
      </c>
    </row>
    <row r="47" spans="1:29" ht="15.75" hidden="1" thickBot="1">
      <c r="A47" s="730"/>
      <c r="B47" s="402">
        <v>111</v>
      </c>
      <c r="C47" s="403"/>
      <c r="D47" s="404">
        <v>100</v>
      </c>
      <c r="E47" s="386"/>
      <c r="F47" s="710">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89"/>
      <c r="Q47" s="1233">
        <f t="shared" si="8"/>
        <v>111</v>
      </c>
      <c r="R47" s="1234" t="s">
        <v>5</v>
      </c>
      <c r="S47" s="1235">
        <f t="shared" si="9"/>
        <v>100</v>
      </c>
      <c r="T47" s="1234" t="s">
        <v>5</v>
      </c>
      <c r="U47" s="1235">
        <f t="shared" si="10"/>
        <v>100</v>
      </c>
      <c r="V47" s="1234" t="s">
        <v>5</v>
      </c>
      <c r="W47" s="1235">
        <f t="shared" si="11"/>
        <v>100</v>
      </c>
      <c r="X47" s="1228"/>
      <c r="Y47" s="4289"/>
      <c r="Z47" s="1236">
        <f t="shared" si="12"/>
        <v>111</v>
      </c>
      <c r="AA47" s="1237">
        <f t="shared" si="3"/>
        <v>1</v>
      </c>
      <c r="AB47" s="1237">
        <f t="shared" si="4"/>
        <v>1</v>
      </c>
      <c r="AC47" s="1237">
        <f t="shared" si="5"/>
        <v>1</v>
      </c>
    </row>
    <row r="48" spans="1:29" ht="15">
      <c r="A48" s="465" t="s">
        <v>683</v>
      </c>
      <c r="B48" s="731"/>
      <c r="C48" s="1998" t="s">
        <v>0</v>
      </c>
      <c r="D48" s="1999"/>
      <c r="E48" s="2000">
        <v>2.5</v>
      </c>
      <c r="F48" s="2001"/>
      <c r="G48" s="2002">
        <v>2.5</v>
      </c>
      <c r="H48" s="2003"/>
      <c r="I48" s="2000">
        <v>2.5</v>
      </c>
      <c r="J48" s="2003"/>
      <c r="K48" s="1265"/>
      <c r="L48" s="1664"/>
      <c r="M48" s="1654"/>
      <c r="N48" s="1654"/>
      <c r="O48" s="1654"/>
      <c r="P48" s="4233" t="str">
        <f>A48</f>
        <v>成交单价（元/平方米）</v>
      </c>
      <c r="Q48" s="4195"/>
      <c r="R48" s="4287">
        <f>E48</f>
        <v>2.5</v>
      </c>
      <c r="S48" s="4287"/>
      <c r="T48" s="4287">
        <f>G48</f>
        <v>2.5</v>
      </c>
      <c r="U48" s="4287"/>
      <c r="V48" s="4287">
        <f>I48</f>
        <v>2.5</v>
      </c>
      <c r="W48" s="4287"/>
      <c r="X48" s="1223"/>
      <c r="Y48" s="1242"/>
      <c r="Z48" s="1223"/>
      <c r="AA48" s="1223"/>
      <c r="AB48" s="1223"/>
      <c r="AC48" s="1223"/>
    </row>
    <row r="49" spans="1:29" ht="15.75" thickBot="1">
      <c r="A49" s="473" t="s">
        <v>1951</v>
      </c>
      <c r="B49" s="732"/>
      <c r="C49" s="2004">
        <f>R50</f>
        <v>2.5</v>
      </c>
      <c r="D49" s="2450" t="s">
        <v>2167</v>
      </c>
      <c r="E49" s="2005">
        <f>R49</f>
        <v>2.5</v>
      </c>
      <c r="F49" s="2451"/>
      <c r="G49" s="2004">
        <f>T49</f>
        <v>2.5</v>
      </c>
      <c r="H49" s="2451"/>
      <c r="I49" s="2005">
        <f>V49</f>
        <v>2.5</v>
      </c>
      <c r="J49" s="2451"/>
      <c r="K49" s="2458">
        <f>F49+H49+J49</f>
        <v>0</v>
      </c>
      <c r="L49" s="1664"/>
      <c r="M49" s="1654"/>
      <c r="N49" s="1654"/>
      <c r="O49" s="1654"/>
      <c r="P49" s="4233" t="str">
        <f>A49</f>
        <v>比较价格（元/平方米）</v>
      </c>
      <c r="Q49" s="4195"/>
      <c r="R49" s="4287">
        <f>IF(F1="售价",ROUND(PRODUCT(R48,AA7:AA47),0),ROUND(PRODUCT(R48,AA7:AA47),1))</f>
        <v>2.5</v>
      </c>
      <c r="S49" s="4287"/>
      <c r="T49" s="4287">
        <f>IF(F1="售价",ROUND(PRODUCT(T48,AB7:AB47),0),ROUND(PRODUCT(T48,AB7:AB47),1))</f>
        <v>2.5</v>
      </c>
      <c r="U49" s="4287"/>
      <c r="V49" s="4287">
        <f>IF(F1="售价",ROUND(PRODUCT(V48,AC7:AC47),0),ROUND(PRODUCT(V48,AC7:AC47),1))</f>
        <v>2.5</v>
      </c>
      <c r="W49" s="4287"/>
      <c r="X49" s="1223"/>
      <c r="Y49" s="1223"/>
      <c r="Z49" s="1223"/>
      <c r="AA49" s="1223"/>
      <c r="AB49" s="1223"/>
      <c r="AC49" s="1223"/>
    </row>
    <row r="50" spans="1:29" ht="15.75" thickBot="1">
      <c r="A50" s="477" t="s">
        <v>2106</v>
      </c>
      <c r="B50" s="478"/>
      <c r="C50" s="2006">
        <f>R50</f>
        <v>2.5</v>
      </c>
      <c r="D50" s="2006"/>
      <c r="E50" s="2006"/>
      <c r="F50" s="2006"/>
      <c r="G50" s="2006"/>
      <c r="H50" s="2006"/>
      <c r="I50" s="2006"/>
      <c r="J50" s="2006"/>
      <c r="K50" s="1266"/>
      <c r="L50" s="1664"/>
      <c r="M50" s="1654"/>
      <c r="N50" s="1654"/>
      <c r="O50" s="1654"/>
      <c r="P50" s="4292" t="str">
        <f>A50</f>
        <v>估价对象XX用房的比较价格（楼面单价，元/平方米）</v>
      </c>
      <c r="Q50" s="4233"/>
      <c r="R50" s="4288">
        <f>IF(F1="售价",ROUND(IF(D49="简单平均",AVERAGE(R49:V49),R49*F49+T49*H49+V49*J49),0),ROUND(IF(D49="简单平均",AVERAGE(R49:V49),R49*F49+T49*H49+V49*J49),1))</f>
        <v>2.5</v>
      </c>
      <c r="S50" s="4288"/>
      <c r="T50" s="4288"/>
      <c r="U50" s="4288"/>
      <c r="V50" s="4288"/>
      <c r="W50" s="4288"/>
      <c r="X50" s="1223"/>
      <c r="Y50" s="1223"/>
      <c r="Z50" s="1223"/>
      <c r="AA50" s="1223"/>
      <c r="AB50" s="1223"/>
      <c r="AC50" s="1223"/>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0</v>
      </c>
      <c r="F53" s="483" t="str">
        <f>IF(OR(E53&gt;=0.3,E53&lt;=-0.3),"超过30%","")</f>
        <v/>
      </c>
      <c r="G53" s="482">
        <f>IF(G48&lt;G49,G49/G48-1,G48/G49-1)</f>
        <v>0</v>
      </c>
      <c r="H53" s="483" t="str">
        <f>IF(OR(G53&gt;=0.3,G53&lt;=-0.3),"超过30%","")</f>
        <v/>
      </c>
      <c r="I53" s="482">
        <f>IF(I48&lt;I49,I49/I48-1,I48/I49-1)</f>
        <v>0</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0</v>
      </c>
      <c r="F54" s="483" t="str">
        <f>IF(OR(E54&gt;=0.2,E54&lt;=-0.2),"超过20%","")</f>
        <v/>
      </c>
      <c r="G54" s="482">
        <f>IF(G49&lt;I49,I49/G49-1,G49/I49-1)</f>
        <v>0</v>
      </c>
      <c r="H54" s="483" t="str">
        <f>IF(OR(G54&gt;=0.2,G54&lt;=-0.2),"超过20%","")</f>
        <v/>
      </c>
      <c r="I54" s="482">
        <f>IF(I49&lt;E49,E49/I49-1,I49/E49-1)</f>
        <v>0</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f>IF(E48&lt;G48,G48/E48-1,E48/G48-1)</f>
        <v>0</v>
      </c>
      <c r="F55" s="483" t="str">
        <f>IF(OR(E55&gt;=0.3,E55&lt;=-0.3),"超过30%","")</f>
        <v/>
      </c>
      <c r="G55" s="482">
        <f>IF(G48&lt;I48,I48/G48-1,G48/I48-1)</f>
        <v>0</v>
      </c>
      <c r="H55" s="483" t="str">
        <f>IF(OR(G55&gt;=0.3,G55&lt;=-0.3),"超过30%","")</f>
        <v/>
      </c>
      <c r="I55" s="482">
        <f>IF(I48&lt;E48,E48/I48-1,I48/E48-1)</f>
        <v>0</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8"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5" t="s">
        <v>522</v>
      </c>
      <c r="B58" s="1223"/>
      <c r="C58" s="1244"/>
      <c r="D58" s="1244"/>
      <c r="E58" s="1244"/>
      <c r="F58" s="1246"/>
      <c r="G58" s="1246"/>
      <c r="H58" s="1244"/>
      <c r="I58" s="1244"/>
      <c r="J58" s="1244"/>
      <c r="K58" s="1247"/>
      <c r="L58" s="1243"/>
      <c r="M58" s="1244"/>
      <c r="N58" s="1676"/>
      <c r="O58" s="1676"/>
      <c r="P58" s="1726"/>
      <c r="Q58" s="1677"/>
      <c r="R58" s="1665"/>
      <c r="S58" s="1665"/>
      <c r="T58" s="1665"/>
      <c r="U58" s="1665"/>
      <c r="V58" s="1665"/>
      <c r="W58" s="1665"/>
      <c r="X58" s="1665"/>
      <c r="Y58" s="1665"/>
      <c r="Z58" s="1665"/>
      <c r="AA58" s="1665"/>
      <c r="AB58" s="1665"/>
      <c r="AC58" s="1665"/>
    </row>
    <row r="59" spans="1:29" s="1070"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1" customFormat="1" ht="15">
      <c r="A60" s="503"/>
      <c r="B60" s="504"/>
      <c r="C60" s="505">
        <v>100</v>
      </c>
      <c r="D60" s="506"/>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1"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1"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1" customFormat="1" ht="15.75" thickBot="1">
      <c r="A63" s="515"/>
      <c r="B63" s="504"/>
      <c r="C63" s="733">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科研办公</v>
      </c>
      <c r="D64" s="3893" t="s">
        <v>3375</v>
      </c>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v>100</v>
      </c>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0（含）-1</v>
      </c>
      <c r="D68" s="538" t="str">
        <f t="shared" ref="D68:L68" si="14">D69&amp;"（含）"&amp;"-"&amp;E69</f>
        <v>1（含）-2</v>
      </c>
      <c r="E68" s="538" t="str">
        <f t="shared" si="14"/>
        <v>2（含）-3</v>
      </c>
      <c r="F68" s="538" t="str">
        <f t="shared" si="14"/>
        <v>3（含）-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0</v>
      </c>
      <c r="D69" s="399">
        <v>1</v>
      </c>
      <c r="E69" s="399">
        <v>2</v>
      </c>
      <c r="F69" s="399">
        <v>3</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3"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3"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3"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3"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3"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3"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98</v>
      </c>
      <c r="E78" s="535">
        <f>D78-$K15</f>
        <v>96</v>
      </c>
      <c r="F78" s="535">
        <f>E78-$K15</f>
        <v>94</v>
      </c>
      <c r="G78" s="535">
        <f>F78-$K15</f>
        <v>92</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97</v>
      </c>
      <c r="E80" s="535">
        <f>D80-$K17</f>
        <v>94</v>
      </c>
      <c r="F80" s="535">
        <f>E80-$K17</f>
        <v>91</v>
      </c>
      <c r="G80" s="535">
        <f>F80-$K17</f>
        <v>88</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9"/>
      <c r="I84" s="779"/>
      <c r="J84" s="779"/>
      <c r="K84" s="779"/>
      <c r="L84" s="779"/>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97</v>
      </c>
      <c r="E86" s="535">
        <f>D86-$K23</f>
        <v>94</v>
      </c>
      <c r="F86" s="535">
        <f>E86-$K23</f>
        <v>91</v>
      </c>
      <c r="G86" s="535">
        <f>F86-$K23</f>
        <v>88</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1" customFormat="1" ht="27.75" thickTop="1">
      <c r="A87" s="565"/>
      <c r="B87" s="529" t="s">
        <v>725</v>
      </c>
      <c r="C87" s="544"/>
      <c r="D87" s="544"/>
      <c r="E87" s="544"/>
      <c r="F87" s="544"/>
      <c r="G87" s="544"/>
      <c r="H87" s="544"/>
      <c r="I87" s="544"/>
      <c r="J87" s="544"/>
      <c r="K87" s="544"/>
      <c r="L87" s="734"/>
      <c r="M87" s="735"/>
      <c r="N87" s="1681"/>
      <c r="O87" s="1681"/>
      <c r="P87" s="1730"/>
      <c r="Q87" s="1677"/>
      <c r="R87" s="1566"/>
      <c r="S87" s="1566"/>
      <c r="T87" s="1566"/>
      <c r="U87" s="1566"/>
      <c r="V87" s="1566"/>
      <c r="W87" s="1566"/>
      <c r="X87" s="1566"/>
      <c r="Y87" s="1566"/>
      <c r="Z87" s="1566"/>
      <c r="AA87" s="1566"/>
      <c r="AB87" s="1566"/>
      <c r="AC87" s="1566"/>
    </row>
    <row r="88" spans="1:29" s="981" customFormat="1" ht="15.75" thickBot="1">
      <c r="A88" s="565"/>
      <c r="B88" s="534"/>
      <c r="C88" s="568">
        <v>100</v>
      </c>
      <c r="D88" s="535">
        <f t="shared" ref="D88:M88" si="16">C88-$K25</f>
        <v>99</v>
      </c>
      <c r="E88" s="535">
        <f t="shared" si="16"/>
        <v>98</v>
      </c>
      <c r="F88" s="535">
        <f t="shared" si="16"/>
        <v>97</v>
      </c>
      <c r="G88" s="535">
        <f t="shared" si="16"/>
        <v>96</v>
      </c>
      <c r="H88" s="535">
        <f t="shared" si="16"/>
        <v>95</v>
      </c>
      <c r="I88" s="535">
        <f t="shared" si="16"/>
        <v>94</v>
      </c>
      <c r="J88" s="535">
        <f t="shared" si="16"/>
        <v>93</v>
      </c>
      <c r="K88" s="535">
        <f t="shared" si="16"/>
        <v>92</v>
      </c>
      <c r="L88" s="535">
        <f t="shared" si="16"/>
        <v>91</v>
      </c>
      <c r="M88" s="535">
        <f t="shared" si="16"/>
        <v>90</v>
      </c>
      <c r="N88" s="1685"/>
      <c r="O88" s="1685"/>
      <c r="P88" s="1730"/>
      <c r="Q88" s="1677"/>
      <c r="R88" s="1566"/>
      <c r="S88" s="1566"/>
      <c r="T88" s="1566"/>
      <c r="U88" s="1566"/>
      <c r="V88" s="1566"/>
      <c r="W88" s="1566"/>
      <c r="X88" s="1566"/>
      <c r="Y88" s="1566"/>
      <c r="Z88" s="1566"/>
      <c r="AA88" s="1566"/>
      <c r="AB88" s="1566"/>
      <c r="AC88" s="1566"/>
    </row>
    <row r="89" spans="1:29" s="981" customFormat="1" ht="15.75" thickTop="1">
      <c r="A89" s="565"/>
      <c r="B89" s="529" t="str">
        <f>B27</f>
        <v>楼层</v>
      </c>
      <c r="C89" s="3890" t="s">
        <v>3391</v>
      </c>
      <c r="D89" s="3890" t="s">
        <v>3392</v>
      </c>
      <c r="E89" s="3890" t="s">
        <v>3393</v>
      </c>
      <c r="F89" s="736"/>
      <c r="G89" s="544"/>
      <c r="H89" s="544"/>
      <c r="I89" s="544"/>
      <c r="J89" s="544"/>
      <c r="K89" s="544"/>
      <c r="L89" s="544"/>
      <c r="M89" s="735"/>
      <c r="N89" s="1681"/>
      <c r="O89" s="1681"/>
      <c r="P89" s="1730"/>
      <c r="Q89" s="1677"/>
      <c r="R89" s="1566"/>
      <c r="S89" s="1566"/>
      <c r="T89" s="1566"/>
      <c r="U89" s="1566"/>
      <c r="V89" s="1566"/>
      <c r="W89" s="1566"/>
      <c r="X89" s="1566"/>
      <c r="Y89" s="1566"/>
      <c r="Z89" s="1566"/>
      <c r="AA89" s="1566"/>
      <c r="AB89" s="1566"/>
      <c r="AC89" s="1566"/>
    </row>
    <row r="90" spans="1:29" s="981" customFormat="1" ht="15.75" thickBot="1">
      <c r="A90" s="565"/>
      <c r="B90" s="534"/>
      <c r="C90" s="568">
        <v>100</v>
      </c>
      <c r="D90" s="535">
        <f>C90-$K27</f>
        <v>98</v>
      </c>
      <c r="E90" s="535">
        <f t="shared" ref="E90:M90" si="17">D90-$K27</f>
        <v>96</v>
      </c>
      <c r="F90" s="535">
        <f t="shared" si="17"/>
        <v>94</v>
      </c>
      <c r="G90" s="535">
        <f t="shared" si="17"/>
        <v>92</v>
      </c>
      <c r="H90" s="535">
        <f t="shared" si="17"/>
        <v>90</v>
      </c>
      <c r="I90" s="535">
        <f t="shared" si="17"/>
        <v>88</v>
      </c>
      <c r="J90" s="535">
        <f t="shared" si="17"/>
        <v>86</v>
      </c>
      <c r="K90" s="535">
        <f t="shared" si="17"/>
        <v>84</v>
      </c>
      <c r="L90" s="535">
        <f t="shared" si="17"/>
        <v>82</v>
      </c>
      <c r="M90" s="535">
        <f t="shared" si="17"/>
        <v>80</v>
      </c>
      <c r="N90" s="1685"/>
      <c r="O90" s="1685"/>
      <c r="P90" s="1730"/>
      <c r="Q90" s="1677"/>
      <c r="R90" s="1566"/>
      <c r="S90" s="1566"/>
      <c r="T90" s="1566"/>
      <c r="U90" s="1566"/>
      <c r="V90" s="1566"/>
      <c r="W90" s="1566"/>
      <c r="X90" s="1566"/>
      <c r="Y90" s="1566"/>
      <c r="Z90" s="1566"/>
      <c r="AA90" s="1566"/>
      <c r="AB90" s="1566"/>
      <c r="AC90" s="1566"/>
    </row>
    <row r="91" spans="1:29" s="1063" customFormat="1" ht="15.75"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3" customFormat="1" ht="15.75"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thickTop="1">
      <c r="A93" s="525"/>
      <c r="B93" s="529">
        <f>B29</f>
        <v>111</v>
      </c>
      <c r="C93" s="544"/>
      <c r="D93" s="544"/>
      <c r="E93" s="544"/>
      <c r="F93" s="544"/>
      <c r="G93" s="544"/>
      <c r="H93" s="544"/>
      <c r="I93" s="544"/>
      <c r="J93" s="544"/>
      <c r="K93" s="544"/>
      <c r="L93" s="734"/>
      <c r="M93" s="735"/>
      <c r="N93" s="1683"/>
      <c r="O93" s="1683"/>
      <c r="P93" s="1730"/>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thickBot="1">
      <c r="A100" s="737"/>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c r="A101" s="520" t="s">
        <v>500</v>
      </c>
      <c r="B101" s="521" t="s">
        <v>687</v>
      </c>
      <c r="C101" s="3893" t="s">
        <v>3385</v>
      </c>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98</v>
      </c>
      <c r="E102" s="535">
        <f t="shared" si="19"/>
        <v>96</v>
      </c>
      <c r="F102" s="535">
        <f t="shared" si="19"/>
        <v>94</v>
      </c>
      <c r="G102" s="535">
        <f t="shared" si="19"/>
        <v>92</v>
      </c>
      <c r="H102" s="535">
        <f t="shared" si="19"/>
        <v>90</v>
      </c>
      <c r="I102" s="535">
        <f t="shared" si="19"/>
        <v>88</v>
      </c>
      <c r="J102" s="535">
        <f t="shared" si="19"/>
        <v>86</v>
      </c>
      <c r="K102" s="535">
        <f t="shared" si="19"/>
        <v>84</v>
      </c>
      <c r="L102" s="535">
        <f t="shared" si="19"/>
        <v>82</v>
      </c>
      <c r="M102" s="536">
        <f t="shared" si="19"/>
        <v>80</v>
      </c>
      <c r="N102" s="1685"/>
      <c r="O102" s="1685"/>
      <c r="P102" s="1730"/>
      <c r="Q102" s="1677"/>
      <c r="R102" s="1665"/>
      <c r="S102" s="1665"/>
      <c r="T102" s="1665"/>
      <c r="U102" s="1665"/>
      <c r="V102" s="1665"/>
      <c r="W102" s="1665"/>
      <c r="X102" s="1665"/>
      <c r="Y102" s="1665"/>
      <c r="Z102" s="1665"/>
      <c r="AA102" s="1665"/>
      <c r="AB102" s="1665"/>
      <c r="AC102" s="1665"/>
    </row>
    <row r="103" spans="1:29" ht="29.25" thickTop="1">
      <c r="A103" s="525"/>
      <c r="B103" s="529" t="s">
        <v>688</v>
      </c>
      <c r="C103" s="564" t="str">
        <f>C104&amp;"(含)"&amp;"-"&amp;D104</f>
        <v>0(含)-5000</v>
      </c>
      <c r="D103" s="564" t="str">
        <f t="shared" ref="D103:L103" si="20">D104&amp;"(含)"&amp;"-"&amp;E104</f>
        <v>5000(含)-10000</v>
      </c>
      <c r="E103" s="564" t="str">
        <f t="shared" si="20"/>
        <v>10000(含)-20000</v>
      </c>
      <c r="F103" s="564" t="str">
        <f t="shared" si="20"/>
        <v>20000(含)-30000</v>
      </c>
      <c r="G103" s="564" t="str">
        <f t="shared" si="20"/>
        <v>30000(含)-</v>
      </c>
      <c r="H103" s="564" t="str">
        <f t="shared" si="20"/>
        <v>(含)-</v>
      </c>
      <c r="I103" s="564" t="str">
        <f t="shared" si="20"/>
        <v>(含)-</v>
      </c>
      <c r="J103" s="564" t="str">
        <f t="shared" si="20"/>
        <v>(含)-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3" customFormat="1">
      <c r="A104" s="584"/>
      <c r="B104" s="585"/>
      <c r="C104" s="586">
        <v>0</v>
      </c>
      <c r="D104" s="586">
        <v>5000</v>
      </c>
      <c r="E104" s="586">
        <v>10000</v>
      </c>
      <c r="F104" s="586">
        <v>20000</v>
      </c>
      <c r="G104" s="586">
        <v>30000</v>
      </c>
      <c r="H104" s="586"/>
      <c r="I104" s="587"/>
      <c r="J104" s="588"/>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3" customFormat="1" ht="15.75" thickBot="1">
      <c r="A105" s="543"/>
      <c r="B105" s="534"/>
      <c r="C105" s="548">
        <v>100</v>
      </c>
      <c r="D105" s="527">
        <v>99</v>
      </c>
      <c r="E105" s="527">
        <v>98</v>
      </c>
      <c r="F105" s="527">
        <v>97</v>
      </c>
      <c r="G105" s="527">
        <v>96</v>
      </c>
      <c r="H105" s="527">
        <v>95</v>
      </c>
      <c r="I105" s="527">
        <v>94</v>
      </c>
      <c r="J105" s="527">
        <v>93</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0" t="s">
        <v>3386</v>
      </c>
      <c r="D106" s="544"/>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98</v>
      </c>
      <c r="E107" s="535">
        <f t="shared" si="21"/>
        <v>96</v>
      </c>
      <c r="F107" s="535">
        <f t="shared" si="21"/>
        <v>94</v>
      </c>
      <c r="G107" s="535">
        <f t="shared" si="21"/>
        <v>92</v>
      </c>
      <c r="H107" s="535">
        <f t="shared" si="21"/>
        <v>90</v>
      </c>
      <c r="I107" s="535">
        <f t="shared" si="21"/>
        <v>88</v>
      </c>
      <c r="J107" s="535">
        <f t="shared" si="21"/>
        <v>86</v>
      </c>
      <c r="K107" s="535">
        <f t="shared" si="21"/>
        <v>84</v>
      </c>
      <c r="L107" s="535">
        <f t="shared" si="21"/>
        <v>82</v>
      </c>
      <c r="M107" s="536">
        <f t="shared" si="21"/>
        <v>80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0" t="s">
        <v>3380</v>
      </c>
      <c r="D108" s="3890" t="s">
        <v>3381</v>
      </c>
      <c r="E108" s="3890" t="s">
        <v>3382</v>
      </c>
      <c r="F108" s="3941" t="s">
        <v>3383</v>
      </c>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98</v>
      </c>
      <c r="E109" s="535">
        <f t="shared" si="22"/>
        <v>96</v>
      </c>
      <c r="F109" s="535">
        <f t="shared" si="22"/>
        <v>94</v>
      </c>
      <c r="G109" s="535">
        <f t="shared" si="22"/>
        <v>92</v>
      </c>
      <c r="H109" s="535">
        <f t="shared" si="22"/>
        <v>90</v>
      </c>
      <c r="I109" s="535">
        <f t="shared" si="22"/>
        <v>88</v>
      </c>
      <c r="J109" s="535">
        <f t="shared" si="22"/>
        <v>86</v>
      </c>
      <c r="K109" s="535">
        <f t="shared" si="22"/>
        <v>84</v>
      </c>
      <c r="L109" s="535">
        <f t="shared" si="22"/>
        <v>82</v>
      </c>
      <c r="M109" s="536">
        <f t="shared" si="22"/>
        <v>80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8">
        <v>0.5</v>
      </c>
      <c r="D111" s="738">
        <v>0.6</v>
      </c>
      <c r="E111" s="738">
        <v>0.7</v>
      </c>
      <c r="F111" s="738">
        <v>0.8</v>
      </c>
      <c r="G111" s="738">
        <v>0.9</v>
      </c>
      <c r="H111" s="738">
        <v>1.0001</v>
      </c>
      <c r="I111" s="749"/>
      <c r="J111" s="749"/>
      <c r="K111" s="750"/>
      <c r="L111" s="751"/>
      <c r="M111" s="752"/>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101</v>
      </c>
      <c r="E112" s="535">
        <f t="shared" ref="E112:M112" si="23">D112+$K37</f>
        <v>102</v>
      </c>
      <c r="F112" s="535">
        <f t="shared" si="23"/>
        <v>103</v>
      </c>
      <c r="G112" s="535">
        <f t="shared" si="23"/>
        <v>104</v>
      </c>
      <c r="H112" s="535">
        <f t="shared" si="23"/>
        <v>105</v>
      </c>
      <c r="I112" s="535">
        <f t="shared" si="23"/>
        <v>106</v>
      </c>
      <c r="J112" s="535">
        <f t="shared" si="23"/>
        <v>107</v>
      </c>
      <c r="K112" s="535">
        <f t="shared" si="23"/>
        <v>108</v>
      </c>
      <c r="L112" s="535">
        <f t="shared" si="23"/>
        <v>109</v>
      </c>
      <c r="M112" s="535">
        <f t="shared" si="23"/>
        <v>110</v>
      </c>
      <c r="N112" s="1685"/>
      <c r="O112" s="1685"/>
      <c r="P112" s="1730"/>
      <c r="Q112" s="1677"/>
      <c r="R112" s="1665"/>
      <c r="S112" s="1665"/>
      <c r="T112" s="1665"/>
      <c r="U112" s="1665"/>
      <c r="V112" s="1665"/>
      <c r="W112" s="1665"/>
      <c r="X112" s="1665"/>
      <c r="Y112" s="1665"/>
      <c r="Z112" s="1665"/>
      <c r="AA112" s="1665"/>
      <c r="AB112" s="1665"/>
      <c r="AC112" s="1665"/>
    </row>
    <row r="113" spans="1:29" s="1063"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3890" t="s">
        <v>3387</v>
      </c>
      <c r="D117" s="3890" t="s">
        <v>3388</v>
      </c>
      <c r="E117" s="3890" t="s">
        <v>3389</v>
      </c>
      <c r="F117" s="3890" t="s">
        <v>3390</v>
      </c>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99</v>
      </c>
      <c r="E118" s="535">
        <f>D118-$K40</f>
        <v>98</v>
      </c>
      <c r="F118" s="535">
        <f>E118-$K40</f>
        <v>97</v>
      </c>
      <c r="G118" s="535">
        <f>F118-$K40</f>
        <v>96</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1" t="s">
        <v>727</v>
      </c>
      <c r="C119" s="574"/>
      <c r="D119" s="574"/>
      <c r="E119" s="574"/>
      <c r="F119" s="574"/>
      <c r="G119" s="574"/>
      <c r="H119" s="574"/>
      <c r="I119" s="574"/>
      <c r="J119" s="574"/>
      <c r="K119" s="574"/>
      <c r="L119" s="762"/>
      <c r="M119" s="763"/>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3"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3"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0" t="s">
        <v>3380</v>
      </c>
      <c r="D123" s="3890" t="s">
        <v>3381</v>
      </c>
      <c r="E123" s="3890" t="s">
        <v>3382</v>
      </c>
      <c r="F123" s="3941" t="s">
        <v>3383</v>
      </c>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98</v>
      </c>
      <c r="E124" s="535">
        <f t="shared" si="27"/>
        <v>96</v>
      </c>
      <c r="F124" s="535">
        <f t="shared" si="27"/>
        <v>94</v>
      </c>
      <c r="G124" s="535">
        <f t="shared" si="27"/>
        <v>92</v>
      </c>
      <c r="H124" s="535">
        <f t="shared" si="27"/>
        <v>90</v>
      </c>
      <c r="I124" s="535">
        <f t="shared" si="27"/>
        <v>88</v>
      </c>
      <c r="J124" s="535">
        <f t="shared" si="27"/>
        <v>86</v>
      </c>
      <c r="K124" s="535">
        <f t="shared" si="27"/>
        <v>84</v>
      </c>
      <c r="L124" s="535">
        <f t="shared" si="27"/>
        <v>82</v>
      </c>
      <c r="M124" s="536">
        <f t="shared" si="27"/>
        <v>80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3" customFormat="1" ht="15" thickTop="1">
      <c r="A127" s="584"/>
      <c r="B127" s="529">
        <f>B45</f>
        <v>111</v>
      </c>
      <c r="C127" s="544"/>
      <c r="D127" s="544"/>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3" customFormat="1" ht="15.75" thickBot="1">
      <c r="A128" s="543"/>
      <c r="B128" s="534"/>
      <c r="C128" s="548"/>
      <c r="D128" s="527"/>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7"/>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xr:uid="{00000000-0002-0000-2800-000000000000}">
      <formula1>办公建筑结构</formula1>
    </dataValidation>
    <dataValidation type="list" allowBlank="1" showInputMessage="1" showErrorMessage="1" sqref="E24 G24 I24 C24" xr:uid="{00000000-0002-0000-2800-000001000000}">
      <formula1>环境</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C44 E44 G44 I44" xr:uid="{00000000-0002-0000-2800-000004000000}">
      <formula1>内部装修维护情况</formula1>
    </dataValidation>
    <dataValidation type="list" allowBlank="1" showInputMessage="1" showErrorMessage="1" sqref="D1" xr:uid="{00000000-0002-0000-2800-000005000000}">
      <formula1>项目类型</formula1>
    </dataValidation>
    <dataValidation type="list" allowBlank="1" showInputMessage="1" showErrorMessage="1" sqref="E9 G9 I9" xr:uid="{00000000-0002-0000-2800-000006000000}">
      <formula1>办公用途</formula1>
    </dataValidation>
    <dataValidation type="list" allowBlank="1" showInputMessage="1" showErrorMessage="1" sqref="C16 E16 G16 I16" xr:uid="{00000000-0002-0000-2800-000007000000}">
      <formula1>办公集聚程度</formula1>
    </dataValidation>
    <dataValidation type="list" allowBlank="1" showInputMessage="1" showErrorMessage="1" sqref="G26 C26 E26 I26" xr:uid="{00000000-0002-0000-2800-000008000000}">
      <formula1>办公道路级别</formula1>
    </dataValidation>
    <dataValidation type="list" allowBlank="1" showInputMessage="1" showErrorMessage="1" sqref="C28 E28 G28 I28" xr:uid="{00000000-0002-0000-2800-000009000000}">
      <formula1>办公朝向</formula1>
    </dataValidation>
    <dataValidation type="list" allowBlank="1" showInputMessage="1" showErrorMessage="1" sqref="C27 E27 G27 I27" xr:uid="{00000000-0002-0000-2800-00000A000000}">
      <formula1>办公楼层</formula1>
    </dataValidation>
    <dataValidation type="list" allowBlank="1" showInputMessage="1" showErrorMessage="1" sqref="C33 E33 G33 I33" xr:uid="{00000000-0002-0000-2800-00000B000000}">
      <formula1>办公建筑类型</formula1>
    </dataValidation>
    <dataValidation type="list" allowBlank="1" showInputMessage="1" showErrorMessage="1" sqref="C36 E36 G36 I36" xr:uid="{00000000-0002-0000-2800-00000C000000}">
      <formula1>办公公共部分装修</formula1>
    </dataValidation>
    <dataValidation type="list" allowBlank="1" showInputMessage="1" showErrorMessage="1" sqref="C38 E38 G38 I38" xr:uid="{00000000-0002-0000-2800-00000D000000}">
      <formula1>写字楼等级</formula1>
    </dataValidation>
    <dataValidation type="list" allowBlank="1" showInputMessage="1" showErrorMessage="1" sqref="C39 E39 G39 I39" xr:uid="{00000000-0002-0000-2800-00000E000000}">
      <formula1>办公物业管理</formula1>
    </dataValidation>
    <dataValidation type="list" allowBlank="1" showInputMessage="1" showErrorMessage="1" sqref="C40 E40 G40 I40" xr:uid="{00000000-0002-0000-2800-00000F000000}">
      <formula1>办公基础设施水平</formula1>
    </dataValidation>
    <dataValidation type="list" allowBlank="1" showInputMessage="1" showErrorMessage="1" sqref="C41 E41 G41 I41" xr:uid="{00000000-0002-0000-2800-000010000000}">
      <formula1>办公层高</formula1>
    </dataValidation>
    <dataValidation type="list" allowBlank="1" showInputMessage="1" showErrorMessage="1" sqref="C43 E43 G43 I43" xr:uid="{00000000-0002-0000-2800-000011000000}">
      <formula1>办公内部装修</formula1>
    </dataValidation>
    <dataValidation type="list" allowBlank="1" showInputMessage="1" showErrorMessage="1" sqref="C8 E8 G8 I8" xr:uid="{00000000-0002-0000-2800-000012000000}">
      <formula1>办公交易情况</formula1>
    </dataValidation>
    <dataValidation type="list" allowBlank="1" showInputMessage="1" showErrorMessage="1" sqref="C22 E22 G22 I22" xr:uid="{00000000-0002-0000-2800-000013000000}">
      <formula1>基础设施水平</formula1>
    </dataValidation>
    <dataValidation type="list" allowBlank="1" showInputMessage="1" showErrorMessage="1" sqref="F1" xr:uid="{00000000-0002-0000-2800-000014000000}">
      <formula1>"售价,租金"</formula1>
    </dataValidation>
    <dataValidation type="list" allowBlank="1" showInputMessage="1" showErrorMessage="1" sqref="D49" xr:uid="{00000000-0002-0000-28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
  <sheetViews>
    <sheetView zoomScale="70" zoomScaleNormal="70" workbookViewId="0">
      <selection activeCell="U27" sqref="U27"/>
    </sheetView>
  </sheetViews>
  <sheetFormatPr defaultRowHeight="13.5"/>
  <sheetData/>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26"/>
  <sheetViews>
    <sheetView view="pageBreakPreview" zoomScale="80" zoomScaleNormal="80" zoomScaleSheetLayoutView="80" workbookViewId="0">
      <selection activeCell="F16" sqref="F16"/>
    </sheetView>
  </sheetViews>
  <sheetFormatPr defaultColWidth="14.625" defaultRowHeight="13.5"/>
  <cols>
    <col min="1" max="1" width="24.375" style="2601" customWidth="1"/>
    <col min="2" max="16384" width="14.625" style="2601"/>
  </cols>
  <sheetData>
    <row r="1" spans="1:10" ht="16.5">
      <c r="A1" s="2600" t="s">
        <v>2026</v>
      </c>
      <c r="B1" s="2600">
        <f>SUM(B14:B23)</f>
        <v>1902.72</v>
      </c>
      <c r="C1" s="2609"/>
      <c r="D1" s="2609"/>
      <c r="E1" s="2609"/>
      <c r="F1" s="2609"/>
      <c r="G1" s="2610"/>
      <c r="H1" s="2610"/>
      <c r="I1" s="2610"/>
      <c r="J1" s="2610"/>
    </row>
    <row r="2" spans="1:10" ht="16.5">
      <c r="A2" s="2600" t="s">
        <v>2027</v>
      </c>
      <c r="B2" s="2600">
        <f>SUM(C14:C23)</f>
        <v>0</v>
      </c>
      <c r="C2" s="2609"/>
      <c r="D2" s="2609"/>
      <c r="E2" s="2609"/>
      <c r="F2" s="2609"/>
      <c r="G2" s="2610"/>
      <c r="H2" s="2610"/>
      <c r="I2" s="2610"/>
      <c r="J2" s="2610"/>
    </row>
    <row r="3" spans="1:10" ht="16.5">
      <c r="A3" s="2600" t="s">
        <v>2028</v>
      </c>
      <c r="B3" s="2602">
        <f>项目基本情况!D3</f>
        <v>45076</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219.95439999999999</v>
      </c>
      <c r="C5" s="2600">
        <f ca="1">ROUND(B5*10000/$B$1,0)</f>
        <v>1156</v>
      </c>
      <c r="D5" s="2600" t="e">
        <f ca="1">ROUND(B5*10000/$B$2,0)</f>
        <v>#DIV/0!</v>
      </c>
      <c r="E5" s="2609"/>
      <c r="F5" s="2609"/>
      <c r="G5" s="2610"/>
      <c r="H5" s="2610"/>
      <c r="I5" s="2610"/>
      <c r="J5" s="2610"/>
    </row>
    <row r="6" spans="1:10" ht="16.5">
      <c r="A6" s="2600" t="s">
        <v>2034</v>
      </c>
      <c r="B6" s="2600">
        <f>SUM(G14:G23)</f>
        <v>0</v>
      </c>
      <c r="C6" s="2600">
        <f>ROUND(B6*10000/$B$1,0)</f>
        <v>0</v>
      </c>
      <c r="D6" s="2600" t="e">
        <f>ROUND(B6*10000/$B$2,0)</f>
        <v>#DIV/0!</v>
      </c>
      <c r="E6" s="2609"/>
      <c r="F6" s="2609"/>
      <c r="G6" s="2610"/>
      <c r="H6" s="2610"/>
      <c r="I6" s="2610"/>
      <c r="J6" s="2610"/>
    </row>
    <row r="7" spans="1:10" ht="16.5">
      <c r="A7" s="2600" t="s">
        <v>2035</v>
      </c>
      <c r="B7" s="2600">
        <f>SUM(H14:H23)</f>
        <v>0</v>
      </c>
      <c r="C7" s="2600">
        <f>ROUND(B7*10000/$B$1,0)</f>
        <v>0</v>
      </c>
      <c r="D7" s="2600" t="e">
        <f>ROUND(B7*10000/$B$2,0)</f>
        <v>#DIV/0!</v>
      </c>
      <c r="E7" s="2609"/>
      <c r="F7" s="2609"/>
      <c r="G7" s="2610"/>
      <c r="H7" s="2610"/>
      <c r="I7" s="2610"/>
      <c r="J7" s="2610"/>
    </row>
    <row r="8" spans="1:10" ht="16.5">
      <c r="A8" s="2600" t="s">
        <v>2036</v>
      </c>
      <c r="B8" s="2600">
        <f>SUM(I14:I23)</f>
        <v>0</v>
      </c>
      <c r="C8" s="2600">
        <f>ROUND(B8*10000/$B$1,0)</f>
        <v>0</v>
      </c>
      <c r="D8" s="2600" t="e">
        <f>ROUND(B8*10000/$B$2,0)</f>
        <v>#DIV/0!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3942">
        <f>面积表!$F$8</f>
        <v>1902.72</v>
      </c>
      <c r="C14" s="2606">
        <f>'数据-汇总表'!D20</f>
        <v>0</v>
      </c>
      <c r="D14" s="2606">
        <f ca="1">结果汇总表!F34</f>
        <v>219.95439999999999</v>
      </c>
      <c r="E14" s="2606">
        <f ca="1">ROUND(D14*10000/B14,0)</f>
        <v>1156</v>
      </c>
      <c r="F14" s="2606" t="e">
        <f ca="1">ROUND(D14*10000/C14,0)</f>
        <v>#DIV/0!</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f>C40</f>
        <v>0</v>
      </c>
      <c r="C2" s="2739" t="s">
        <v>2207</v>
      </c>
      <c r="D2" s="2739"/>
      <c r="E2" s="2740"/>
      <c r="F2" s="2741"/>
      <c r="G2" s="2742"/>
      <c r="H2" s="2743"/>
      <c r="I2" s="2744"/>
      <c r="J2" s="4296" t="s">
        <v>2208</v>
      </c>
      <c r="K2" s="4297"/>
      <c r="L2" s="3884" t="s">
        <v>3260</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98" t="s">
        <v>2217</v>
      </c>
      <c r="K3" s="4299"/>
      <c r="L3" s="2751">
        <f>B4</f>
        <v>0</v>
      </c>
      <c r="M3" s="2751"/>
      <c r="N3" s="2751"/>
      <c r="O3" s="2751"/>
      <c r="P3" s="2751"/>
      <c r="Q3" s="2752">
        <f>L3*0.6</f>
        <v>0</v>
      </c>
      <c r="R3" s="3645">
        <f>SUM(L3:Q3)</f>
        <v>0</v>
      </c>
      <c r="S3" s="2735"/>
      <c r="T3" s="2735"/>
      <c r="U3" s="2735"/>
      <c r="V3" s="2744"/>
    </row>
    <row r="4" spans="1:22" s="2748" customFormat="1" ht="13.15" customHeight="1">
      <c r="A4" s="2754" t="s">
        <v>2218</v>
      </c>
      <c r="B4" s="2755">
        <f>'数据-汇总表'!E20</f>
        <v>0</v>
      </c>
      <c r="C4" s="2739"/>
      <c r="D4" s="2739"/>
      <c r="E4" s="2740"/>
      <c r="F4" s="2741"/>
      <c r="G4" s="2742"/>
      <c r="H4" s="2743"/>
      <c r="I4" s="2744"/>
      <c r="J4" s="4298" t="s">
        <v>2219</v>
      </c>
      <c r="K4" s="4299"/>
      <c r="L4" s="2756">
        <f>B5</f>
        <v>0</v>
      </c>
      <c r="M4" s="2756"/>
      <c r="N4" s="2756"/>
      <c r="O4" s="2756"/>
      <c r="P4" s="2756"/>
      <c r="Q4" s="2757">
        <f>L4*0.6</f>
        <v>0</v>
      </c>
      <c r="R4" s="3646">
        <f>SUM(L4:Q4)</f>
        <v>0</v>
      </c>
      <c r="S4" s="2735"/>
      <c r="T4" s="2735"/>
      <c r="U4" s="2735"/>
      <c r="V4" s="2744"/>
    </row>
    <row r="5" spans="1:22" s="2748" customFormat="1" ht="13.15" customHeight="1" thickBot="1">
      <c r="A5" s="2758" t="s">
        <v>2220</v>
      </c>
      <c r="B5" s="2759">
        <f>'数据-汇总表'!D20</f>
        <v>0</v>
      </c>
      <c r="C5" s="2739"/>
      <c r="D5" s="2760"/>
      <c r="E5" s="2741"/>
      <c r="F5" s="2741"/>
      <c r="G5" s="2742"/>
      <c r="H5" s="2743"/>
      <c r="I5" s="2744"/>
      <c r="J5" s="2761" t="s">
        <v>2221</v>
      </c>
      <c r="K5" s="2762"/>
      <c r="L5" s="2762"/>
      <c r="M5" s="2763"/>
      <c r="N5" s="2763"/>
      <c r="O5" s="2763"/>
      <c r="P5" s="2763"/>
      <c r="Q5" s="2763"/>
      <c r="R5" s="3647">
        <f>SUM(R14,R19,R24,R25,R27,R28)</f>
        <v>0</v>
      </c>
      <c r="S5" s="2735"/>
      <c r="T5" s="2735" t="s">
        <v>2222</v>
      </c>
      <c r="U5" s="2735" t="e">
        <f>ROUND(R5*10000/365/R3,1)</f>
        <v>#DIV/0!</v>
      </c>
      <c r="V5" s="2744"/>
    </row>
    <row r="6" spans="1:22" s="2748" customFormat="1" ht="13.15" customHeight="1" thickBot="1">
      <c r="A6" s="4300" t="s">
        <v>2223</v>
      </c>
      <c r="B6" s="4301"/>
      <c r="C6" s="4302"/>
      <c r="D6" s="3634">
        <f>R5</f>
        <v>0</v>
      </c>
      <c r="E6" s="2764"/>
      <c r="F6" s="2765"/>
      <c r="G6" s="2766"/>
      <c r="H6" s="2743"/>
      <c r="I6" s="2744"/>
      <c r="J6" s="4303">
        <v>1</v>
      </c>
      <c r="K6" s="4304"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5">
        <f>SUM(D9,D10,D11,D17,0)</f>
        <v>0</v>
      </c>
      <c r="E7" s="2772" t="e">
        <f>E9+E10+E11+E17</f>
        <v>#DIV/0!</v>
      </c>
      <c r="F7" s="2773"/>
      <c r="G7" s="2774"/>
      <c r="H7" s="2743"/>
      <c r="I7" s="2744"/>
      <c r="J7" s="4303"/>
      <c r="K7" s="4305"/>
      <c r="L7" s="2775" t="s">
        <v>2234</v>
      </c>
      <c r="M7" s="2776"/>
      <c r="N7" s="2755"/>
      <c r="O7" s="2777"/>
      <c r="P7" s="2777"/>
      <c r="Q7" s="2778">
        <v>365</v>
      </c>
      <c r="R7" s="3648">
        <f>ROUND(M7*N7*O7*P7*Q7/10000,4)</f>
        <v>0</v>
      </c>
      <c r="S7" s="2735"/>
      <c r="T7" s="2735" t="s">
        <v>2235</v>
      </c>
      <c r="U7" s="2735"/>
      <c r="V7" s="2744"/>
    </row>
    <row r="8" spans="1:22" s="2748" customFormat="1" ht="13.15" customHeight="1">
      <c r="A8" s="2779" t="s">
        <v>2236</v>
      </c>
      <c r="B8" s="4307" t="s">
        <v>2237</v>
      </c>
      <c r="C8" s="4308"/>
      <c r="D8" s="2780" t="s">
        <v>2238</v>
      </c>
      <c r="E8" s="2781" t="s">
        <v>2239</v>
      </c>
      <c r="F8" s="2782" t="s">
        <v>2240</v>
      </c>
      <c r="G8" s="2783"/>
      <c r="H8" s="2743"/>
      <c r="I8" s="2744"/>
      <c r="J8" s="4303"/>
      <c r="K8" s="4305"/>
      <c r="L8" s="2775" t="s">
        <v>2241</v>
      </c>
      <c r="M8" s="2776"/>
      <c r="N8" s="2755"/>
      <c r="O8" s="2777"/>
      <c r="P8" s="2777"/>
      <c r="Q8" s="2778">
        <v>365</v>
      </c>
      <c r="R8" s="3648">
        <f t="shared" ref="R8:R13" si="0">ROUND(M8*N8*O8*P8*Q8/10000,4)</f>
        <v>0</v>
      </c>
      <c r="S8" s="2735"/>
      <c r="T8" s="2735" t="s">
        <v>2242</v>
      </c>
      <c r="U8" s="2735"/>
      <c r="V8" s="2744"/>
    </row>
    <row r="9" spans="1:22" s="2748" customFormat="1" ht="13.15" customHeight="1">
      <c r="A9" s="2779">
        <v>1</v>
      </c>
      <c r="B9" s="4307" t="s">
        <v>2243</v>
      </c>
      <c r="C9" s="4308"/>
      <c r="D9" s="3636">
        <f>ROUND(D6*E9,4)</f>
        <v>0</v>
      </c>
      <c r="E9" s="2784">
        <v>0.25</v>
      </c>
      <c r="F9" s="2785" t="s">
        <v>2244</v>
      </c>
      <c r="G9" s="2766"/>
      <c r="H9" s="2743"/>
      <c r="I9" s="2744"/>
      <c r="J9" s="4303"/>
      <c r="K9" s="4305"/>
      <c r="L9" s="2775" t="s">
        <v>2245</v>
      </c>
      <c r="M9" s="2776"/>
      <c r="N9" s="2755"/>
      <c r="O9" s="2777"/>
      <c r="P9" s="2777"/>
      <c r="Q9" s="2778">
        <v>365</v>
      </c>
      <c r="R9" s="3648">
        <f t="shared" si="0"/>
        <v>0</v>
      </c>
      <c r="S9" s="2735"/>
      <c r="T9" s="2735"/>
      <c r="U9" s="2735"/>
      <c r="V9" s="2744"/>
    </row>
    <row r="10" spans="1:22" s="2748" customFormat="1" ht="13.15" customHeight="1">
      <c r="A10" s="2779">
        <v>2</v>
      </c>
      <c r="B10" s="4307" t="s">
        <v>2246</v>
      </c>
      <c r="C10" s="4308"/>
      <c r="D10" s="3636">
        <f>ROUND(D6*E10,4)</f>
        <v>0</v>
      </c>
      <c r="E10" s="2784">
        <v>0.02</v>
      </c>
      <c r="F10" s="2785" t="s">
        <v>2247</v>
      </c>
      <c r="G10" s="2766"/>
      <c r="H10" s="2743"/>
      <c r="I10" s="2744"/>
      <c r="J10" s="4303"/>
      <c r="K10" s="4305"/>
      <c r="L10" s="2775" t="s">
        <v>2248</v>
      </c>
      <c r="M10" s="2776">
        <f>Q3/50</f>
        <v>0</v>
      </c>
      <c r="N10" s="3885">
        <v>800</v>
      </c>
      <c r="O10" s="2777">
        <v>0.01</v>
      </c>
      <c r="P10" s="3886">
        <v>0.7</v>
      </c>
      <c r="Q10" s="2778">
        <v>365</v>
      </c>
      <c r="R10" s="3648">
        <f t="shared" si="0"/>
        <v>0</v>
      </c>
      <c r="S10" s="2735"/>
      <c r="T10" s="2735"/>
      <c r="U10" s="2735"/>
      <c r="V10" s="2744"/>
    </row>
    <row r="11" spans="1:22" s="2748" customFormat="1" ht="13.15" customHeight="1">
      <c r="A11" s="2779">
        <v>3</v>
      </c>
      <c r="B11" s="4307" t="s">
        <v>2249</v>
      </c>
      <c r="C11" s="4308"/>
      <c r="D11" s="3636">
        <f>D12+D14+D15+D16</f>
        <v>0</v>
      </c>
      <c r="E11" s="2786" t="e">
        <f>D11/D6</f>
        <v>#DIV/0!</v>
      </c>
      <c r="F11" s="2782"/>
      <c r="G11" s="2783"/>
      <c r="H11" s="2743"/>
      <c r="I11" s="2744"/>
      <c r="J11" s="4303"/>
      <c r="K11" s="4305"/>
      <c r="L11" s="2775" t="s">
        <v>2250</v>
      </c>
      <c r="M11" s="2776"/>
      <c r="N11" s="2755"/>
      <c r="O11" s="2777"/>
      <c r="P11" s="2777"/>
      <c r="Q11" s="2778">
        <v>365</v>
      </c>
      <c r="R11" s="3648">
        <f t="shared" si="0"/>
        <v>0</v>
      </c>
      <c r="S11" s="2735"/>
      <c r="T11" s="2735"/>
      <c r="U11" s="2735"/>
      <c r="V11" s="2744"/>
    </row>
    <row r="12" spans="1:22" s="2748" customFormat="1" ht="13.15" customHeight="1">
      <c r="A12" s="2787" t="s">
        <v>2251</v>
      </c>
      <c r="B12" s="4309" t="s">
        <v>2252</v>
      </c>
      <c r="C12" s="4310"/>
      <c r="D12" s="3637">
        <f>ROUND(D13*1.2%*(1-30%),4)</f>
        <v>0</v>
      </c>
      <c r="E12" s="2788">
        <v>1.2E-2</v>
      </c>
      <c r="F12" s="2782" t="s">
        <v>2253</v>
      </c>
      <c r="G12" s="2783"/>
      <c r="H12" s="2743"/>
      <c r="I12" s="2744"/>
      <c r="J12" s="4303"/>
      <c r="K12" s="4305"/>
      <c r="L12" s="2775" t="s">
        <v>2254</v>
      </c>
      <c r="M12" s="2776"/>
      <c r="N12" s="2755"/>
      <c r="O12" s="2777"/>
      <c r="P12" s="2777"/>
      <c r="Q12" s="2778">
        <v>365</v>
      </c>
      <c r="R12" s="3648">
        <f t="shared" si="0"/>
        <v>0</v>
      </c>
      <c r="S12" s="2735"/>
      <c r="T12" s="2735"/>
      <c r="U12" s="2735"/>
      <c r="V12" s="2744"/>
    </row>
    <row r="13" spans="1:22" s="2748" customFormat="1" ht="13.15" customHeight="1">
      <c r="A13" s="2787"/>
      <c r="B13" s="2789"/>
      <c r="C13" s="2790" t="s">
        <v>2255</v>
      </c>
      <c r="D13" s="3644"/>
      <c r="E13" s="2791"/>
      <c r="F13" s="2782"/>
      <c r="G13" s="2783"/>
      <c r="H13" s="2743"/>
      <c r="I13" s="2744"/>
      <c r="J13" s="4303"/>
      <c r="K13" s="4305"/>
      <c r="L13" s="2775" t="s">
        <v>2256</v>
      </c>
      <c r="M13" s="2776"/>
      <c r="N13" s="2755"/>
      <c r="O13" s="2777"/>
      <c r="P13" s="2777"/>
      <c r="Q13" s="2778">
        <v>365</v>
      </c>
      <c r="R13" s="3648">
        <f t="shared" si="0"/>
        <v>0</v>
      </c>
      <c r="S13" s="2735"/>
      <c r="T13" s="2735"/>
      <c r="U13" s="2735"/>
      <c r="V13" s="2744"/>
    </row>
    <row r="14" spans="1:22" s="2748" customFormat="1" ht="13.15" customHeight="1">
      <c r="A14" s="2787" t="s">
        <v>2257</v>
      </c>
      <c r="B14" s="4309" t="s">
        <v>2258</v>
      </c>
      <c r="C14" s="4310"/>
      <c r="D14" s="3637">
        <f>ROUND(E14*B5/10000,4)</f>
        <v>0</v>
      </c>
      <c r="E14" s="2778"/>
      <c r="F14" s="2782" t="s">
        <v>2259</v>
      </c>
      <c r="G14" s="2783"/>
      <c r="H14" s="2743"/>
      <c r="I14" s="2744"/>
      <c r="J14" s="4303"/>
      <c r="K14" s="4306"/>
      <c r="L14" s="2792" t="s">
        <v>2260</v>
      </c>
      <c r="M14" s="2793">
        <f>SUM(M7:M13)</f>
        <v>0</v>
      </c>
      <c r="N14" s="2793" t="e">
        <f>ROUND((N7*M7+N8*M8+N9*M9+N10*M10+N11*M11+N12*M12+N13*M13)/M14,0)</f>
        <v>#DIV/0!</v>
      </c>
      <c r="O14" s="2794"/>
      <c r="P14" s="2794"/>
      <c r="Q14" s="2795"/>
      <c r="R14" s="3647">
        <f>SUM(R7:R13)</f>
        <v>0</v>
      </c>
      <c r="S14" s="2735"/>
      <c r="T14" s="2735"/>
      <c r="U14" s="2735"/>
      <c r="V14" s="2744"/>
    </row>
    <row r="15" spans="1:22" s="2748" customFormat="1" ht="13.15" customHeight="1">
      <c r="A15" s="2787" t="s">
        <v>2261</v>
      </c>
      <c r="B15" s="4309" t="s">
        <v>2262</v>
      </c>
      <c r="C15" s="4310"/>
      <c r="D15" s="3637">
        <f>ROUND(D6*E15,4)</f>
        <v>0</v>
      </c>
      <c r="E15" s="2788">
        <v>5.5E-2</v>
      </c>
      <c r="F15" s="2782" t="s">
        <v>2263</v>
      </c>
      <c r="G15" s="2766"/>
      <c r="H15" s="2743"/>
      <c r="I15" s="2744"/>
      <c r="J15" s="4303">
        <v>2</v>
      </c>
      <c r="K15" s="4304"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309" t="s">
        <v>2273</v>
      </c>
      <c r="C16" s="4310"/>
      <c r="D16" s="3644">
        <f>ROUND(D6*E16,4)</f>
        <v>0</v>
      </c>
      <c r="E16" s="2797">
        <v>0</v>
      </c>
      <c r="F16" s="2785" t="s">
        <v>2274</v>
      </c>
      <c r="G16" s="2766"/>
      <c r="H16" s="2743"/>
      <c r="I16" s="2744"/>
      <c r="J16" s="4303"/>
      <c r="K16" s="4305"/>
      <c r="L16" s="2775" t="s">
        <v>2275</v>
      </c>
      <c r="M16" s="2776"/>
      <c r="N16" s="2776"/>
      <c r="O16" s="2777"/>
      <c r="P16" s="2778">
        <v>365</v>
      </c>
      <c r="Q16" s="2755"/>
      <c r="R16" s="3648">
        <f>ROUND(M16*N16*O16*P16/10000,4)</f>
        <v>0</v>
      </c>
      <c r="S16" s="2735"/>
      <c r="T16" s="2735"/>
      <c r="U16" s="2735"/>
      <c r="V16" s="2744"/>
    </row>
    <row r="17" spans="1:22" s="2748" customFormat="1" ht="13.15" customHeight="1" thickBot="1">
      <c r="A17" s="2798">
        <v>4</v>
      </c>
      <c r="B17" s="4311" t="s">
        <v>2276</v>
      </c>
      <c r="C17" s="4312"/>
      <c r="D17" s="3638">
        <f>ROUND(D6*E17,4)</f>
        <v>0</v>
      </c>
      <c r="E17" s="2799">
        <v>0.04</v>
      </c>
      <c r="F17" s="2800" t="s">
        <v>2277</v>
      </c>
      <c r="G17" s="2766"/>
      <c r="H17" s="2743"/>
      <c r="I17" s="2744"/>
      <c r="J17" s="4303"/>
      <c r="K17" s="4305"/>
      <c r="L17" s="2775" t="s">
        <v>2278</v>
      </c>
      <c r="M17" s="2776"/>
      <c r="N17" s="2776"/>
      <c r="O17" s="2777"/>
      <c r="P17" s="2778">
        <v>365</v>
      </c>
      <c r="Q17" s="2755"/>
      <c r="R17" s="3648">
        <f t="shared" ref="R17:R18" si="1">ROUND(M17*N17*O17*P17/10000,4)</f>
        <v>0</v>
      </c>
      <c r="S17" s="2735"/>
      <c r="T17" s="2735"/>
      <c r="U17" s="2735"/>
      <c r="V17" s="2744"/>
    </row>
    <row r="18" spans="1:22" s="2748" customFormat="1" ht="13.15" customHeight="1" thickBot="1">
      <c r="A18" s="2769" t="s">
        <v>2279</v>
      </c>
      <c r="B18" s="2770"/>
      <c r="C18" s="2770"/>
      <c r="D18" s="3639">
        <f>ROUND(D6*E18,4)</f>
        <v>0</v>
      </c>
      <c r="E18" s="2801">
        <v>0.04</v>
      </c>
      <c r="F18" s="2802" t="s">
        <v>2280</v>
      </c>
      <c r="G18" s="2766"/>
      <c r="H18" s="2743"/>
      <c r="I18" s="2744"/>
      <c r="J18" s="4303"/>
      <c r="K18" s="4305"/>
      <c r="L18" s="2775" t="s">
        <v>2281</v>
      </c>
      <c r="M18" s="2776"/>
      <c r="N18" s="2776"/>
      <c r="O18" s="2777"/>
      <c r="P18" s="2778">
        <v>365</v>
      </c>
      <c r="Q18" s="2755"/>
      <c r="R18" s="3648">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303"/>
      <c r="K19" s="4306"/>
      <c r="L19" s="2792" t="s">
        <v>2260</v>
      </c>
      <c r="M19" s="2793"/>
      <c r="N19" s="2793">
        <f>SUM(N16:N18)</f>
        <v>0</v>
      </c>
      <c r="O19" s="2794"/>
      <c r="P19" s="2804" t="s">
        <v>3261</v>
      </c>
      <c r="Q19" s="3886">
        <v>0.45</v>
      </c>
      <c r="R19" s="3649">
        <f>ROUND(IF(P19="按比例",R14*Q19,SUM(R16:R18)),4)</f>
        <v>0</v>
      </c>
      <c r="S19" s="2735"/>
      <c r="T19" s="2735"/>
      <c r="U19" s="2735"/>
      <c r="V19" s="2744"/>
    </row>
    <row r="20" spans="1:22" s="2748" customFormat="1" ht="13.15" customHeight="1">
      <c r="A20" s="2769"/>
      <c r="B20" s="2770"/>
      <c r="C20" s="2770"/>
      <c r="D20" s="2770"/>
      <c r="E20" s="2770"/>
      <c r="F20" s="2806"/>
      <c r="G20" s="2783"/>
      <c r="H20" s="2743"/>
      <c r="I20" s="2744"/>
      <c r="J20" s="4303">
        <v>3</v>
      </c>
      <c r="K20" s="4304"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303"/>
      <c r="K21" s="4305"/>
      <c r="L21" s="2775" t="s">
        <v>2293</v>
      </c>
      <c r="M21" s="2776"/>
      <c r="N21" s="2776"/>
      <c r="O21" s="2777"/>
      <c r="P21" s="2778">
        <v>365</v>
      </c>
      <c r="Q21" s="2755"/>
      <c r="R21" s="3650">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303"/>
      <c r="K22" s="4305"/>
      <c r="L22" s="2775" t="s">
        <v>2297</v>
      </c>
      <c r="M22" s="2776"/>
      <c r="N22" s="2776"/>
      <c r="O22" s="2777"/>
      <c r="P22" s="2778">
        <v>365</v>
      </c>
      <c r="Q22" s="2755"/>
      <c r="R22" s="3650">
        <f>ROUND(M22*N22*O22*P22/10000,4)</f>
        <v>0</v>
      </c>
      <c r="S22" s="2808"/>
      <c r="T22" s="2808"/>
      <c r="U22" s="2808"/>
      <c r="V22" s="2744"/>
    </row>
    <row r="23" spans="1:22" s="2748" customFormat="1" ht="13.15" customHeight="1">
      <c r="A23" s="2816">
        <v>1</v>
      </c>
      <c r="B23" s="2817" t="s">
        <v>2298</v>
      </c>
      <c r="C23" s="3640">
        <f>D6</f>
        <v>0</v>
      </c>
      <c r="D23" s="3641">
        <f>ROUND(C23*(1+D24),4)</f>
        <v>0</v>
      </c>
      <c r="E23" s="3642">
        <f>ROUND(D23*(1+E24),4)</f>
        <v>0</v>
      </c>
      <c r="F23" s="2819"/>
      <c r="G23" s="2820"/>
      <c r="H23" s="2743"/>
      <c r="I23" s="2744"/>
      <c r="J23" s="4303"/>
      <c r="K23" s="4305"/>
      <c r="L23" s="2775" t="s">
        <v>2299</v>
      </c>
      <c r="M23" s="2776"/>
      <c r="N23" s="2776"/>
      <c r="O23" s="2777"/>
      <c r="P23" s="2778">
        <v>365</v>
      </c>
      <c r="Q23" s="2755"/>
      <c r="R23" s="3650">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303"/>
      <c r="K24" s="4306"/>
      <c r="L24" s="2792" t="s">
        <v>2260</v>
      </c>
      <c r="M24" s="2793">
        <f>SUM(M21:M23)</f>
        <v>0</v>
      </c>
      <c r="N24" s="2793"/>
      <c r="O24" s="2794"/>
      <c r="P24" s="2804" t="s">
        <v>2348</v>
      </c>
      <c r="Q24" s="2777">
        <v>0.02</v>
      </c>
      <c r="R24" s="3651">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1">
        <f>ROUND(R14*Q25,4)</f>
        <v>0</v>
      </c>
      <c r="S25" s="2735"/>
      <c r="T25" s="2735"/>
      <c r="U25" s="2735"/>
      <c r="V25" s="2832"/>
    </row>
    <row r="26" spans="1:22" s="2833" customFormat="1" ht="13.15" customHeight="1">
      <c r="A26" s="2816">
        <v>2</v>
      </c>
      <c r="B26" s="2817" t="s">
        <v>2302</v>
      </c>
      <c r="C26" s="3640">
        <f>D7</f>
        <v>0</v>
      </c>
      <c r="D26" s="3641">
        <f>ROUND(D23*D27,4)</f>
        <v>0</v>
      </c>
      <c r="E26" s="3642">
        <f>ROUND(E23*E27,4)</f>
        <v>0</v>
      </c>
      <c r="F26" s="2819"/>
      <c r="G26" s="2820"/>
      <c r="H26" s="2743"/>
      <c r="I26" s="2744"/>
      <c r="J26" s="4313">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t="e">
        <f>E7</f>
        <v>#DIV/0!</v>
      </c>
      <c r="D27" s="2824"/>
      <c r="E27" s="2825"/>
      <c r="F27" s="2826"/>
      <c r="G27" s="2820"/>
      <c r="H27" s="2841"/>
      <c r="I27" s="2832"/>
      <c r="J27" s="4314"/>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0">
        <f>ROUND(C23*C30,4)</f>
        <v>0</v>
      </c>
      <c r="D29" s="3641">
        <f>ROUND(D23*C30,4)</f>
        <v>0</v>
      </c>
      <c r="E29" s="3642">
        <f>ROUND(E23*C30,4)</f>
        <v>0</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0">
        <f>C23-C26-C29</f>
        <v>0</v>
      </c>
      <c r="D32" s="3641">
        <f>D23-D26-D29</f>
        <v>0</v>
      </c>
      <c r="E32" s="3642">
        <f>E23-E26-E29</f>
        <v>0</v>
      </c>
      <c r="F32" s="2819"/>
      <c r="G32" s="2815"/>
      <c r="H32" s="2743"/>
      <c r="I32" s="2744"/>
      <c r="J32" s="4296" t="s">
        <v>2319</v>
      </c>
      <c r="K32" s="4297"/>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98" t="s">
        <v>2323</v>
      </c>
      <c r="K33" s="4299"/>
      <c r="L33" s="2751"/>
      <c r="M33" s="2751"/>
      <c r="N33" s="2751"/>
      <c r="O33" s="2751"/>
      <c r="P33" s="2751"/>
      <c r="Q33" s="2752"/>
      <c r="R33" s="3652">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98" t="s">
        <v>2325</v>
      </c>
      <c r="K34" s="4299"/>
      <c r="L34" s="2756"/>
      <c r="M34" s="2756"/>
      <c r="N34" s="2756"/>
      <c r="O34" s="2756"/>
      <c r="P34" s="2756"/>
      <c r="Q34" s="2757"/>
      <c r="R34" s="3653">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4">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303">
        <v>1</v>
      </c>
      <c r="K36" s="4304"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303"/>
      <c r="K37" s="4305"/>
      <c r="L37" s="2775"/>
      <c r="M37" s="2776"/>
      <c r="N37" s="2755"/>
      <c r="O37" s="2777"/>
      <c r="P37" s="2777"/>
      <c r="Q37" s="2778"/>
      <c r="R37" s="3648"/>
      <c r="S37" s="2808"/>
      <c r="T37" s="2735" t="s">
        <v>2235</v>
      </c>
      <c r="U37" s="2735"/>
      <c r="V37" s="2744"/>
    </row>
    <row r="38" spans="1:23" s="2748" customFormat="1" ht="13.15" customHeight="1">
      <c r="A38" s="2816">
        <v>8</v>
      </c>
      <c r="B38" s="2817"/>
      <c r="C38" s="3636">
        <f>ROUND(C32*(1-((1+C35)/(1+C34))^C36)/(C34-C35),4)</f>
        <v>0</v>
      </c>
      <c r="D38" s="3636">
        <f>IF(D23=0,0,ROUND(D32*(1-((1+D35)/(1+D34))^D36)/(D34-D35),4))</f>
        <v>0</v>
      </c>
      <c r="E38" s="3636">
        <f>IF(E23=0,0,ROUND(E32*(1-((1+E35)/(1+E34))^E36)/(E34-E35),4))</f>
        <v>0</v>
      </c>
      <c r="F38" s="2819"/>
      <c r="G38" s="2815"/>
      <c r="H38" s="2743"/>
      <c r="I38" s="2744"/>
      <c r="J38" s="4303"/>
      <c r="K38" s="4305"/>
      <c r="L38" s="2775"/>
      <c r="M38" s="2776"/>
      <c r="N38" s="2755"/>
      <c r="O38" s="2777"/>
      <c r="P38" s="2777"/>
      <c r="Q38" s="2778"/>
      <c r="R38" s="3648"/>
      <c r="S38" s="2808"/>
      <c r="T38" s="2735" t="s">
        <v>2242</v>
      </c>
      <c r="U38" s="2735"/>
      <c r="V38" s="2744"/>
    </row>
    <row r="39" spans="1:23" s="2748" customFormat="1" ht="13.15" customHeight="1">
      <c r="A39" s="2816">
        <v>9</v>
      </c>
      <c r="B39" s="2817" t="s">
        <v>2331</v>
      </c>
      <c r="C39" s="3637">
        <f>C38</f>
        <v>0</v>
      </c>
      <c r="D39" s="3637">
        <f>ROUND(D38/(1+D34)^C36,4)</f>
        <v>0</v>
      </c>
      <c r="E39" s="3637">
        <f>ROUND(E38/(1+E34)^(C36+D36),4)</f>
        <v>0</v>
      </c>
      <c r="F39" s="2819"/>
      <c r="G39" s="2871"/>
      <c r="H39" s="2743"/>
      <c r="I39" s="2744"/>
      <c r="J39" s="4303"/>
      <c r="K39" s="4305"/>
      <c r="L39" s="2775"/>
      <c r="M39" s="2776"/>
      <c r="N39" s="2755"/>
      <c r="O39" s="2777"/>
      <c r="P39" s="2777"/>
      <c r="Q39" s="2778"/>
      <c r="R39" s="3648"/>
      <c r="S39" s="2808"/>
      <c r="T39" s="2735"/>
      <c r="U39" s="2735"/>
      <c r="V39" s="2744"/>
    </row>
    <row r="40" spans="1:23" s="2748" customFormat="1" ht="13.15" customHeight="1">
      <c r="A40" s="2872">
        <v>10</v>
      </c>
      <c r="B40" s="2817" t="s">
        <v>2332</v>
      </c>
      <c r="C40" s="3643">
        <f>C39+D39+E39</f>
        <v>0</v>
      </c>
      <c r="D40" s="2873"/>
      <c r="E40" s="2873"/>
      <c r="F40" s="2874"/>
      <c r="G40" s="2815"/>
      <c r="H40" s="2743"/>
      <c r="I40" s="2744"/>
      <c r="J40" s="4303"/>
      <c r="K40" s="4306"/>
      <c r="L40" s="2792" t="s">
        <v>2333</v>
      </c>
      <c r="M40" s="2793"/>
      <c r="N40" s="2793"/>
      <c r="O40" s="2794"/>
      <c r="P40" s="2794"/>
      <c r="Q40" s="2795"/>
      <c r="R40" s="3647">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49">
        <f>ROUND(R40*Q41,4)</f>
        <v>0</v>
      </c>
      <c r="S41" s="2808"/>
      <c r="T41" s="2735"/>
      <c r="U41" s="2839"/>
      <c r="V41" s="2744"/>
    </row>
    <row r="42" spans="1:23" s="2748" customFormat="1" ht="13.15" customHeight="1">
      <c r="G42" s="2879"/>
      <c r="H42" s="2743"/>
      <c r="I42" s="2744"/>
      <c r="J42" s="4313">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314"/>
      <c r="K43" s="2842"/>
      <c r="L43" s="2843"/>
      <c r="M43" s="2844"/>
      <c r="N43" s="2776"/>
      <c r="O43" s="2776"/>
      <c r="P43" s="2776"/>
      <c r="Q43" s="2831"/>
      <c r="R43" s="3649">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B00-000001000000}">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1" t="s">
        <v>3236</v>
      </c>
    </row>
    <row r="3" spans="1:6" ht="67.5">
      <c r="A3" s="3881" t="s">
        <v>3258</v>
      </c>
      <c r="B3" s="3881" t="s">
        <v>3237</v>
      </c>
      <c r="C3" s="3881" t="s">
        <v>3241</v>
      </c>
      <c r="D3" s="3881" t="s">
        <v>3242</v>
      </c>
      <c r="F3" s="3883">
        <v>0.6</v>
      </c>
    </row>
    <row r="4" spans="1:6" ht="162">
      <c r="B4" s="3881" t="s">
        <v>3238</v>
      </c>
      <c r="C4" s="3881" t="s">
        <v>3243</v>
      </c>
      <c r="D4" s="3882" t="s">
        <v>3244</v>
      </c>
      <c r="E4" s="3881" t="s">
        <v>3245</v>
      </c>
      <c r="F4" s="3883">
        <v>0.45</v>
      </c>
    </row>
    <row r="5" spans="1:6" ht="54">
      <c r="B5" s="3881" t="s">
        <v>3239</v>
      </c>
      <c r="E5" s="3881" t="s">
        <v>3246</v>
      </c>
      <c r="F5" s="3883">
        <v>0.02</v>
      </c>
    </row>
    <row r="6" spans="1:6" ht="54">
      <c r="B6" s="3881" t="s">
        <v>3240</v>
      </c>
      <c r="E6" s="3881" t="s">
        <v>3247</v>
      </c>
      <c r="F6" s="3883">
        <v>0.32</v>
      </c>
    </row>
    <row r="7" spans="1:6" ht="94.5">
      <c r="A7" s="3881" t="s">
        <v>3248</v>
      </c>
      <c r="B7" s="3881" t="s">
        <v>3249</v>
      </c>
      <c r="C7" s="3881" t="s">
        <v>3253</v>
      </c>
      <c r="E7" s="3881" t="s">
        <v>3254</v>
      </c>
      <c r="F7" s="3883">
        <v>0.27</v>
      </c>
    </row>
    <row r="8" spans="1:6">
      <c r="B8" s="3881" t="s">
        <v>3250</v>
      </c>
      <c r="F8" s="3883">
        <v>0.02</v>
      </c>
    </row>
    <row r="9" spans="1:6">
      <c r="B9" s="3881" t="s">
        <v>3251</v>
      </c>
      <c r="F9" s="3883">
        <v>0.02</v>
      </c>
    </row>
    <row r="10" spans="1:6" ht="67.5">
      <c r="B10" s="3881" t="s">
        <v>3252</v>
      </c>
      <c r="C10" s="3881" t="s">
        <v>3255</v>
      </c>
    </row>
    <row r="11" spans="1:6" ht="94.5">
      <c r="A11" s="3881" t="s">
        <v>3256</v>
      </c>
      <c r="C11" s="3881" t="s">
        <v>3253</v>
      </c>
      <c r="D11" s="3881" t="s">
        <v>3257</v>
      </c>
      <c r="F11" s="3883">
        <v>0.04</v>
      </c>
    </row>
    <row r="12" spans="1:6" ht="40.5">
      <c r="A12" s="3881" t="s">
        <v>3259</v>
      </c>
    </row>
  </sheetData>
  <phoneticPr fontId="224" type="noConversion"/>
  <hyperlinks>
    <hyperlink ref="D4"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0"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69" customFormat="1" ht="21">
      <c r="A1" s="3662" t="s">
        <v>576</v>
      </c>
      <c r="B1" s="3663"/>
      <c r="C1" s="626"/>
      <c r="D1" s="3664"/>
      <c r="E1" s="3665" t="s">
        <v>1645</v>
      </c>
      <c r="F1" s="3666">
        <f ca="1">J54</f>
        <v>-1.5</v>
      </c>
      <c r="G1" s="3667">
        <f>MATCH(C1,'数据-取费表'!A6:A16,0)+5</f>
        <v>7</v>
      </c>
      <c r="H1" s="3350"/>
      <c r="I1" s="1591"/>
      <c r="J1" s="1591"/>
      <c r="K1" s="1591"/>
      <c r="L1" s="1591"/>
      <c r="M1" s="1591"/>
      <c r="N1" s="3668"/>
      <c r="O1" s="3668"/>
      <c r="P1" s="3668"/>
      <c r="Q1" s="3668"/>
      <c r="R1" s="3668"/>
      <c r="S1" s="3668"/>
      <c r="T1" s="3668"/>
      <c r="U1" s="3668"/>
      <c r="V1" s="3668"/>
      <c r="W1" s="3668"/>
      <c r="X1" s="3668"/>
      <c r="Y1" s="3668"/>
    </row>
    <row r="2" spans="1:25" ht="18" customHeight="1">
      <c r="A2" s="3670" t="s">
        <v>577</v>
      </c>
      <c r="B2" s="3821">
        <f ca="1">C45</f>
        <v>0</v>
      </c>
      <c r="C2" s="3671"/>
      <c r="D2" s="3672"/>
      <c r="E2" s="1595"/>
      <c r="F2" s="1595"/>
      <c r="G2" s="3673"/>
      <c r="H2" s="1251"/>
      <c r="I2" s="1595"/>
      <c r="J2" s="1595"/>
      <c r="K2" s="1595"/>
      <c r="L2" s="1595"/>
      <c r="M2" s="1595"/>
    </row>
    <row r="3" spans="1:25" ht="18" customHeight="1">
      <c r="A3" s="3674" t="s">
        <v>1219</v>
      </c>
      <c r="B3" s="3675">
        <f ca="1">ROUND(B2*10000/'数据-汇总表'!E3,0)</f>
        <v>0</v>
      </c>
      <c r="C3" s="3671"/>
      <c r="D3" s="3672"/>
      <c r="E3" s="1595"/>
      <c r="F3" s="1595"/>
      <c r="G3" s="3673"/>
      <c r="H3" s="3676" t="s">
        <v>642</v>
      </c>
      <c r="I3" s="1595"/>
      <c r="J3" s="1595"/>
      <c r="K3" s="1595"/>
      <c r="L3" s="1595"/>
      <c r="M3" s="1595"/>
    </row>
    <row r="4" spans="1:25" ht="18" customHeight="1">
      <c r="A4" s="3677" t="s">
        <v>643</v>
      </c>
      <c r="B4" s="3678">
        <f ca="1">ROUND(B2*10000/'数据-汇总表'!D3,0)</f>
        <v>0</v>
      </c>
      <c r="C4" s="3350"/>
      <c r="D4" s="3672"/>
      <c r="E4" s="1595"/>
      <c r="F4" s="1595"/>
      <c r="G4" s="3673"/>
      <c r="H4" s="3676"/>
      <c r="I4" s="1595"/>
      <c r="J4" s="1595"/>
      <c r="K4" s="1595"/>
      <c r="L4" s="1595"/>
      <c r="M4" s="1595"/>
    </row>
    <row r="5" spans="1:25" ht="18" customHeight="1" thickBot="1">
      <c r="A5" s="3679"/>
      <c r="B5" s="3352">
        <f ca="1">ROUND(B2/('数据-汇总表'!D3/666.67),0)</f>
        <v>0</v>
      </c>
      <c r="C5" s="317" t="s">
        <v>644</v>
      </c>
      <c r="D5" s="3672"/>
      <c r="E5" s="1595"/>
      <c r="F5" s="1595"/>
      <c r="G5" s="3673"/>
      <c r="H5" s="3676"/>
      <c r="I5" s="1595"/>
      <c r="J5" s="1595"/>
      <c r="K5" s="1595"/>
      <c r="L5" s="1595"/>
      <c r="M5" s="1595"/>
    </row>
    <row r="6" spans="1:25" ht="18" customHeight="1">
      <c r="A6" s="3680" t="s">
        <v>645</v>
      </c>
      <c r="B6" s="3681" t="s">
        <v>646</v>
      </c>
      <c r="C6" s="3681" t="s">
        <v>580</v>
      </c>
      <c r="D6" s="3681" t="s">
        <v>581</v>
      </c>
      <c r="E6" s="3682" t="s">
        <v>582</v>
      </c>
      <c r="F6" s="3683"/>
      <c r="G6" s="3684"/>
      <c r="H6" s="3680" t="s">
        <v>578</v>
      </c>
      <c r="I6" s="3681" t="s">
        <v>579</v>
      </c>
      <c r="J6" s="3681" t="s">
        <v>580</v>
      </c>
      <c r="K6" s="3681" t="s">
        <v>581</v>
      </c>
      <c r="L6" s="3682" t="s">
        <v>582</v>
      </c>
      <c r="M6" s="3683"/>
    </row>
    <row r="7" spans="1:25" ht="18" customHeight="1">
      <c r="A7" s="1914">
        <v>1</v>
      </c>
      <c r="B7" s="3685" t="s">
        <v>1718</v>
      </c>
      <c r="C7" s="3407">
        <f ca="1">C8+C12+C14</f>
        <v>0</v>
      </c>
      <c r="D7" s="3686" t="s">
        <v>1721</v>
      </c>
      <c r="E7" s="1444"/>
      <c r="F7" s="3687"/>
      <c r="G7" s="3684"/>
      <c r="H7" s="1914">
        <v>1</v>
      </c>
      <c r="I7" s="3685" t="s">
        <v>1718</v>
      </c>
      <c r="J7" s="636">
        <f ca="1">J8+J12+J14</f>
        <v>0</v>
      </c>
      <c r="K7" s="3686" t="s">
        <v>1721</v>
      </c>
      <c r="L7" s="1444"/>
      <c r="M7" s="3687"/>
    </row>
    <row r="8" spans="1:25" ht="18" customHeight="1">
      <c r="A8" s="1447" t="s">
        <v>1278</v>
      </c>
      <c r="B8" s="4316" t="s">
        <v>1723</v>
      </c>
      <c r="C8" s="3688">
        <f ca="1">ROUND(F8*F10*F9*(1-F11)/10000,4)</f>
        <v>0</v>
      </c>
      <c r="D8" s="3689" t="s">
        <v>1728</v>
      </c>
      <c r="E8" s="58" t="s">
        <v>585</v>
      </c>
      <c r="F8" s="3690">
        <f ca="1">INDIRECT("'数据-取费表'!u"&amp;$G$1)</f>
        <v>0</v>
      </c>
      <c r="G8" s="3684"/>
      <c r="H8" s="1447" t="s">
        <v>1278</v>
      </c>
      <c r="I8" s="4316" t="s">
        <v>1723</v>
      </c>
      <c r="J8" s="3691">
        <f ca="1">ROUND(M8*M10*M9*(1-M11)/10000,0)</f>
        <v>0</v>
      </c>
      <c r="K8" s="647" t="s">
        <v>1728</v>
      </c>
      <c r="L8" s="636" t="s">
        <v>1255</v>
      </c>
      <c r="M8" s="3690">
        <f ca="1">INDIRECT("'数据-取费表'!z"&amp;$G$1)</f>
        <v>0</v>
      </c>
    </row>
    <row r="9" spans="1:25" ht="18" customHeight="1">
      <c r="A9" s="1912"/>
      <c r="B9" s="4317"/>
      <c r="C9" s="3692"/>
      <c r="D9" s="3693"/>
      <c r="E9" s="58" t="s">
        <v>586</v>
      </c>
      <c r="F9" s="3690">
        <f ca="1">IF(INDIRECT("'数据-取费表'!ah"&amp;$G$1)="",INDIRECT("'数据-取费表'!k"&amp;$G$1),INDIRECT("'数据-取费表'!ah"&amp;$G$1))</f>
        <v>0</v>
      </c>
      <c r="G9" s="3684"/>
      <c r="H9" s="3694"/>
      <c r="I9" s="4317"/>
      <c r="J9" s="3695"/>
      <c r="K9" s="1450"/>
      <c r="L9" s="636" t="s">
        <v>1256</v>
      </c>
      <c r="M9" s="3690">
        <f ca="1">F9</f>
        <v>0</v>
      </c>
    </row>
    <row r="10" spans="1:25" ht="18" customHeight="1">
      <c r="A10" s="1905"/>
      <c r="B10" s="4318"/>
      <c r="C10" s="3692"/>
      <c r="D10" s="3693"/>
      <c r="E10" s="58" t="s">
        <v>587</v>
      </c>
      <c r="F10" s="3690">
        <f ca="1">INDIRECT("'数据-取费表'!ai"&amp;$G$1)</f>
        <v>365</v>
      </c>
      <c r="G10" s="3684"/>
      <c r="H10" s="3694"/>
      <c r="I10" s="4318"/>
      <c r="J10" s="3695"/>
      <c r="K10" s="1450"/>
      <c r="L10" s="636" t="s">
        <v>1257</v>
      </c>
      <c r="M10" s="3690">
        <f ca="1">INDIRECT("'数据-取费表'!ai"&amp;$G$1)</f>
        <v>365</v>
      </c>
    </row>
    <row r="11" spans="1:25" ht="18" customHeight="1">
      <c r="A11" s="1915"/>
      <c r="B11" s="4319"/>
      <c r="C11" s="3692"/>
      <c r="D11" s="3693"/>
      <c r="E11" s="58" t="s">
        <v>588</v>
      </c>
      <c r="F11" s="3696">
        <f ca="1">INDIRECT("'数据-取费表'!w"&amp;$G$1)</f>
        <v>0</v>
      </c>
      <c r="G11" s="3684"/>
      <c r="H11" s="1915"/>
      <c r="I11" s="4318"/>
      <c r="J11" s="3695"/>
      <c r="K11" s="1450"/>
      <c r="L11" s="647" t="s">
        <v>1258</v>
      </c>
      <c r="M11" s="3697">
        <f ca="1">INDIRECT("'数据-取费表'!ab"&amp;$G$1)</f>
        <v>0</v>
      </c>
    </row>
    <row r="12" spans="1:25" ht="18" customHeight="1">
      <c r="A12" s="1447" t="s">
        <v>1279</v>
      </c>
      <c r="B12" s="3698" t="s">
        <v>1719</v>
      </c>
      <c r="C12" s="3699">
        <f ca="1">ROUND(IF(F12="押一",C8/12*F13,IF(F12="押二",C8/12*2*F13,IF(F12="押三",C8/12*3*F13,C13*F13))),4)</f>
        <v>0</v>
      </c>
      <c r="D12" s="3700" t="s">
        <v>2139</v>
      </c>
      <c r="E12" s="1910" t="s">
        <v>1724</v>
      </c>
      <c r="F12" s="3701"/>
      <c r="G12" s="3684"/>
      <c r="H12" s="3702" t="s">
        <v>1279</v>
      </c>
      <c r="I12" s="3703" t="s">
        <v>1719</v>
      </c>
      <c r="J12" s="3691">
        <f ca="1">ROUND(IF(M12="押一",J8/12*M13,IF(M12="押二",J8/12*2*M13,IF(M12="押三",J8/12*3*M13,J13*M13))),0)</f>
        <v>0</v>
      </c>
      <c r="K12" s="3700" t="s">
        <v>2139</v>
      </c>
      <c r="L12" s="1910" t="s">
        <v>1724</v>
      </c>
      <c r="M12" s="3701"/>
    </row>
    <row r="13" spans="1:25" ht="18" customHeight="1">
      <c r="A13" s="1446"/>
      <c r="B13" s="3704" t="s">
        <v>1765</v>
      </c>
      <c r="C13" s="3705"/>
      <c r="D13" s="1450"/>
      <c r="E13" s="1910" t="s">
        <v>1717</v>
      </c>
      <c r="F13" s="3697">
        <f ca="1">'数据-取费表'!B39</f>
        <v>1.4999999999999999E-2</v>
      </c>
      <c r="G13" s="3684"/>
      <c r="H13" s="3706"/>
      <c r="I13" s="3704" t="s">
        <v>1765</v>
      </c>
      <c r="J13" s="3705"/>
      <c r="K13" s="1045"/>
      <c r="L13" s="1910" t="s">
        <v>1717</v>
      </c>
      <c r="M13" s="3707">
        <f ca="1">'数据-取费表'!B39</f>
        <v>1.4999999999999999E-2</v>
      </c>
    </row>
    <row r="14" spans="1:25" ht="18" customHeight="1" thickBot="1">
      <c r="A14" s="1943" t="s">
        <v>1725</v>
      </c>
      <c r="B14" s="3708" t="s">
        <v>1720</v>
      </c>
      <c r="C14" s="3709"/>
      <c r="D14" s="1929"/>
      <c r="E14" s="1924"/>
      <c r="F14" s="3710"/>
      <c r="G14" s="3684"/>
      <c r="H14" s="1943" t="s">
        <v>1725</v>
      </c>
      <c r="I14" s="3711" t="s">
        <v>1720</v>
      </c>
      <c r="J14" s="3712"/>
      <c r="K14" s="1929"/>
      <c r="L14" s="1924"/>
      <c r="M14" s="3713"/>
    </row>
    <row r="15" spans="1:25" ht="18" customHeight="1" thickTop="1">
      <c r="A15" s="1446" t="s">
        <v>1324</v>
      </c>
      <c r="B15" s="1445" t="s">
        <v>589</v>
      </c>
      <c r="C15" s="3714">
        <f ca="1">ROUND(C31*F15,4)</f>
        <v>0</v>
      </c>
      <c r="D15" s="1450" t="s">
        <v>590</v>
      </c>
      <c r="E15" s="647" t="s">
        <v>591</v>
      </c>
      <c r="F15" s="3585">
        <f ca="1">INDIRECT("'数据-取费表'!y"&amp;$G$1)</f>
        <v>1</v>
      </c>
      <c r="G15" s="3684"/>
      <c r="H15" s="1446" t="s">
        <v>1280</v>
      </c>
      <c r="I15" s="1445" t="s">
        <v>592</v>
      </c>
      <c r="J15" s="3715">
        <f ca="1">ROUND(J16*J17,0)</f>
        <v>0</v>
      </c>
      <c r="K15" s="1444" t="s">
        <v>590</v>
      </c>
      <c r="L15" s="3716"/>
      <c r="M15" s="3717"/>
    </row>
    <row r="16" spans="1:25" ht="18" customHeight="1">
      <c r="A16" s="655" t="s">
        <v>1325</v>
      </c>
      <c r="B16" s="636" t="s">
        <v>593</v>
      </c>
      <c r="C16" s="3718">
        <f ca="1">INDIRECT("'数据-取费表'!m"&amp;$G$1)+INDIRECT("'数据-取费表'!t"&amp;$G$1)</f>
        <v>0</v>
      </c>
      <c r="D16" s="3316" t="s">
        <v>594</v>
      </c>
      <c r="E16" s="3315"/>
      <c r="F16" s="3719"/>
      <c r="G16" s="3684"/>
      <c r="H16" s="655" t="s">
        <v>1506</v>
      </c>
      <c r="I16" s="1747" t="s">
        <v>2011</v>
      </c>
      <c r="J16" s="636">
        <f ca="1">C31</f>
        <v>0</v>
      </c>
      <c r="K16" s="23"/>
      <c r="L16" s="3716"/>
      <c r="M16" s="3717"/>
    </row>
    <row r="17" spans="1:25" s="3724" customFormat="1" ht="18" customHeight="1">
      <c r="A17" s="655" t="s">
        <v>1303</v>
      </c>
      <c r="B17" s="636" t="s">
        <v>595</v>
      </c>
      <c r="C17" s="3407">
        <f ca="1">ROUND(C16*F17,4)</f>
        <v>0</v>
      </c>
      <c r="D17" s="657" t="s">
        <v>596</v>
      </c>
      <c r="E17" s="657" t="s">
        <v>597</v>
      </c>
      <c r="F17" s="3720">
        <f>'数据-取费表'!B33</f>
        <v>0.05</v>
      </c>
      <c r="G17" s="3721"/>
      <c r="H17" s="655" t="s">
        <v>1507</v>
      </c>
      <c r="I17" s="636" t="s">
        <v>591</v>
      </c>
      <c r="J17" s="3722">
        <f ca="1">INDIRECT("'数据-取费表'!ad"&amp;$G$1)</f>
        <v>0</v>
      </c>
      <c r="K17" s="23"/>
      <c r="L17" s="3716"/>
      <c r="M17" s="3717"/>
      <c r="N17" s="3723"/>
      <c r="O17" s="3723"/>
      <c r="P17" s="3723"/>
      <c r="Q17" s="3723"/>
      <c r="R17" s="3723"/>
      <c r="S17" s="3723"/>
      <c r="T17" s="3723"/>
      <c r="U17" s="3723"/>
      <c r="V17" s="3723"/>
      <c r="W17" s="3723"/>
      <c r="X17" s="3723"/>
      <c r="Y17" s="3723"/>
    </row>
    <row r="18" spans="1:25" ht="18" customHeight="1">
      <c r="A18" s="655" t="s">
        <v>1304</v>
      </c>
      <c r="B18" s="636" t="s">
        <v>598</v>
      </c>
      <c r="C18" s="3407">
        <f ca="1">ROUND(INDIRECT("'数据-取费表'!m"&amp;$G$1)*F18,4)</f>
        <v>0</v>
      </c>
      <c r="D18" s="636" t="s">
        <v>596</v>
      </c>
      <c r="E18" s="636" t="s">
        <v>597</v>
      </c>
      <c r="F18" s="3725">
        <f ca="1">IF(INDIRECT("'数据-取费表'!c"&amp;$G$1)="住宅",'数据-取费表'!B34,0)</f>
        <v>0</v>
      </c>
      <c r="G18" s="3684"/>
      <c r="H18" s="649" t="s">
        <v>1281</v>
      </c>
      <c r="I18" s="650" t="s">
        <v>599</v>
      </c>
      <c r="J18" s="650">
        <f ca="1">ROUND(J19+J24+J25+J26,0)</f>
        <v>0</v>
      </c>
      <c r="K18" s="23" t="s">
        <v>600</v>
      </c>
      <c r="L18" s="48"/>
      <c r="M18" s="2049"/>
    </row>
    <row r="19" spans="1:25" s="3724" customFormat="1" ht="18" customHeight="1">
      <c r="A19" s="655" t="s">
        <v>1305</v>
      </c>
      <c r="B19" s="636" t="s">
        <v>601</v>
      </c>
      <c r="C19" s="3407">
        <f ca="1">ROUND(F19*(INDIRECT("'数据-取费表'!k"&amp;$G$1)+INDIRECT("'数据-取费表'!S"&amp;$G$1))/10000,4)</f>
        <v>0</v>
      </c>
      <c r="D19" s="636" t="s">
        <v>602</v>
      </c>
      <c r="E19" s="636" t="s">
        <v>603</v>
      </c>
      <c r="F19" s="2049">
        <f>'数据-取费表'!B35</f>
        <v>200</v>
      </c>
      <c r="G19" s="3721"/>
      <c r="H19" s="655" t="s">
        <v>1506</v>
      </c>
      <c r="I19" s="636" t="s">
        <v>604</v>
      </c>
      <c r="J19" s="3726">
        <f ca="1">ROUND(IF(AND(项目基本情况!B11="自然人",项目基本情况!B10="北京市"),J8*M19/(1+'数据-取费表'!C42),J20+J21+J22),0)</f>
        <v>0</v>
      </c>
      <c r="K19" s="3316" t="s">
        <v>605</v>
      </c>
      <c r="L19" s="3319" t="s">
        <v>606</v>
      </c>
      <c r="M19" s="3727" t="str">
        <f>IF(项目基本情况!B11="企业","——",IF('数据-取费表'!B10="住宅",IF(M8*M9*M10/12/(1+'数据-取费表'!F30)&gt;100000,4%,2.5%),IF(M8*M9*M10/12/(1+'数据-取费表'!F30)&gt;100000,12%,7%)))</f>
        <v>——</v>
      </c>
      <c r="N19" s="3723"/>
      <c r="O19" s="3723"/>
      <c r="P19" s="3723"/>
      <c r="Q19" s="3723"/>
      <c r="R19" s="3723"/>
      <c r="S19" s="3723"/>
      <c r="T19" s="3723"/>
      <c r="U19" s="3723"/>
      <c r="V19" s="3723"/>
      <c r="W19" s="3723"/>
      <c r="X19" s="3723"/>
      <c r="Y19" s="3723"/>
    </row>
    <row r="20" spans="1:25" s="3724" customFormat="1" ht="18" customHeight="1">
      <c r="A20" s="655" t="s">
        <v>1306</v>
      </c>
      <c r="B20" s="636" t="s">
        <v>607</v>
      </c>
      <c r="C20" s="3407">
        <f ca="1">ROUND(C16*F20,4)</f>
        <v>0</v>
      </c>
      <c r="D20" s="636" t="s">
        <v>596</v>
      </c>
      <c r="E20" s="636" t="s">
        <v>597</v>
      </c>
      <c r="F20" s="3725">
        <f>'数据-取费表'!B36</f>
        <v>1.4999999999999999E-2</v>
      </c>
      <c r="G20" s="3721"/>
      <c r="H20" s="655" t="s">
        <v>1285</v>
      </c>
      <c r="I20" s="636" t="s">
        <v>608</v>
      </c>
      <c r="J20" s="636">
        <f ca="1">ROUND(J8*M20/(1+'数据-取费表'!C42),1)</f>
        <v>0</v>
      </c>
      <c r="K20" s="3319" t="s">
        <v>609</v>
      </c>
      <c r="L20" s="636" t="s">
        <v>597</v>
      </c>
      <c r="M20" s="3725">
        <f>'数据-取费表'!B41</f>
        <v>5.5000000000000007E-2</v>
      </c>
      <c r="N20" s="3723"/>
      <c r="O20" s="3723"/>
      <c r="P20" s="3723"/>
      <c r="Q20" s="3723"/>
      <c r="R20" s="3723"/>
      <c r="S20" s="3723"/>
      <c r="T20" s="3723"/>
      <c r="U20" s="3723"/>
      <c r="V20" s="3723"/>
      <c r="W20" s="3723"/>
      <c r="X20" s="3723"/>
      <c r="Y20" s="3723"/>
    </row>
    <row r="21" spans="1:25" ht="18" customHeight="1">
      <c r="A21" s="655" t="s">
        <v>1326</v>
      </c>
      <c r="B21" s="636" t="s">
        <v>610</v>
      </c>
      <c r="C21" s="3407">
        <f ca="1">SUM(C16:C20)</f>
        <v>0</v>
      </c>
      <c r="D21" s="23" t="s">
        <v>611</v>
      </c>
      <c r="E21" s="48"/>
      <c r="F21" s="2049"/>
      <c r="G21" s="3684"/>
      <c r="H21" s="1447" t="s">
        <v>1303</v>
      </c>
      <c r="I21" s="636" t="s">
        <v>612</v>
      </c>
      <c r="J21" s="636">
        <f ca="1">IF(K21="按租金收入计税",ROUND(J8*M21/(1+'数据-取费表'!C42),1),ROUND(C31*F35*0.7,1))</f>
        <v>0</v>
      </c>
      <c r="K21" s="660" t="s">
        <v>3152</v>
      </c>
      <c r="L21" s="636" t="s">
        <v>597</v>
      </c>
      <c r="M21" s="3725">
        <f>IF(K21="按租金收入计税",'数据-取费表'!B51,'数据-取费表'!B50)</f>
        <v>0.12</v>
      </c>
    </row>
    <row r="22" spans="1:25" s="3724" customFormat="1" ht="18" customHeight="1">
      <c r="A22" s="655" t="s">
        <v>1327</v>
      </c>
      <c r="B22" s="636" t="s">
        <v>613</v>
      </c>
      <c r="C22" s="3407">
        <f ca="1">ROUND(C21*F22,4)</f>
        <v>0</v>
      </c>
      <c r="D22" s="3319" t="s">
        <v>614</v>
      </c>
      <c r="E22" s="636" t="s">
        <v>597</v>
      </c>
      <c r="F22" s="3725">
        <f>'数据-取费表'!B37</f>
        <v>0.02</v>
      </c>
      <c r="G22" s="3721"/>
      <c r="H22" s="1449" t="s">
        <v>1304</v>
      </c>
      <c r="I22" s="3689" t="s">
        <v>615</v>
      </c>
      <c r="J22" s="647">
        <f ca="1">ROUND(M22*M23/10000,0)</f>
        <v>0</v>
      </c>
      <c r="K22" s="662" t="s">
        <v>616</v>
      </c>
      <c r="L22" s="636" t="s">
        <v>617</v>
      </c>
      <c r="M22" s="3728">
        <f>'数据-取费表'!B52</f>
        <v>1.5</v>
      </c>
      <c r="N22" s="3723"/>
      <c r="O22" s="3723"/>
      <c r="P22" s="3723"/>
      <c r="Q22" s="3723"/>
      <c r="R22" s="3723"/>
      <c r="S22" s="3723"/>
      <c r="T22" s="3723"/>
      <c r="U22" s="3723"/>
      <c r="V22" s="3723"/>
      <c r="W22" s="3723"/>
      <c r="X22" s="3723"/>
      <c r="Y22" s="3723"/>
    </row>
    <row r="23" spans="1:25" s="3724" customFormat="1" ht="18" customHeight="1">
      <c r="A23" s="655" t="s">
        <v>1328</v>
      </c>
      <c r="B23" s="636" t="s">
        <v>618</v>
      </c>
      <c r="C23" s="636" t="s">
        <v>0</v>
      </c>
      <c r="D23" s="3319" t="s">
        <v>619</v>
      </c>
      <c r="E23" s="636" t="s">
        <v>620</v>
      </c>
      <c r="F23" s="3725">
        <f>'数据-取费表'!B38</f>
        <v>0.02</v>
      </c>
      <c r="G23" s="3721"/>
      <c r="H23" s="3729"/>
      <c r="I23" s="3730"/>
      <c r="J23" s="657"/>
      <c r="K23" s="664"/>
      <c r="L23" s="636" t="s">
        <v>621</v>
      </c>
      <c r="M23" s="3690">
        <f ca="1">INDIRECT("'数据-取费表'!r"&amp;$G$1)</f>
        <v>0</v>
      </c>
      <c r="N23" s="3723"/>
      <c r="O23" s="3723"/>
      <c r="P23" s="3723"/>
      <c r="Q23" s="3723"/>
      <c r="R23" s="3723"/>
      <c r="S23" s="3723"/>
      <c r="T23" s="3723"/>
      <c r="U23" s="3723"/>
      <c r="V23" s="3723"/>
      <c r="W23" s="3723"/>
      <c r="X23" s="3723"/>
      <c r="Y23" s="3723"/>
    </row>
    <row r="24" spans="1:25" ht="18" customHeight="1">
      <c r="A24" s="655" t="s">
        <v>1329</v>
      </c>
      <c r="B24" s="636" t="s">
        <v>622</v>
      </c>
      <c r="C24" s="636"/>
      <c r="D24" s="3321" t="str">
        <f>IF(F25&lt;=1,"单利计息。","复利计息。")&amp;"建造成本、管理费用、销售费用产生的利息。"</f>
        <v>复利计息。建造成本、管理费用、销售费用产生的利息。</v>
      </c>
      <c r="E24" s="48"/>
      <c r="F24" s="2049"/>
      <c r="G24" s="3684"/>
      <c r="H24" s="1448" t="s">
        <v>1507</v>
      </c>
      <c r="I24" s="636" t="s">
        <v>623</v>
      </c>
      <c r="J24" s="636">
        <f ca="1">ROUND(J16*M24,0)</f>
        <v>0</v>
      </c>
      <c r="K24" s="3319" t="s">
        <v>624</v>
      </c>
      <c r="L24" s="636" t="s">
        <v>597</v>
      </c>
      <c r="M24" s="3731">
        <f ca="1">INDIRECT("'数据-取费表'!Ak"&amp;$G$1)</f>
        <v>0</v>
      </c>
    </row>
    <row r="25" spans="1:25" s="3724"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(建造成本+管理费用)×((1+利率)^(建设周期÷2)-1)</v>
      </c>
      <c r="E25" s="636" t="s">
        <v>625</v>
      </c>
      <c r="F25" s="3728">
        <f>'数据-取费表'!B20</f>
        <v>1.5</v>
      </c>
      <c r="G25" s="3721"/>
      <c r="H25" s="655" t="s">
        <v>1328</v>
      </c>
      <c r="I25" s="636" t="s">
        <v>626</v>
      </c>
      <c r="J25" s="636">
        <f ca="1">ROUND(J15*M25,0)</f>
        <v>0</v>
      </c>
      <c r="K25" s="3319" t="s">
        <v>627</v>
      </c>
      <c r="L25" s="636" t="s">
        <v>597</v>
      </c>
      <c r="M25" s="3732">
        <f ca="1">INDIRECT("'数据-取费表'!Al"&amp;$G$1)</f>
        <v>0</v>
      </c>
      <c r="N25" s="3723"/>
      <c r="O25" s="3723"/>
      <c r="P25" s="3723"/>
      <c r="Q25" s="3723"/>
      <c r="R25" s="3723"/>
      <c r="S25" s="3723"/>
      <c r="T25" s="3723"/>
      <c r="U25" s="3723"/>
      <c r="V25" s="3723"/>
      <c r="W25" s="3723"/>
      <c r="X25" s="3723"/>
      <c r="Y25" s="3723"/>
    </row>
    <row r="26" spans="1:25" s="3724" customFormat="1" ht="18" customHeight="1">
      <c r="A26" s="655" t="s">
        <v>1303</v>
      </c>
      <c r="B26" s="636" t="s">
        <v>628</v>
      </c>
      <c r="C26" s="3407">
        <f ca="1">ROUND(IF('数据-取费表'!B22&lt;=1,F23*F26*F25/2,F23*(POWER((1+F26),F25/2)-1)),4)</f>
        <v>6.9999999999999999E-4</v>
      </c>
      <c r="D26" s="1747" t="str">
        <f>IF(F25&lt;=1,"销售费用×利率×(建设周期÷2)","销售费用×((1+利率)^(建设周期÷2)-1)")</f>
        <v>销售费用×((1+利率)^(建设周期÷2)-1)</v>
      </c>
      <c r="E26" s="636" t="s">
        <v>629</v>
      </c>
      <c r="F26" s="3733">
        <f ca="1">'数据-取费表'!B40</f>
        <v>4.7500000000000001E-2</v>
      </c>
      <c r="G26" s="3721"/>
      <c r="H26" s="655" t="s">
        <v>1329</v>
      </c>
      <c r="I26" s="636" t="s">
        <v>613</v>
      </c>
      <c r="J26" s="636">
        <f ca="1">ROUND(J7*M26,0)</f>
        <v>0</v>
      </c>
      <c r="K26" s="3319" t="s">
        <v>630</v>
      </c>
      <c r="L26" s="636" t="s">
        <v>597</v>
      </c>
      <c r="M26" s="3696">
        <f ca="1">INDIRECT("'数据-取费表'!Am"&amp;$G$1)</f>
        <v>0</v>
      </c>
      <c r="N26" s="3723"/>
      <c r="O26" s="3723"/>
      <c r="P26" s="3723"/>
      <c r="Q26" s="3723"/>
      <c r="R26" s="3723"/>
      <c r="S26" s="3723"/>
      <c r="T26" s="3723"/>
      <c r="U26" s="3723"/>
      <c r="V26" s="3723"/>
      <c r="W26" s="3723"/>
      <c r="X26" s="3723"/>
      <c r="Y26" s="3723"/>
    </row>
    <row r="27" spans="1:25" ht="18" customHeight="1">
      <c r="A27" s="655" t="s">
        <v>1331</v>
      </c>
      <c r="B27" s="636" t="s">
        <v>631</v>
      </c>
      <c r="C27" s="636"/>
      <c r="D27" s="23" t="s">
        <v>632</v>
      </c>
      <c r="E27" s="48"/>
      <c r="F27" s="2049"/>
      <c r="G27" s="3684"/>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6">
        <f ca="1">INDIRECT("'数据-取费表'!q"&amp;$G$1)</f>
        <v>0</v>
      </c>
      <c r="G28" s="3684"/>
      <c r="H28" s="1914" t="s">
        <v>1291</v>
      </c>
      <c r="I28" s="3685" t="s">
        <v>650</v>
      </c>
      <c r="J28" s="3691">
        <f ca="1">IF(J7&lt;&gt;0,ROUND(J27*(1-((1+M30)/(1+M28))^M29)/(M28-M30),0),0)</f>
        <v>0</v>
      </c>
      <c r="K28" s="662" t="s">
        <v>651</v>
      </c>
      <c r="L28" s="636" t="s">
        <v>652</v>
      </c>
      <c r="M28" s="3696">
        <f ca="1">INDIRECT("'数据-取费表'!I"&amp;$G$1)</f>
        <v>0</v>
      </c>
    </row>
    <row r="29" spans="1:25" ht="18" customHeight="1">
      <c r="A29" s="655" t="s">
        <v>1303</v>
      </c>
      <c r="B29" s="636" t="s">
        <v>633</v>
      </c>
      <c r="C29" s="3407">
        <f ca="1">ROUND(F23*F28,4)</f>
        <v>0</v>
      </c>
      <c r="D29" s="3319" t="s">
        <v>653</v>
      </c>
      <c r="E29" s="657"/>
      <c r="F29" s="3720"/>
      <c r="G29" s="3684"/>
      <c r="H29" s="1915"/>
      <c r="I29" s="3734"/>
      <c r="J29" s="3695"/>
      <c r="K29" s="669" t="s">
        <v>654</v>
      </c>
      <c r="L29" s="636" t="s">
        <v>655</v>
      </c>
      <c r="M29" s="3735">
        <f ca="1">INDIRECT("'数据-取费表'!ag"&amp;$G$1)</f>
        <v>0</v>
      </c>
    </row>
    <row r="30" spans="1:25" s="3724" customFormat="1" ht="18" customHeight="1">
      <c r="A30" s="655" t="s">
        <v>1332</v>
      </c>
      <c r="B30" s="636" t="s">
        <v>634</v>
      </c>
      <c r="C30" s="3407">
        <f>ROUND(F30/(1+'数据-取费表'!C42),4)</f>
        <v>5.2400000000000002E-2</v>
      </c>
      <c r="D30" s="3319" t="s">
        <v>656</v>
      </c>
      <c r="E30" s="636" t="s">
        <v>597</v>
      </c>
      <c r="F30" s="3725">
        <f>'数据-取费表'!B41</f>
        <v>5.5000000000000007E-2</v>
      </c>
      <c r="G30" s="3721"/>
      <c r="H30" s="1446"/>
      <c r="I30" s="3736"/>
      <c r="J30" s="1445"/>
      <c r="K30" s="664"/>
      <c r="L30" s="636" t="s">
        <v>657</v>
      </c>
      <c r="M30" s="3696">
        <f ca="1">INDIRECT("'数据-取费表'!aa"&amp;$G$1)</f>
        <v>0</v>
      </c>
      <c r="N30" s="3723"/>
      <c r="O30" s="3723"/>
      <c r="P30" s="3723"/>
      <c r="Q30" s="3723"/>
      <c r="R30" s="3723"/>
      <c r="S30" s="3723"/>
      <c r="T30" s="3723"/>
      <c r="U30" s="3723"/>
      <c r="V30" s="3723"/>
      <c r="W30" s="3723"/>
      <c r="X30" s="3723"/>
      <c r="Y30" s="3723"/>
    </row>
    <row r="31" spans="1:25" s="3724" customFormat="1" ht="18" customHeight="1" thickBot="1">
      <c r="A31" s="1943" t="s">
        <v>1333</v>
      </c>
      <c r="B31" s="1924" t="s">
        <v>2009</v>
      </c>
      <c r="C31" s="3737">
        <f ca="1">ROUND((C21+C22+C25+C28)/(1-F23-C26-C29-C30),4)</f>
        <v>0</v>
      </c>
      <c r="D31" s="1928"/>
      <c r="E31" s="1929"/>
      <c r="F31" s="3738"/>
      <c r="G31" s="3721"/>
      <c r="H31" s="671" t="s">
        <v>1322</v>
      </c>
      <c r="I31" s="2197" t="s">
        <v>2010</v>
      </c>
      <c r="J31" s="672">
        <f ca="1">ROUND(J28/(1+F45)^F46,0)</f>
        <v>0</v>
      </c>
      <c r="K31" s="675" t="s">
        <v>635</v>
      </c>
      <c r="L31" s="675"/>
      <c r="M31" s="3739">
        <f ca="1">INDIRECT("'数据-取费表'!k"&amp;$G$1)</f>
        <v>0</v>
      </c>
      <c r="N31" s="3723"/>
      <c r="O31" s="3723"/>
      <c r="P31" s="3723"/>
      <c r="Q31" s="3723"/>
      <c r="R31" s="3723"/>
      <c r="S31" s="3723"/>
      <c r="T31" s="3723"/>
      <c r="U31" s="3723"/>
      <c r="V31" s="3723"/>
      <c r="W31" s="3723"/>
      <c r="X31" s="3723"/>
      <c r="Y31" s="3723"/>
    </row>
    <row r="32" spans="1:25" ht="18" customHeight="1" thickTop="1">
      <c r="A32" s="1446" t="s">
        <v>4</v>
      </c>
      <c r="B32" s="1445" t="s">
        <v>636</v>
      </c>
      <c r="C32" s="3714">
        <f ca="1">ROUND(C33+C38+C39+C40,4)</f>
        <v>0</v>
      </c>
      <c r="D32" s="1444" t="s">
        <v>600</v>
      </c>
      <c r="E32" s="3740"/>
      <c r="F32" s="3687"/>
      <c r="G32" s="1619"/>
      <c r="H32" s="1602"/>
      <c r="I32" s="1603"/>
      <c r="J32" s="3741"/>
      <c r="K32" s="3742"/>
      <c r="L32" s="1606"/>
      <c r="M32" s="3743"/>
    </row>
    <row r="33" spans="1:18" ht="18" customHeight="1">
      <c r="A33" s="655" t="s">
        <v>1326</v>
      </c>
      <c r="B33" s="636" t="s">
        <v>604</v>
      </c>
      <c r="C33" s="3744">
        <f ca="1">ROUND(IF(AND(项目基本情况!B11="自然人",项目基本情况!B10="北京市"),C8*F33/(1+'数据-取费表'!C42),C34+C35+C36),4)</f>
        <v>0</v>
      </c>
      <c r="D33" s="3316" t="s">
        <v>605</v>
      </c>
      <c r="E33" s="3319" t="s">
        <v>637</v>
      </c>
      <c r="F33" s="3727" t="str">
        <f>IF(项目基本情况!B11="企业","——",IF(M48="住宅",IF(F8*F9*F10/12/(1+'数据-取费表'!F30)&gt;100000,4%,2.5%),IF(F8*F9*F10/12/(1+'数据-取费表'!F30)&gt;100000,12%,7%)))</f>
        <v>——</v>
      </c>
      <c r="G33" s="1619"/>
      <c r="H33" s="2669" t="s">
        <v>2189</v>
      </c>
      <c r="I33" s="1603"/>
      <c r="J33" s="3741"/>
      <c r="K33" s="3742"/>
      <c r="L33" s="1606"/>
      <c r="M33" s="3743"/>
    </row>
    <row r="34" spans="1:18" ht="18" customHeight="1">
      <c r="A34" s="655" t="s">
        <v>1325</v>
      </c>
      <c r="B34" s="636" t="s">
        <v>608</v>
      </c>
      <c r="C34" s="3407">
        <f ca="1">ROUND(C8*F34/(1+'数据-取费表'!C42),4)</f>
        <v>0</v>
      </c>
      <c r="D34" s="3319" t="s">
        <v>609</v>
      </c>
      <c r="E34" s="636" t="s">
        <v>597</v>
      </c>
      <c r="F34" s="3725">
        <f>'数据-取费表'!B41</f>
        <v>5.5000000000000007E-2</v>
      </c>
      <c r="G34" s="1619"/>
      <c r="H34" s="1608"/>
      <c r="I34" s="1609"/>
      <c r="J34" s="3745"/>
      <c r="K34" s="3746"/>
      <c r="L34" s="1612"/>
      <c r="M34" s="3747"/>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5">
        <f>IF(D35="按租金收入计税",'数据-取费表'!B51,'数据-取费表'!B50)</f>
        <v>0.12</v>
      </c>
      <c r="G35" s="1619"/>
      <c r="H35" s="1615"/>
      <c r="I35" s="1615"/>
      <c r="J35" s="1615"/>
      <c r="K35" s="1615"/>
      <c r="L35" s="1615"/>
      <c r="M35" s="1615"/>
    </row>
    <row r="36" spans="1:18" ht="18" customHeight="1">
      <c r="A36" s="1447" t="s">
        <v>1330</v>
      </c>
      <c r="B36" s="647" t="s">
        <v>615</v>
      </c>
      <c r="C36" s="3748">
        <f ca="1">ROUND(F36*F37/10000,4)</f>
        <v>0</v>
      </c>
      <c r="D36" s="662" t="s">
        <v>616</v>
      </c>
      <c r="E36" s="636" t="s">
        <v>617</v>
      </c>
      <c r="F36" s="3728">
        <f>'数据-取费表'!B52</f>
        <v>1.5</v>
      </c>
      <c r="G36" s="1619"/>
      <c r="H36" s="1602"/>
      <c r="I36" s="4315"/>
      <c r="J36" s="1617"/>
      <c r="K36" s="1617"/>
      <c r="L36" s="1617"/>
      <c r="M36" s="1617"/>
    </row>
    <row r="37" spans="1:18" ht="18" customHeight="1">
      <c r="A37" s="1448"/>
      <c r="B37" s="657"/>
      <c r="C37" s="3749"/>
      <c r="D37" s="664"/>
      <c r="E37" s="636" t="s">
        <v>621</v>
      </c>
      <c r="F37" s="3690">
        <f ca="1">INDIRECT("'数据-取费表'!r"&amp;$G$1)</f>
        <v>0</v>
      </c>
      <c r="G37" s="1619"/>
      <c r="H37" s="1602"/>
      <c r="I37" s="4315"/>
      <c r="J37" s="1615"/>
      <c r="K37" s="1615"/>
      <c r="L37" s="1615"/>
      <c r="M37" s="1615"/>
    </row>
    <row r="38" spans="1:18" ht="18" customHeight="1">
      <c r="A38" s="655" t="s">
        <v>1327</v>
      </c>
      <c r="B38" s="636" t="s">
        <v>623</v>
      </c>
      <c r="C38" s="3407">
        <f ca="1">ROUND(C31*F38,4)</f>
        <v>0</v>
      </c>
      <c r="D38" s="3319" t="s">
        <v>638</v>
      </c>
      <c r="E38" s="636" t="s">
        <v>597</v>
      </c>
      <c r="F38" s="3731">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2">
        <f ca="1">INDIRECT("'数据-取费表'!Al"&amp;$G$1)</f>
        <v>0</v>
      </c>
      <c r="G39" s="1619"/>
      <c r="H39" s="1615"/>
      <c r="I39" s="3322"/>
      <c r="J39" s="1618"/>
      <c r="K39" s="1618"/>
      <c r="L39" s="1615"/>
      <c r="M39" s="1615"/>
    </row>
    <row r="40" spans="1:18" ht="18" customHeight="1" thickBot="1">
      <c r="A40" s="1943" t="s">
        <v>1329</v>
      </c>
      <c r="B40" s="1929" t="s">
        <v>613</v>
      </c>
      <c r="C40" s="3737">
        <f ca="1">ROUND(C7*F40,4)</f>
        <v>0</v>
      </c>
      <c r="D40" s="1928" t="s">
        <v>630</v>
      </c>
      <c r="E40" s="1929" t="s">
        <v>597</v>
      </c>
      <c r="F40" s="3710">
        <f ca="1">INDIRECT("'数据-取费表'!Am"&amp;$G$1)</f>
        <v>0</v>
      </c>
      <c r="G40" s="1619"/>
      <c r="H40" s="1615"/>
      <c r="I40" s="3322"/>
      <c r="J40" s="1618"/>
      <c r="K40" s="1619"/>
      <c r="L40" s="1615"/>
      <c r="M40" s="1615"/>
    </row>
    <row r="41" spans="1:18" ht="18" customHeight="1" thickTop="1">
      <c r="A41" s="1446">
        <v>4</v>
      </c>
      <c r="B41" s="1445" t="s">
        <v>639</v>
      </c>
      <c r="C41" s="3750"/>
      <c r="D41" s="3750"/>
      <c r="E41" s="3750"/>
      <c r="F41" s="3751"/>
      <c r="G41" s="1619"/>
      <c r="H41" s="1619"/>
      <c r="I41" s="1619"/>
      <c r="J41" s="1619"/>
      <c r="K41" s="1619"/>
      <c r="L41" s="1619"/>
      <c r="M41" s="1619"/>
    </row>
    <row r="42" spans="1:18" ht="18" customHeight="1">
      <c r="A42" s="655" t="s">
        <v>1326</v>
      </c>
      <c r="B42" s="3752" t="s">
        <v>640</v>
      </c>
      <c r="C42" s="3753">
        <f ca="1">C7-C32</f>
        <v>0</v>
      </c>
      <c r="D42" s="3316" t="s">
        <v>641</v>
      </c>
      <c r="E42" s="3315"/>
      <c r="F42" s="3320"/>
      <c r="G42" s="1619"/>
      <c r="H42" s="1619"/>
      <c r="I42" s="1619"/>
      <c r="J42" s="1619"/>
      <c r="K42" s="1619"/>
      <c r="L42" s="1619"/>
      <c r="M42" s="1619"/>
    </row>
    <row r="43" spans="1:18" ht="18" customHeight="1">
      <c r="A43" s="655" t="s">
        <v>1327</v>
      </c>
      <c r="B43" s="3752" t="s">
        <v>658</v>
      </c>
      <c r="C43" s="3754">
        <f ca="1">ROUND(C15*F43,4)</f>
        <v>0</v>
      </c>
      <c r="D43" s="3755" t="s">
        <v>659</v>
      </c>
      <c r="E43" s="3756" t="s">
        <v>2130</v>
      </c>
      <c r="F43" s="3757">
        <f ca="1">INDIRECT("'数据-取费表'!j"&amp;$G$1)</f>
        <v>0</v>
      </c>
      <c r="G43" s="1619"/>
      <c r="H43" s="1619"/>
      <c r="I43" s="1619"/>
      <c r="J43" s="1619"/>
      <c r="K43" s="1619"/>
      <c r="L43" s="1619"/>
      <c r="M43" s="1619"/>
    </row>
    <row r="44" spans="1:18" ht="18" customHeight="1">
      <c r="A44" s="655" t="s">
        <v>1328</v>
      </c>
      <c r="B44" s="3752" t="s">
        <v>660</v>
      </c>
      <c r="C44" s="3758">
        <f ca="1">C42-C43</f>
        <v>0</v>
      </c>
      <c r="D44" s="3759" t="s">
        <v>661</v>
      </c>
      <c r="E44" s="3760"/>
      <c r="F44" s="3761"/>
      <c r="G44" s="1619"/>
      <c r="H44" s="1619"/>
      <c r="I44" s="1619"/>
      <c r="J44" s="1619"/>
      <c r="K44" s="1619"/>
      <c r="L44" s="1619"/>
      <c r="M44" s="1619"/>
    </row>
    <row r="45" spans="1:18" ht="18" customHeight="1">
      <c r="A45" s="655" t="s">
        <v>1329</v>
      </c>
      <c r="B45" s="3755" t="s">
        <v>662</v>
      </c>
      <c r="C45" s="3762">
        <f ca="1">ROUND(-PV(F45,F46,C44,0),4)</f>
        <v>0</v>
      </c>
      <c r="D45" s="3763" t="s">
        <v>663</v>
      </c>
      <c r="E45" s="657" t="s">
        <v>664</v>
      </c>
      <c r="F45" s="3764">
        <f ca="1">INDIRECT("'数据-取费表'!h"&amp;$G$1)</f>
        <v>0</v>
      </c>
      <c r="G45" s="1619"/>
      <c r="H45" s="1619"/>
      <c r="I45" s="1619"/>
      <c r="J45" s="1619"/>
      <c r="K45" s="1619"/>
      <c r="L45" s="1619"/>
      <c r="M45" s="1619"/>
    </row>
    <row r="46" spans="1:18" ht="18" customHeight="1" thickBot="1">
      <c r="A46" s="677"/>
      <c r="B46" s="3765"/>
      <c r="C46" s="3766"/>
      <c r="D46" s="3766"/>
      <c r="E46" s="2246" t="s">
        <v>2132</v>
      </c>
      <c r="F46" s="3739">
        <f ca="1">IF(INDIRECT("'数据-取费表'!af"&amp;$G$1)=0,INDIRECT("'数据-取费表'!ae"&amp;$G$1),INDIRECT("'数据-取费表'!af"&amp;$G$1))</f>
        <v>50</v>
      </c>
      <c r="G46" s="1619"/>
      <c r="H46" s="1619"/>
      <c r="I46" s="1619"/>
      <c r="J46" s="1619"/>
      <c r="K46" s="1619"/>
      <c r="L46" s="1619"/>
      <c r="M46" s="1619"/>
    </row>
    <row r="47" spans="1:18" s="1621" customFormat="1" ht="18" customHeight="1" thickBot="1">
      <c r="A47" s="3767"/>
      <c r="D47" s="3377"/>
      <c r="E47" s="3377"/>
      <c r="F47" s="3377"/>
      <c r="I47" s="3768" t="s">
        <v>1614</v>
      </c>
      <c r="J47" s="3769"/>
      <c r="K47" s="1846"/>
      <c r="L47" s="3770" t="e">
        <f ca="1">IF(M48="住宅",0,IF(L49&gt;J52,L61,J61))</f>
        <v>#DIV/0!</v>
      </c>
      <c r="O47" s="3771" t="s">
        <v>1680</v>
      </c>
      <c r="P47" s="3684"/>
      <c r="Q47" s="3684"/>
      <c r="R47" s="3684"/>
    </row>
    <row r="48" spans="1:18" s="1621" customFormat="1" ht="18" customHeight="1" thickBot="1">
      <c r="A48" s="3767"/>
      <c r="C48" s="3772"/>
      <c r="D48" s="3773"/>
      <c r="E48" s="3773"/>
      <c r="F48" s="1622"/>
      <c r="G48" s="3774"/>
      <c r="I48" s="2257" t="s">
        <v>1615</v>
      </c>
      <c r="J48" s="3775"/>
      <c r="K48" s="2257" t="s">
        <v>1620</v>
      </c>
      <c r="L48" s="3776">
        <f ca="1">INDIRECT("'数据-取费表'!d"&amp;$G$1)</f>
        <v>0</v>
      </c>
      <c r="M48" s="1619" t="str">
        <f>IF(ISNUMBER(FIND("住宅",C1)),"住宅","非住宅")</f>
        <v>非住宅</v>
      </c>
      <c r="O48" s="3777" t="s">
        <v>1646</v>
      </c>
      <c r="P48" s="3778" t="s">
        <v>1647</v>
      </c>
      <c r="Q48" s="3779" t="s">
        <v>1648</v>
      </c>
      <c r="R48" s="3778" t="s">
        <v>1649</v>
      </c>
    </row>
    <row r="49" spans="1:18" s="1621" customFormat="1" ht="18" customHeight="1" thickBot="1">
      <c r="A49" s="3767"/>
      <c r="D49" s="3780"/>
      <c r="E49" s="3781"/>
      <c r="F49" s="1622"/>
      <c r="G49" s="3774"/>
      <c r="H49" s="1624"/>
      <c r="I49" s="3782" t="s">
        <v>1616</v>
      </c>
      <c r="J49" s="3783"/>
      <c r="K49" s="2258" t="s">
        <v>1622</v>
      </c>
      <c r="L49" s="3784">
        <f ca="1">INDIRECT("'数据-取费表'!f"&amp;$G$1)</f>
        <v>0</v>
      </c>
      <c r="O49" s="3785" t="s">
        <v>1650</v>
      </c>
      <c r="P49" s="3786" t="s">
        <v>1676</v>
      </c>
      <c r="Q49" s="3787">
        <f ca="1">C41+J31</f>
        <v>0</v>
      </c>
      <c r="R49" s="3786" t="s">
        <v>1651</v>
      </c>
    </row>
    <row r="50" spans="1:18" s="1621" customFormat="1" ht="18" customHeight="1" thickBot="1">
      <c r="A50" s="3767"/>
      <c r="D50" s="3788"/>
      <c r="E50" s="3788"/>
      <c r="F50" s="3773"/>
      <c r="G50" s="3789"/>
      <c r="H50" s="1624"/>
      <c r="I50" s="3782" t="s">
        <v>1617</v>
      </c>
      <c r="J50" s="3790"/>
      <c r="K50" s="2259" t="s">
        <v>1623</v>
      </c>
      <c r="L50" s="3791"/>
      <c r="O50" s="3785" t="s">
        <v>1652</v>
      </c>
      <c r="P50" s="3786" t="s">
        <v>1677</v>
      </c>
      <c r="Q50" s="3787" t="e">
        <f ca="1">J61</f>
        <v>#DIV/0!</v>
      </c>
      <c r="R50" s="3786" t="s">
        <v>1653</v>
      </c>
    </row>
    <row r="51" spans="1:18" s="1621" customFormat="1" ht="18" customHeight="1" thickBot="1">
      <c r="A51" s="3792"/>
      <c r="D51" s="3788"/>
      <c r="E51" s="3788"/>
      <c r="F51" s="3377"/>
      <c r="H51" s="1624"/>
      <c r="I51" s="3782" t="s">
        <v>1618</v>
      </c>
      <c r="J51" s="3793">
        <f>SUMPRODUCT((I64:I66=J48)*(J63:L63=J49)*(J64:L66))</f>
        <v>0</v>
      </c>
      <c r="K51" s="2259" t="s">
        <v>1624</v>
      </c>
      <c r="L51" s="3791"/>
      <c r="O51" s="3785" t="s">
        <v>1654</v>
      </c>
      <c r="P51" s="3786" t="s">
        <v>1678</v>
      </c>
      <c r="Q51" s="3787">
        <f ca="1">C31</f>
        <v>0</v>
      </c>
      <c r="R51" s="3786" t="s">
        <v>1651</v>
      </c>
    </row>
    <row r="52" spans="1:18" s="1621" customFormat="1" ht="18" customHeight="1" thickBot="1">
      <c r="A52" s="3792"/>
      <c r="F52" s="3377"/>
      <c r="I52" s="2252" t="s">
        <v>1619</v>
      </c>
      <c r="J52" s="3794">
        <f>IF(J50="",J51,J50+J51-YEAR('数据-取费表'!B3))</f>
        <v>0</v>
      </c>
      <c r="K52" s="3782" t="s">
        <v>1625</v>
      </c>
      <c r="L52" s="3795">
        <f ca="1">C45</f>
        <v>0</v>
      </c>
      <c r="O52" s="3785" t="s">
        <v>1655</v>
      </c>
      <c r="P52" s="3786" t="s">
        <v>1656</v>
      </c>
      <c r="Q52" s="3796" t="e">
        <f ca="1">J59</f>
        <v>#DIV/0!</v>
      </c>
      <c r="R52" s="3797"/>
    </row>
    <row r="53" spans="1:18" s="1621" customFormat="1" ht="18" customHeight="1" thickBot="1">
      <c r="A53" s="3792"/>
      <c r="F53" s="3377"/>
      <c r="I53" s="3798" t="s">
        <v>1691</v>
      </c>
      <c r="J53" s="3799"/>
      <c r="K53" s="3798" t="s">
        <v>1690</v>
      </c>
      <c r="L53" s="3799"/>
      <c r="O53" s="3785" t="s">
        <v>1657</v>
      </c>
      <c r="P53" s="3786" t="s">
        <v>1658</v>
      </c>
      <c r="Q53" s="3796">
        <f>J53</f>
        <v>0</v>
      </c>
      <c r="R53" s="3797"/>
    </row>
    <row r="54" spans="1:18" s="1621" customFormat="1" ht="29.25" thickBot="1">
      <c r="A54" s="3792"/>
      <c r="I54" s="3800" t="s">
        <v>2142</v>
      </c>
      <c r="J54" s="3801">
        <f ca="1">IF(M48="住宅",MAX(J52,L49-'数据-取费表'!B20),MIN(J52,L49-'数据-取费表'!B20))</f>
        <v>-1.5</v>
      </c>
      <c r="K54" s="4320"/>
      <c r="L54" s="4321"/>
      <c r="O54" s="3785" t="s">
        <v>1659</v>
      </c>
      <c r="P54" s="3786" t="s">
        <v>1660</v>
      </c>
      <c r="Q54" s="3787">
        <f ca="1">J54</f>
        <v>-1.5</v>
      </c>
      <c r="R54" s="3786" t="s">
        <v>1661</v>
      </c>
    </row>
    <row r="55" spans="1:18" s="1621" customFormat="1" ht="18" customHeight="1" thickBot="1">
      <c r="A55" s="3792"/>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5" t="s">
        <v>1662</v>
      </c>
      <c r="P55" s="3786" t="s">
        <v>1679</v>
      </c>
      <c r="Q55" s="3787" t="e">
        <f ca="1">Q49+Q50</f>
        <v>#DIV/0!</v>
      </c>
      <c r="R55" s="3797" t="s">
        <v>1663</v>
      </c>
    </row>
    <row r="56" spans="1:18" s="1621" customFormat="1" ht="16.5" thickBot="1">
      <c r="A56" s="3792"/>
      <c r="I56" s="2264" t="s">
        <v>1626</v>
      </c>
      <c r="J56" s="3802" t="e">
        <f ca="1">ROUND(IF(J48="钢混",J58/J51,1-(1-2%)*(J51-J58)/J51),3)</f>
        <v>#DIV/0!</v>
      </c>
      <c r="K56" s="3803" t="s">
        <v>1627</v>
      </c>
      <c r="L56" s="3804"/>
      <c r="O56" s="3805" t="s">
        <v>1681</v>
      </c>
      <c r="P56" s="3684"/>
      <c r="Q56" s="3684"/>
      <c r="R56" s="3684"/>
    </row>
    <row r="57" spans="1:18" s="1621" customFormat="1" ht="43.5" thickBot="1">
      <c r="A57" s="3792"/>
      <c r="I57" s="3806" t="s">
        <v>1628</v>
      </c>
      <c r="J57" s="3807"/>
      <c r="K57" s="3782" t="s">
        <v>1633</v>
      </c>
      <c r="L57" s="3784">
        <f ca="1">IF(L49&lt;J52,"——",L49-J52)</f>
        <v>0</v>
      </c>
      <c r="O57" s="3777" t="s">
        <v>1646</v>
      </c>
      <c r="P57" s="3778" t="s">
        <v>1647</v>
      </c>
      <c r="Q57" s="3779" t="s">
        <v>1648</v>
      </c>
      <c r="R57" s="3778" t="s">
        <v>1649</v>
      </c>
    </row>
    <row r="58" spans="1:18" s="1621" customFormat="1" ht="29.25" thickBot="1">
      <c r="A58" s="3792"/>
      <c r="I58" s="3808" t="s">
        <v>1629</v>
      </c>
      <c r="J58" s="3809">
        <f ca="1">IF(OR(M48="住宅",J52&lt;L49,J57="是"),"——",J52-L49)</f>
        <v>0</v>
      </c>
      <c r="K58" s="3782" t="s">
        <v>1634</v>
      </c>
      <c r="L58" s="3784">
        <f ca="1">IF(L49&lt;J52,"——",IF(L56="比较法",L50,IF(L56="基准地价",L51,L52)))</f>
        <v>0</v>
      </c>
      <c r="O58" s="3785" t="s">
        <v>1650</v>
      </c>
      <c r="P58" s="3786" t="s">
        <v>1676</v>
      </c>
      <c r="Q58" s="3787">
        <f ca="1">C41+J31</f>
        <v>0</v>
      </c>
      <c r="R58" s="3786" t="s">
        <v>1651</v>
      </c>
    </row>
    <row r="59" spans="1:18" s="1621" customFormat="1" ht="29.25" thickBot="1">
      <c r="A59" s="3792"/>
      <c r="I59" s="3808" t="s">
        <v>1630</v>
      </c>
      <c r="J59" s="3810" t="e">
        <f ca="1">IF(J56&lt;0.4,0.4,J56)</f>
        <v>#DIV/0!</v>
      </c>
      <c r="K59" s="3782" t="s">
        <v>1635</v>
      </c>
      <c r="L59" s="3784">
        <f ca="1">IF(ISERROR(POWER(1+L53,L48-L49)*(POWER(1+L53,L49)-1)/(POWER(1+L53,L48)-1)),0,POWER(1+L53,L48-L49)*(POWER(1+L53,L49)-1)/(POWER(1+L53,L48)-1))</f>
        <v>0</v>
      </c>
      <c r="O59" s="3785" t="s">
        <v>1652</v>
      </c>
      <c r="P59" s="3786" t="s">
        <v>1682</v>
      </c>
      <c r="Q59" s="3787" t="e">
        <f ca="1">L61</f>
        <v>#DIV/0!</v>
      </c>
      <c r="R59" s="3797" t="s">
        <v>1684</v>
      </c>
    </row>
    <row r="60" spans="1:18" s="1621" customFormat="1" ht="29.25" thickBot="1">
      <c r="A60" s="3792"/>
      <c r="I60" s="3808" t="s">
        <v>1631</v>
      </c>
      <c r="J60" s="3809" t="e">
        <f ca="1">IF(OR(M48="住宅",J52&lt;L49,J57="是"),"——",ROUND(C30*J59,0))</f>
        <v>#DIV/0!</v>
      </c>
      <c r="K60" s="3782" t="s">
        <v>1636</v>
      </c>
      <c r="L60" s="3784">
        <f ca="1">IF(ISERROR(POWER(1+L53,L48-J52)*(POWER(1+L53,J52)-1)/(POWER(1+L53,L48)-1)),0,POWER(1+L53,L48-J52)*(POWER(1+L53,J52)-1)/(POWER(1+L53,L48)-1))</f>
        <v>0</v>
      </c>
      <c r="O60" s="3785" t="s">
        <v>1654</v>
      </c>
      <c r="P60" s="3786" t="s">
        <v>1683</v>
      </c>
      <c r="Q60" s="3787">
        <f>IF(L56="比较法",L50,IF(L56="基准地价",L51,0))</f>
        <v>0</v>
      </c>
      <c r="R60" s="3786" t="s">
        <v>1651</v>
      </c>
    </row>
    <row r="61" spans="1:18" s="1621" customFormat="1" ht="15.75" thickBot="1">
      <c r="A61" s="3792"/>
      <c r="I61" s="2269" t="s">
        <v>1632</v>
      </c>
      <c r="J61" s="3811" t="e">
        <f ca="1">IF(OR(M48="住宅",J52&lt;L49,J57="是"),"0",ROUND(J60/(1+J53)^J54,0))</f>
        <v>#DIV/0!</v>
      </c>
      <c r="K61" s="3812" t="s">
        <v>1637</v>
      </c>
      <c r="L61" s="3811" t="e">
        <f ca="1">IF(OR(M48="住宅",L49&lt;J52),0,ROUND(L58*(L59/L60-1),0))</f>
        <v>#DIV/0!</v>
      </c>
      <c r="O61" s="3785" t="s">
        <v>1655</v>
      </c>
      <c r="P61" s="3786" t="s">
        <v>1664</v>
      </c>
      <c r="Q61" s="3796">
        <f>L53</f>
        <v>0</v>
      </c>
      <c r="R61" s="3797"/>
    </row>
    <row r="62" spans="1:18" s="1621" customFormat="1" ht="20.25" thickBot="1">
      <c r="A62" s="3792"/>
      <c r="O62" s="3785" t="s">
        <v>1657</v>
      </c>
      <c r="P62" s="3786" t="s">
        <v>1665</v>
      </c>
      <c r="Q62" s="3787">
        <f ca="1">L59</f>
        <v>0</v>
      </c>
      <c r="R62" s="3797" t="s">
        <v>1666</v>
      </c>
    </row>
    <row r="63" spans="1:18" s="1621" customFormat="1" ht="20.25" thickBot="1">
      <c r="A63" s="3792"/>
      <c r="I63" s="3813" t="s">
        <v>1638</v>
      </c>
      <c r="J63" s="3813" t="s">
        <v>1639</v>
      </c>
      <c r="K63" s="3813" t="s">
        <v>1640</v>
      </c>
      <c r="L63" s="3813" t="s">
        <v>1621</v>
      </c>
      <c r="M63" s="3814" t="s">
        <v>2113</v>
      </c>
      <c r="O63" s="3785" t="s">
        <v>1659</v>
      </c>
      <c r="P63" s="3786" t="s">
        <v>1667</v>
      </c>
      <c r="Q63" s="3787">
        <f ca="1">L60</f>
        <v>0</v>
      </c>
      <c r="R63" s="3797" t="s">
        <v>1668</v>
      </c>
    </row>
    <row r="64" spans="1:18" s="1621" customFormat="1" ht="15.75" thickBot="1">
      <c r="A64" s="3792"/>
      <c r="I64" s="3813" t="s">
        <v>1641</v>
      </c>
      <c r="J64" s="3813">
        <v>70</v>
      </c>
      <c r="K64" s="3813">
        <v>50</v>
      </c>
      <c r="L64" s="3813">
        <v>80</v>
      </c>
      <c r="M64" s="3815">
        <v>0.02</v>
      </c>
      <c r="O64" s="3785" t="s">
        <v>1662</v>
      </c>
      <c r="P64" s="3786" t="s">
        <v>1679</v>
      </c>
      <c r="Q64" s="3787" t="e">
        <f ca="1">Q58+Q59</f>
        <v>#DIV/0!</v>
      </c>
      <c r="R64" s="3797" t="s">
        <v>1663</v>
      </c>
    </row>
    <row r="65" spans="1:18" s="1621" customFormat="1" ht="16.5" thickBot="1">
      <c r="A65" s="3792"/>
      <c r="I65" s="3813" t="s">
        <v>1642</v>
      </c>
      <c r="J65" s="3813">
        <v>50</v>
      </c>
      <c r="K65" s="3813">
        <v>35</v>
      </c>
      <c r="L65" s="3813">
        <v>60</v>
      </c>
      <c r="M65" s="3816">
        <v>0</v>
      </c>
      <c r="O65" s="3805" t="s">
        <v>1685</v>
      </c>
      <c r="P65" s="3684"/>
      <c r="Q65" s="3684"/>
      <c r="R65" s="3684"/>
    </row>
    <row r="66" spans="1:18" s="1621" customFormat="1" ht="15.75" thickBot="1">
      <c r="A66" s="3792"/>
      <c r="I66" s="3813" t="s">
        <v>1643</v>
      </c>
      <c r="J66" s="3813">
        <v>40</v>
      </c>
      <c r="K66" s="3813">
        <v>30</v>
      </c>
      <c r="L66" s="3813">
        <v>50</v>
      </c>
      <c r="M66" s="3815">
        <v>0.02</v>
      </c>
      <c r="O66" s="3777" t="s">
        <v>1646</v>
      </c>
      <c r="P66" s="3778" t="s">
        <v>1647</v>
      </c>
      <c r="Q66" s="3779" t="s">
        <v>1648</v>
      </c>
      <c r="R66" s="3778" t="s">
        <v>1649</v>
      </c>
    </row>
    <row r="67" spans="1:18" s="1621" customFormat="1" ht="15.75" thickBot="1">
      <c r="A67" s="3792"/>
      <c r="O67" s="3785" t="s">
        <v>1650</v>
      </c>
      <c r="P67" s="3786" t="s">
        <v>1676</v>
      </c>
      <c r="Q67" s="3787">
        <f ca="1">C41+J31</f>
        <v>0</v>
      </c>
      <c r="R67" s="3786" t="s">
        <v>1651</v>
      </c>
    </row>
    <row r="68" spans="1:18" s="1621" customFormat="1" ht="20.25" thickBot="1">
      <c r="A68" s="3792"/>
      <c r="O68" s="3785" t="s">
        <v>1652</v>
      </c>
      <c r="P68" s="3786" t="s">
        <v>1682</v>
      </c>
      <c r="Q68" s="3787" t="e">
        <f ca="1">L61</f>
        <v>#DIV/0!</v>
      </c>
      <c r="R68" s="3797" t="s">
        <v>1684</v>
      </c>
    </row>
    <row r="69" spans="1:18" s="1621" customFormat="1" ht="21.75" thickBot="1">
      <c r="A69" s="3792"/>
      <c r="O69" s="3785" t="s">
        <v>1654</v>
      </c>
      <c r="P69" s="3786" t="s">
        <v>1683</v>
      </c>
      <c r="Q69" s="3817">
        <f ca="1">L52</f>
        <v>0</v>
      </c>
      <c r="R69" s="3818" t="s">
        <v>1686</v>
      </c>
    </row>
    <row r="70" spans="1:18" s="1621" customFormat="1" ht="20.25" thickBot="1">
      <c r="A70" s="3792"/>
      <c r="O70" s="3785" t="s">
        <v>1655</v>
      </c>
      <c r="P70" s="3819" t="s">
        <v>1669</v>
      </c>
      <c r="Q70" s="3787">
        <f ca="1">ROUND(Q71-Q72*Q73,0)</f>
        <v>0</v>
      </c>
      <c r="R70" s="3797"/>
    </row>
    <row r="71" spans="1:18" s="1621" customFormat="1" ht="15.75" thickBot="1">
      <c r="A71" s="3792"/>
      <c r="O71" s="3785" t="s">
        <v>1670</v>
      </c>
      <c r="P71" s="3819" t="s">
        <v>1671</v>
      </c>
      <c r="Q71" s="3787">
        <f ca="1">C42</f>
        <v>0</v>
      </c>
      <c r="R71" s="3786" t="s">
        <v>1651</v>
      </c>
    </row>
    <row r="72" spans="1:18" s="1621" customFormat="1" ht="15.75" thickBot="1">
      <c r="A72" s="3792"/>
      <c r="O72" s="3785" t="s">
        <v>1672</v>
      </c>
      <c r="P72" s="3819" t="s">
        <v>1673</v>
      </c>
      <c r="Q72" s="3787">
        <f ca="1">C15</f>
        <v>0</v>
      </c>
      <c r="R72" s="3786" t="s">
        <v>1651</v>
      </c>
    </row>
    <row r="73" spans="1:18" s="1621" customFormat="1" ht="15.75" thickBot="1">
      <c r="A73" s="3792"/>
      <c r="O73" s="3785" t="s">
        <v>1674</v>
      </c>
      <c r="P73" s="3819" t="s">
        <v>1675</v>
      </c>
      <c r="Q73" s="3796">
        <f ca="1">F43</f>
        <v>0</v>
      </c>
      <c r="R73" s="3797"/>
    </row>
    <row r="74" spans="1:18" s="1621" customFormat="1" ht="15.75" thickBot="1">
      <c r="A74" s="3792"/>
      <c r="O74" s="3785" t="s">
        <v>1657</v>
      </c>
      <c r="P74" s="3786" t="s">
        <v>1664</v>
      </c>
      <c r="Q74" s="3796">
        <f>L53</f>
        <v>0</v>
      </c>
      <c r="R74" s="3797"/>
    </row>
    <row r="75" spans="1:18" s="1621" customFormat="1" ht="20.25" thickBot="1">
      <c r="A75" s="3792"/>
      <c r="O75" s="3785" t="s">
        <v>1659</v>
      </c>
      <c r="P75" s="3786" t="s">
        <v>1665</v>
      </c>
      <c r="Q75" s="3787">
        <f ca="1">L59</f>
        <v>0</v>
      </c>
      <c r="R75" s="3797" t="s">
        <v>1666</v>
      </c>
    </row>
    <row r="76" spans="1:18" s="1621" customFormat="1" ht="20.25" thickBot="1">
      <c r="A76" s="3792"/>
      <c r="O76" s="3785" t="s">
        <v>1687</v>
      </c>
      <c r="P76" s="3786" t="s">
        <v>1667</v>
      </c>
      <c r="Q76" s="3787">
        <f ca="1">L60</f>
        <v>0</v>
      </c>
      <c r="R76" s="3797" t="s">
        <v>1668</v>
      </c>
    </row>
    <row r="77" spans="1:18" s="1621" customFormat="1" ht="15.75" thickBot="1">
      <c r="A77" s="3792"/>
      <c r="O77" s="3785" t="s">
        <v>1662</v>
      </c>
      <c r="P77" s="3786" t="s">
        <v>1679</v>
      </c>
      <c r="Q77" s="3787" t="e">
        <f ca="1">Q67+Q68</f>
        <v>#DIV/0!</v>
      </c>
      <c r="R77" s="3797" t="s">
        <v>1663</v>
      </c>
    </row>
    <row r="78" spans="1:18" s="1621" customFormat="1">
      <c r="A78" s="3792"/>
    </row>
    <row r="79" spans="1:18" s="1621" customFormat="1">
      <c r="A79" s="3792"/>
    </row>
    <row r="80" spans="1:18" s="1621" customFormat="1">
      <c r="A80" s="3792"/>
    </row>
    <row r="81" spans="1:1" s="1621" customFormat="1">
      <c r="A81" s="3792"/>
    </row>
    <row r="82" spans="1:1" s="1621" customFormat="1">
      <c r="A82" s="3792"/>
    </row>
    <row r="83" spans="1:1" s="1621" customFormat="1">
      <c r="A83" s="3792"/>
    </row>
    <row r="84" spans="1:1" s="1621" customFormat="1">
      <c r="A84" s="3792"/>
    </row>
    <row r="85" spans="1:1" s="1621" customFormat="1">
      <c r="A85" s="3792"/>
    </row>
    <row r="86" spans="1:1" s="1621" customFormat="1">
      <c r="A86" s="3792"/>
    </row>
    <row r="87" spans="1:1" s="1621" customFormat="1">
      <c r="A87" s="3792"/>
    </row>
    <row r="88" spans="1:1" s="1621" customFormat="1">
      <c r="A88" s="3792"/>
    </row>
    <row r="89" spans="1:1" s="1621" customFormat="1">
      <c r="A89" s="3792"/>
    </row>
    <row r="90" spans="1:1" s="1621" customFormat="1">
      <c r="A90" s="3792"/>
    </row>
    <row r="91" spans="1:1" s="1621" customFormat="1">
      <c r="A91" s="3792"/>
    </row>
    <row r="92" spans="1:1" s="1621" customFormat="1">
      <c r="A92" s="3792"/>
    </row>
    <row r="93" spans="1:1" s="1621" customFormat="1">
      <c r="A93" s="3792"/>
    </row>
    <row r="94" spans="1:1" s="1621" customFormat="1">
      <c r="A94" s="379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xr:uid="{00000000-0002-0000-2D00-000000000000}">
      <formula1>项目类型</formula1>
    </dataValidation>
    <dataValidation type="list" allowBlank="1" showInputMessage="1" showErrorMessage="1" sqref="D35" xr:uid="{00000000-0002-0000-2D00-000001000000}">
      <formula1>"按租金收入计税,按房产原值计税,按票据"</formula1>
    </dataValidation>
    <dataValidation type="list" allowBlank="1" showInputMessage="1" showErrorMessage="1" sqref="K21" xr:uid="{00000000-0002-0000-2D00-000002000000}">
      <formula1>"按租金收入计税,按房产原值计税"</formula1>
    </dataValidation>
    <dataValidation type="list" allowBlank="1" showInputMessage="1" showErrorMessage="1" sqref="F12 M12" xr:uid="{00000000-0002-0000-2D00-000003000000}">
      <formula1>"押一,押二,押三,自定义"</formula1>
    </dataValidation>
    <dataValidation type="list" allowBlank="1" showInputMessage="1" showErrorMessage="1" sqref="J57" xr:uid="{00000000-0002-0000-2D00-000004000000}">
      <formula1>估价范围判定</formula1>
    </dataValidation>
  </dataValidations>
  <pageMargins left="0.7" right="0.7" top="0.75" bottom="0.75" header="0.3" footer="0.3"/>
  <pageSetup paperSize="9" scale="82"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6"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0</v>
      </c>
      <c r="D10" s="614"/>
      <c r="E10" s="604"/>
      <c r="F10" s="615"/>
      <c r="G10" s="613" t="s">
        <v>562</v>
      </c>
    </row>
    <row r="11" spans="1:25" s="1702" customFormat="1" ht="13.5" customHeight="1">
      <c r="A11" s="1890" t="s">
        <v>1702</v>
      </c>
      <c r="B11" s="607" t="s">
        <v>558</v>
      </c>
      <c r="C11" s="608">
        <f>'数据-取费表'!B29</f>
        <v>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160</v>
      </c>
      <c r="F12" s="610"/>
      <c r="G12" s="613"/>
    </row>
    <row r="13" spans="1:25" s="1702" customFormat="1" ht="13.5" customHeight="1">
      <c r="A13" s="1896" t="s">
        <v>1709</v>
      </c>
      <c r="B13" s="611" t="s">
        <v>560</v>
      </c>
      <c r="C13" s="612">
        <f>ROUND(D13*E13/10000,0)</f>
        <v>582</v>
      </c>
      <c r="D13" s="2682">
        <f>'数据-汇总表'!E6</f>
        <v>29082.55</v>
      </c>
      <c r="E13" s="2682">
        <f>'数据-取费表'!B28</f>
        <v>200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2"/>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2"/>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xr:uid="{00000000-0002-0000-2E00-000000000000}">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1" customWidth="1"/>
    <col min="2" max="2" width="15.75" style="1061" customWidth="1"/>
    <col min="3" max="3" width="15.12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1995" t="s">
        <v>666</v>
      </c>
      <c r="C1" s="1996" t="s">
        <v>667</v>
      </c>
      <c r="D1" s="1997"/>
      <c r="E1" s="1647"/>
      <c r="F1" s="2047"/>
      <c r="G1" s="1256" t="s">
        <v>668</v>
      </c>
      <c r="H1" s="364"/>
      <c r="I1" s="364"/>
      <c r="J1" s="364"/>
      <c r="K1" s="365"/>
      <c r="L1" s="2622"/>
      <c r="M1" s="2623"/>
      <c r="N1" s="2623"/>
      <c r="O1" s="2623"/>
      <c r="P1" s="1226"/>
      <c r="Q1" s="1226"/>
      <c r="R1" s="1226"/>
      <c r="S1" s="1226"/>
      <c r="T1" s="1226"/>
      <c r="U1" s="1226"/>
      <c r="V1" s="1226"/>
      <c r="W1" s="1226"/>
      <c r="X1" s="1226"/>
      <c r="Y1" s="1226"/>
      <c r="Z1" s="1226"/>
      <c r="AA1" s="1226"/>
      <c r="AB1" s="1226"/>
      <c r="AC1" s="1227"/>
    </row>
    <row r="2" spans="1:29" s="1073" customFormat="1" ht="28.5" customHeight="1">
      <c r="A2" s="309" t="s">
        <v>427</v>
      </c>
      <c r="B2" s="1994" t="e">
        <f>ROUND(B3*D3/10000,0)</f>
        <v>#DIV/0!</v>
      </c>
      <c r="C2" s="1647"/>
      <c r="D2" s="1647"/>
      <c r="E2" s="1647"/>
      <c r="F2" s="1718"/>
      <c r="G2" s="1647"/>
      <c r="H2" s="1647"/>
      <c r="I2" s="1647"/>
      <c r="J2" s="1647"/>
      <c r="K2" s="1719"/>
      <c r="L2" s="1720"/>
      <c r="M2" s="1721"/>
      <c r="N2" s="1721"/>
      <c r="O2" s="1721"/>
      <c r="P2" s="1257"/>
      <c r="Q2" s="1257"/>
      <c r="R2" s="1257"/>
      <c r="S2" s="1257"/>
      <c r="T2" s="1257"/>
      <c r="U2" s="1257"/>
      <c r="V2" s="1257"/>
      <c r="W2" s="1257"/>
      <c r="X2" s="1257"/>
      <c r="Y2" s="1257"/>
      <c r="Z2" s="1257"/>
      <c r="AA2" s="1257"/>
      <c r="AB2" s="1257"/>
      <c r="AC2" s="1258"/>
    </row>
    <row r="3" spans="1:29" s="1073" customFormat="1" ht="28.5" customHeight="1" thickBot="1">
      <c r="A3" s="367" t="s">
        <v>468</v>
      </c>
      <c r="B3" s="697" t="e">
        <f>C49</f>
        <v>#DIV/0!</v>
      </c>
      <c r="C3" s="698" t="s">
        <v>669</v>
      </c>
      <c r="D3" s="697">
        <f>SUMIF('数据-汇总表'!$C19:$C33,D1,'数据-汇总表'!$E19:$E33)</f>
        <v>0</v>
      </c>
      <c r="E3" s="1647"/>
      <c r="F3" s="1718"/>
      <c r="G3" s="1647"/>
      <c r="H3" s="1647"/>
      <c r="I3" s="1647"/>
      <c r="J3" s="1647"/>
      <c r="K3" s="1719"/>
      <c r="L3" s="1720"/>
      <c r="M3" s="1721"/>
      <c r="N3" s="1721"/>
      <c r="O3" s="1721"/>
      <c r="P3" s="1257"/>
      <c r="Q3" s="1257"/>
      <c r="R3" s="1257"/>
      <c r="S3" s="1257"/>
      <c r="T3" s="1257"/>
      <c r="U3" s="1257"/>
      <c r="V3" s="1257"/>
      <c r="W3" s="1257"/>
      <c r="X3" s="1257"/>
      <c r="Y3" s="1257"/>
      <c r="Z3" s="1257"/>
      <c r="AA3" s="1257"/>
      <c r="AB3" s="1257"/>
      <c r="AC3" s="1259"/>
    </row>
    <row r="4" spans="1:29" ht="15">
      <c r="A4" s="370" t="s">
        <v>470</v>
      </c>
      <c r="B4" s="371"/>
      <c r="C4" s="4201" t="s">
        <v>471</v>
      </c>
      <c r="D4" s="4202"/>
      <c r="E4" s="4240" t="s">
        <v>472</v>
      </c>
      <c r="F4" s="4241"/>
      <c r="G4" s="4201" t="s">
        <v>473</v>
      </c>
      <c r="H4" s="4202"/>
      <c r="I4" s="4201" t="s">
        <v>474</v>
      </c>
      <c r="J4" s="4202"/>
      <c r="K4" s="699"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8" t="s">
        <v>473</v>
      </c>
      <c r="AC4" s="4198" t="s">
        <v>474</v>
      </c>
    </row>
    <row r="5" spans="1:29" ht="15">
      <c r="A5" s="373"/>
      <c r="B5" s="374"/>
      <c r="C5" s="4217" t="s">
        <v>2100</v>
      </c>
      <c r="D5" s="4218"/>
      <c r="E5" s="4242" t="s">
        <v>2101</v>
      </c>
      <c r="F5" s="4243"/>
      <c r="G5" s="4217" t="s">
        <v>2102</v>
      </c>
      <c r="H5" s="4218"/>
      <c r="I5" s="4217" t="s">
        <v>2103</v>
      </c>
      <c r="J5" s="4218"/>
      <c r="K5" s="700"/>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700"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SUMIF(58:58,YEAR(E7)&amp;"-"&amp;MONTH(E7),59:59)</f>
        <v>0</v>
      </c>
      <c r="G7" s="381"/>
      <c r="H7" s="378">
        <f>SUMIF(58:58,YEAR(G7)&amp;"-"&amp;MONTH(G7),59:59)</f>
        <v>0</v>
      </c>
      <c r="I7" s="381"/>
      <c r="J7" s="378">
        <f>SUMIF(58:58,YEAR(I7)&amp;"-"&amp;MONTH(I7),59:59)</f>
        <v>0</v>
      </c>
      <c r="K7" s="701"/>
      <c r="L7" s="1655"/>
      <c r="M7" s="1656"/>
      <c r="N7" s="1656"/>
      <c r="O7" s="1656"/>
      <c r="P7" s="4225" t="s">
        <v>479</v>
      </c>
      <c r="Q7" s="4227"/>
      <c r="R7" s="1229" t="s">
        <v>10</v>
      </c>
      <c r="S7" s="1230">
        <f t="shared" ref="S7:S15" si="0">F7</f>
        <v>0</v>
      </c>
      <c r="T7" s="1229" t="s">
        <v>10</v>
      </c>
      <c r="U7" s="1230">
        <f t="shared" ref="U7:U15" si="1">H7</f>
        <v>0</v>
      </c>
      <c r="V7" s="1229" t="s">
        <v>10</v>
      </c>
      <c r="W7" s="1230">
        <f t="shared" ref="W7:W15"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702"/>
      <c r="F8" s="380">
        <f>SUMIF(61:61,E8,62:62)-SUMIF(61:61,C8,62:62)+100</f>
        <v>0</v>
      </c>
      <c r="G8" s="383"/>
      <c r="H8" s="378">
        <f>SUMIF(61:61,G8,62:62)-SUMIF(61:61,C8,62:62)+100</f>
        <v>0</v>
      </c>
      <c r="I8" s="702"/>
      <c r="J8" s="378">
        <f>SUMIF(61:61,I8,62:62)-SUMIF(61:61,C8,62:62)+100</f>
        <v>0</v>
      </c>
      <c r="K8" s="701"/>
      <c r="L8" s="1655"/>
      <c r="M8" s="1656"/>
      <c r="N8" s="1656"/>
      <c r="O8" s="1656"/>
      <c r="P8" s="4225" t="s">
        <v>482</v>
      </c>
      <c r="Q8" s="4226"/>
      <c r="R8" s="1229" t="s">
        <v>10</v>
      </c>
      <c r="S8" s="1230">
        <f t="shared" si="0"/>
        <v>0</v>
      </c>
      <c r="T8" s="1229" t="s">
        <v>10</v>
      </c>
      <c r="U8" s="1230">
        <f t="shared" si="1"/>
        <v>0</v>
      </c>
      <c r="V8" s="1229" t="s">
        <v>10</v>
      </c>
      <c r="W8" s="1230">
        <f t="shared" si="2"/>
        <v>0</v>
      </c>
      <c r="X8" s="1231"/>
      <c r="Y8" s="4225" t="s">
        <v>482</v>
      </c>
      <c r="Z8" s="4226"/>
      <c r="AA8" s="1232" t="e">
        <f t="shared" ref="AA8:AA46" si="3">D8/F8</f>
        <v>#DIV/0!</v>
      </c>
      <c r="AB8" s="1232" t="e">
        <f t="shared" ref="AB8:AB46" si="4">D8/H8</f>
        <v>#DIV/0!</v>
      </c>
      <c r="AC8" s="1232" t="e">
        <f t="shared" ref="AC8:AC46" si="5">D8/J8</f>
        <v>#DIV/0!</v>
      </c>
    </row>
    <row r="9" spans="1:29" s="981" customFormat="1" ht="15">
      <c r="A9" s="2105"/>
      <c r="B9" s="2112" t="s">
        <v>1947</v>
      </c>
      <c r="C9" s="703"/>
      <c r="D9" s="144">
        <v>100</v>
      </c>
      <c r="E9" s="704"/>
      <c r="F9" s="705">
        <f>SUMIF(63:63,E9,64:64)-SUMIF(63:63,C9,64:64)+100</f>
        <v>100</v>
      </c>
      <c r="G9" s="706"/>
      <c r="H9" s="144">
        <f>SUMIF(63:63,G9,64:64)-SUMIF(63:63,C9,64:64)+100</f>
        <v>100</v>
      </c>
      <c r="I9" s="706"/>
      <c r="J9" s="144">
        <f>SUMIF(63:63,I9,64:64)-SUMIF(63:63,C9,64:64)+100</f>
        <v>100</v>
      </c>
      <c r="K9" s="701"/>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2"/>
      <c r="F10" s="707">
        <f>SUMIF(65:65,E10,66:66)-SUMIF(65:65,C10,66:66)+100</f>
        <v>100</v>
      </c>
      <c r="G10" s="3311"/>
      <c r="H10" s="145">
        <f>SUMIF(65:65,G10,66:66)-SUMIF(65:65,C10,66:66)+100</f>
        <v>100</v>
      </c>
      <c r="I10" s="3311"/>
      <c r="J10" s="145">
        <f>SUMIF(65:65,I10,66:66)-SUMIF(65:65,C10,66:66)+100</f>
        <v>100</v>
      </c>
      <c r="K10" s="701"/>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7"/>
      <c r="B11" s="2111" t="s">
        <v>1949</v>
      </c>
      <c r="C11" s="391"/>
      <c r="D11" s="145">
        <v>100</v>
      </c>
      <c r="E11" s="392"/>
      <c r="F11" s="707" t="e">
        <f>LOOKUP(E11,68:68,69:69)-LOOKUP(C11,68:68,69:69)+100</f>
        <v>#N/A</v>
      </c>
      <c r="G11" s="391"/>
      <c r="H11" s="145" t="e">
        <f>LOOKUP(G11,68:68,69:69)-LOOKUP(C11,68:68,69:69)+100</f>
        <v>#N/A</v>
      </c>
      <c r="I11" s="391"/>
      <c r="J11" s="145" t="e">
        <f>LOOKUP(I11,68:68,69:69)-LOOKUP(C11,68:68,69:69)+100</f>
        <v>#N/A</v>
      </c>
      <c r="K11" s="708"/>
      <c r="L11" s="1660"/>
      <c r="M11" s="1654"/>
      <c r="N11" s="1654"/>
      <c r="O11" s="1661"/>
      <c r="P11" s="4195"/>
      <c r="Q11" s="929" t="str">
        <f t="shared" si="6"/>
        <v>容积率</v>
      </c>
      <c r="R11" s="1229" t="s">
        <v>8</v>
      </c>
      <c r="S11" s="1230" t="e">
        <f t="shared" si="0"/>
        <v>#N/A</v>
      </c>
      <c r="T11" s="1229" t="s">
        <v>8</v>
      </c>
      <c r="U11" s="1230" t="e">
        <f t="shared" si="1"/>
        <v>#N/A</v>
      </c>
      <c r="V11" s="1229" t="s">
        <v>8</v>
      </c>
      <c r="W11" s="1230" t="e">
        <f t="shared" si="2"/>
        <v>#N/A</v>
      </c>
      <c r="X11" s="1231"/>
      <c r="Y11" s="4076"/>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86"/>
      <c r="F12" s="707">
        <f>SUMIF(70:70,E12,71:71)-SUMIF(70:70,C12,71:71)+100</f>
        <v>100</v>
      </c>
      <c r="G12" s="386"/>
      <c r="H12" s="145">
        <f>SUMIF(70:70,G12,71:71)-SUMIF(70:70,C12,71:71)+100</f>
        <v>100</v>
      </c>
      <c r="I12" s="386"/>
      <c r="J12" s="145">
        <f>SUMIF(70:70,I12,71:71)-SUMIF(70:70,C12,71:71)+100</f>
        <v>100</v>
      </c>
      <c r="K12" s="709"/>
      <c r="L12" s="1655"/>
      <c r="M12" s="1656"/>
      <c r="N12" s="1656"/>
      <c r="O12" s="1657"/>
      <c r="P12" s="4195"/>
      <c r="Q12" s="929">
        <f t="shared" si="6"/>
        <v>111</v>
      </c>
      <c r="R12" s="1229" t="s">
        <v>8</v>
      </c>
      <c r="S12" s="1230">
        <f t="shared" si="0"/>
        <v>100</v>
      </c>
      <c r="T12" s="1229" t="s">
        <v>8</v>
      </c>
      <c r="U12" s="1230">
        <f t="shared" si="1"/>
        <v>100</v>
      </c>
      <c r="V12" s="1229" t="s">
        <v>8</v>
      </c>
      <c r="W12" s="1230">
        <f t="shared" si="2"/>
        <v>100</v>
      </c>
      <c r="X12" s="1231"/>
      <c r="Y12" s="4076"/>
      <c r="Z12" s="928">
        <f t="shared" si="7"/>
        <v>111</v>
      </c>
      <c r="AA12" s="1232">
        <f>D12/F12</f>
        <v>1</v>
      </c>
      <c r="AB12" s="1232">
        <f>D12/H12</f>
        <v>1</v>
      </c>
      <c r="AC12" s="1232">
        <f>D12/J12</f>
        <v>1</v>
      </c>
    </row>
    <row r="13" spans="1:29" ht="15">
      <c r="A13" s="2108"/>
      <c r="B13" s="2114">
        <v>111</v>
      </c>
      <c r="C13" s="397"/>
      <c r="D13" s="398">
        <v>100</v>
      </c>
      <c r="E13" s="397"/>
      <c r="F13" s="707">
        <f>SUMIF(72:72,E13,73:73)-SUMIF(72:72,C13,73:73)+100</f>
        <v>100</v>
      </c>
      <c r="G13" s="397"/>
      <c r="H13" s="398">
        <f>SUMIF(72:72,G13,73:73)-SUMIF(72:72,C13,73:73)+100</f>
        <v>100</v>
      </c>
      <c r="I13" s="397"/>
      <c r="J13" s="398">
        <f>SUMIF(72:72,I13,73:73)-SUMIF(72:72,C13,73:73)+100</f>
        <v>100</v>
      </c>
      <c r="K13" s="709"/>
      <c r="L13" s="1662"/>
      <c r="M13" s="1654"/>
      <c r="N13" s="1654"/>
      <c r="O13" s="1661"/>
      <c r="P13" s="4195"/>
      <c r="Q13" s="929">
        <f t="shared" si="6"/>
        <v>111</v>
      </c>
      <c r="R13" s="1229" t="s">
        <v>8</v>
      </c>
      <c r="S13" s="1230">
        <f t="shared" si="0"/>
        <v>100</v>
      </c>
      <c r="T13" s="1229" t="s">
        <v>8</v>
      </c>
      <c r="U13" s="1230">
        <f t="shared" si="1"/>
        <v>100</v>
      </c>
      <c r="V13" s="1229" t="s">
        <v>8</v>
      </c>
      <c r="W13" s="1230">
        <f t="shared" si="2"/>
        <v>100</v>
      </c>
      <c r="X13" s="1231"/>
      <c r="Y13" s="4076"/>
      <c r="Z13" s="928">
        <f t="shared" si="7"/>
        <v>111</v>
      </c>
      <c r="AA13" s="1232">
        <f t="shared" si="3"/>
        <v>1</v>
      </c>
      <c r="AB13" s="1232">
        <f t="shared" si="4"/>
        <v>1</v>
      </c>
      <c r="AC13" s="1232">
        <f t="shared" si="5"/>
        <v>1</v>
      </c>
    </row>
    <row r="14" spans="1:29" ht="15.75" thickBot="1">
      <c r="A14" s="2109"/>
      <c r="B14" s="2115">
        <v>111</v>
      </c>
      <c r="C14" s="403"/>
      <c r="D14" s="404">
        <v>100</v>
      </c>
      <c r="E14" s="403"/>
      <c r="F14" s="710">
        <f>SUMIF(74:74,E14,75:75)-SUMIF(74:74,C14,75:75)+100</f>
        <v>100</v>
      </c>
      <c r="G14" s="403"/>
      <c r="H14" s="404">
        <f>SUMIF(74:74,G14,75:75)-SUMIF(74:74,C14,75:75)+100</f>
        <v>100</v>
      </c>
      <c r="I14" s="403"/>
      <c r="J14" s="404">
        <f>SUMIF(74:74,I14,75:75)-SUMIF(74:74,C14,75:75)+100</f>
        <v>100</v>
      </c>
      <c r="K14" s="709"/>
      <c r="L14" s="1662"/>
      <c r="M14" s="1654"/>
      <c r="N14" s="1654"/>
      <c r="O14" s="1661"/>
      <c r="P14" s="4195"/>
      <c r="Q14" s="929">
        <f t="shared" si="6"/>
        <v>111</v>
      </c>
      <c r="R14" s="1229" t="s">
        <v>8</v>
      </c>
      <c r="S14" s="1230">
        <f t="shared" si="0"/>
        <v>100</v>
      </c>
      <c r="T14" s="1229" t="s">
        <v>8</v>
      </c>
      <c r="U14" s="1230">
        <f t="shared" si="1"/>
        <v>100</v>
      </c>
      <c r="V14" s="1229" t="s">
        <v>8</v>
      </c>
      <c r="W14" s="1230">
        <f t="shared" si="2"/>
        <v>100</v>
      </c>
      <c r="X14" s="1231"/>
      <c r="Y14" s="4076"/>
      <c r="Z14" s="928">
        <f t="shared" si="7"/>
        <v>111</v>
      </c>
      <c r="AA14" s="1232">
        <f t="shared" si="3"/>
        <v>1</v>
      </c>
      <c r="AB14" s="1232">
        <f t="shared" si="4"/>
        <v>1</v>
      </c>
      <c r="AC14" s="1232">
        <f t="shared" si="5"/>
        <v>1</v>
      </c>
    </row>
    <row r="15" spans="1:29" ht="99.75">
      <c r="A15" s="2101" t="s">
        <v>1945</v>
      </c>
      <c r="B15" s="138" t="s">
        <v>261</v>
      </c>
      <c r="C15" s="711"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2"/>
      <c r="L15" s="1662"/>
      <c r="M15" s="1654"/>
      <c r="N15" s="1654"/>
      <c r="O15" s="1661"/>
      <c r="P15" s="4228" t="s">
        <v>489</v>
      </c>
      <c r="Q15" s="1233" t="str">
        <f t="shared" si="6"/>
        <v>居住社区成熟度</v>
      </c>
      <c r="R15" s="1234" t="s">
        <v>8</v>
      </c>
      <c r="S15" s="1235">
        <f t="shared" si="0"/>
        <v>100</v>
      </c>
      <c r="T15" s="1234" t="s">
        <v>8</v>
      </c>
      <c r="U15" s="1235">
        <f t="shared" si="1"/>
        <v>100</v>
      </c>
      <c r="V15" s="1234" t="s">
        <v>8</v>
      </c>
      <c r="W15" s="1235">
        <f t="shared" si="2"/>
        <v>100</v>
      </c>
      <c r="X15" s="1228"/>
      <c r="Y15" s="4228" t="s">
        <v>489</v>
      </c>
      <c r="Z15" s="1236" t="str">
        <f t="shared" si="7"/>
        <v>居住社区成熟度</v>
      </c>
      <c r="AA15" s="1237">
        <f t="shared" si="3"/>
        <v>1</v>
      </c>
      <c r="AB15" s="1237">
        <f t="shared" si="4"/>
        <v>1</v>
      </c>
      <c r="AC15" s="1237">
        <f t="shared" si="5"/>
        <v>1</v>
      </c>
    </row>
    <row r="16" spans="1:29" ht="15">
      <c r="A16" s="390"/>
      <c r="B16" s="713"/>
      <c r="C16" s="434"/>
      <c r="D16" s="413"/>
      <c r="E16" s="414"/>
      <c r="F16" s="415"/>
      <c r="G16" s="416"/>
      <c r="H16" s="417"/>
      <c r="I16" s="414"/>
      <c r="J16" s="413"/>
      <c r="K16" s="714"/>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2"/>
      <c r="L17" s="1662"/>
      <c r="M17" s="1654"/>
      <c r="N17" s="1654"/>
      <c r="O17" s="1661"/>
      <c r="P17" s="4229"/>
      <c r="Q17" s="1233" t="str">
        <f>B17</f>
        <v>交通便捷度</v>
      </c>
      <c r="R17" s="1234" t="s">
        <v>8</v>
      </c>
      <c r="S17" s="1235">
        <f>F17</f>
        <v>100</v>
      </c>
      <c r="T17" s="1234" t="s">
        <v>8</v>
      </c>
      <c r="U17" s="1235">
        <f>H17</f>
        <v>100</v>
      </c>
      <c r="V17" s="1234" t="s">
        <v>8</v>
      </c>
      <c r="W17" s="1235">
        <f>J17</f>
        <v>100</v>
      </c>
      <c r="X17" s="1228"/>
      <c r="Y17" s="4229"/>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14"/>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2"/>
      <c r="L19" s="1662"/>
      <c r="M19" s="1654"/>
      <c r="N19" s="1654"/>
      <c r="O19" s="1661"/>
      <c r="P19" s="4229"/>
      <c r="Q19" s="1233" t="str">
        <f>B19</f>
        <v>公共配套设施</v>
      </c>
      <c r="R19" s="1234" t="s">
        <v>8</v>
      </c>
      <c r="S19" s="1235">
        <f>F19</f>
        <v>100</v>
      </c>
      <c r="T19" s="1234" t="s">
        <v>8</v>
      </c>
      <c r="U19" s="1235">
        <f>H19</f>
        <v>100</v>
      </c>
      <c r="V19" s="1234" t="s">
        <v>8</v>
      </c>
      <c r="W19" s="1235">
        <f>J19</f>
        <v>100</v>
      </c>
      <c r="X19" s="1228"/>
      <c r="Y19" s="4229"/>
      <c r="Z19" s="1236" t="str">
        <f>Q19</f>
        <v>公共配套设施</v>
      </c>
      <c r="AA19" s="1237">
        <f t="shared" si="3"/>
        <v>1</v>
      </c>
      <c r="AB19" s="1237">
        <f t="shared" si="4"/>
        <v>1</v>
      </c>
      <c r="AC19" s="1237">
        <f t="shared" si="5"/>
        <v>1</v>
      </c>
    </row>
    <row r="20" spans="1:29" ht="15">
      <c r="A20" s="390"/>
      <c r="B20" s="453"/>
      <c r="C20" s="434"/>
      <c r="D20" s="413"/>
      <c r="E20" s="414"/>
      <c r="F20" s="415"/>
      <c r="G20" s="416"/>
      <c r="H20" s="413"/>
      <c r="I20" s="414"/>
      <c r="J20" s="413"/>
      <c r="K20" s="714"/>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2"/>
      <c r="L21" s="1662"/>
      <c r="M21" s="1654"/>
      <c r="N21" s="1654"/>
      <c r="O21" s="1661"/>
      <c r="P21" s="4229"/>
      <c r="Q21" s="1958" t="str">
        <f>B21</f>
        <v>基础设施水平</v>
      </c>
      <c r="R21" s="1234" t="s">
        <v>8</v>
      </c>
      <c r="S21" s="1235">
        <f>F21</f>
        <v>100</v>
      </c>
      <c r="T21" s="1234" t="s">
        <v>8</v>
      </c>
      <c r="U21" s="1235">
        <f>H21</f>
        <v>100</v>
      </c>
      <c r="V21" s="1234" t="s">
        <v>8</v>
      </c>
      <c r="W21" s="1235">
        <f>J21</f>
        <v>100</v>
      </c>
      <c r="X21" s="1960"/>
      <c r="Y21" s="4229"/>
      <c r="Z21" s="1959" t="str">
        <f>Q21</f>
        <v>基础设施水平</v>
      </c>
      <c r="AA21" s="1237">
        <f>D21/F21</f>
        <v>1</v>
      </c>
      <c r="AB21" s="1237">
        <f>D21/H21</f>
        <v>1</v>
      </c>
      <c r="AC21" s="1237">
        <f>D21/J21</f>
        <v>1</v>
      </c>
    </row>
    <row r="22" spans="1:29" ht="15">
      <c r="A22" s="390"/>
      <c r="B22" s="766"/>
      <c r="C22" s="717"/>
      <c r="D22" s="413"/>
      <c r="E22" s="434"/>
      <c r="F22" s="415"/>
      <c r="G22" s="434"/>
      <c r="H22" s="413"/>
      <c r="I22" s="434"/>
      <c r="J22" s="413"/>
      <c r="K22" s="1972"/>
      <c r="L22" s="1662"/>
      <c r="M22" s="1654"/>
      <c r="N22" s="1654"/>
      <c r="O22" s="1661"/>
      <c r="P22" s="4229"/>
      <c r="Q22" s="1958"/>
      <c r="R22" s="1234"/>
      <c r="S22" s="1235"/>
      <c r="T22" s="1234"/>
      <c r="U22" s="1235"/>
      <c r="V22" s="1234"/>
      <c r="W22" s="1235"/>
      <c r="X22" s="1960"/>
      <c r="Y22" s="4229"/>
      <c r="Z22" s="1959"/>
      <c r="AA22" s="1237">
        <v>1</v>
      </c>
      <c r="AB22" s="1237">
        <v>1</v>
      </c>
      <c r="AC22" s="1237">
        <v>1</v>
      </c>
    </row>
    <row r="23" spans="1:29" ht="57">
      <c r="A23" s="390"/>
      <c r="B23" s="715" t="s">
        <v>263</v>
      </c>
      <c r="C23" s="716"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2"/>
      <c r="L23" s="1662"/>
      <c r="M23" s="1654"/>
      <c r="N23" s="1654"/>
      <c r="O23" s="1661"/>
      <c r="P23" s="4229"/>
      <c r="Q23" s="1233" t="str">
        <f>B23</f>
        <v>自然及人文环境</v>
      </c>
      <c r="R23" s="1234" t="s">
        <v>8</v>
      </c>
      <c r="S23" s="1235">
        <f>F23</f>
        <v>100</v>
      </c>
      <c r="T23" s="1234" t="s">
        <v>8</v>
      </c>
      <c r="U23" s="1235">
        <f>H23</f>
        <v>100</v>
      </c>
      <c r="V23" s="1234" t="s">
        <v>8</v>
      </c>
      <c r="W23" s="1235">
        <f>J23</f>
        <v>100</v>
      </c>
      <c r="X23" s="1228"/>
      <c r="Y23" s="4229"/>
      <c r="Z23" s="1236" t="str">
        <f>Q23</f>
        <v>自然及人文环境</v>
      </c>
      <c r="AA23" s="1237">
        <f t="shared" si="3"/>
        <v>1</v>
      </c>
      <c r="AB23" s="1237">
        <f t="shared" si="4"/>
        <v>1</v>
      </c>
      <c r="AC23" s="1237">
        <f t="shared" si="5"/>
        <v>1</v>
      </c>
    </row>
    <row r="24" spans="1:29" ht="15">
      <c r="A24" s="390"/>
      <c r="B24" s="453"/>
      <c r="C24" s="434"/>
      <c r="D24" s="413"/>
      <c r="E24" s="414"/>
      <c r="F24" s="415"/>
      <c r="G24" s="416"/>
      <c r="H24" s="413"/>
      <c r="I24" s="414"/>
      <c r="J24" s="413"/>
      <c r="K24" s="714"/>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90"/>
      <c r="B25" s="1479" t="s">
        <v>1534</v>
      </c>
      <c r="C25" s="432"/>
      <c r="D25" s="398">
        <v>100</v>
      </c>
      <c r="E25" s="718"/>
      <c r="F25" s="433">
        <f>SUMIF(86:86,E25,87:87)-SUMIF(86:86,C25,87:87)+100</f>
        <v>100</v>
      </c>
      <c r="G25" s="457"/>
      <c r="H25" s="398">
        <f>SUMIF(86:86,G25,87:87)-SUMIF(86:86,C25,87:87)+100</f>
        <v>100</v>
      </c>
      <c r="I25" s="718"/>
      <c r="J25" s="398">
        <f>SUMIF(86:86,I25,87:87)-SUMIF(86:86,C25,87:87)+100</f>
        <v>100</v>
      </c>
      <c r="K25" s="708"/>
      <c r="L25" s="1662"/>
      <c r="M25" s="1654"/>
      <c r="N25" s="1654"/>
      <c r="O25" s="1661"/>
      <c r="P25" s="4229"/>
      <c r="Q25" s="1233" t="str">
        <f t="shared" ref="Q25:Q46" si="8">B25</f>
        <v>楼层-1</v>
      </c>
      <c r="R25" s="1234" t="s">
        <v>8</v>
      </c>
      <c r="S25" s="1235">
        <f>F25</f>
        <v>100</v>
      </c>
      <c r="T25" s="1234" t="s">
        <v>8</v>
      </c>
      <c r="U25" s="1235">
        <f>H25</f>
        <v>100</v>
      </c>
      <c r="V25" s="1234" t="s">
        <v>8</v>
      </c>
      <c r="W25" s="1235">
        <f>J25</f>
        <v>100</v>
      </c>
      <c r="X25" s="1228"/>
      <c r="Y25" s="4229"/>
      <c r="Z25" s="1236" t="str">
        <f>Q25</f>
        <v>楼层-1</v>
      </c>
      <c r="AA25" s="1237">
        <f t="shared" si="3"/>
        <v>1</v>
      </c>
      <c r="AB25" s="1237">
        <f t="shared" si="4"/>
        <v>1</v>
      </c>
      <c r="AC25" s="1237">
        <f t="shared" si="5"/>
        <v>1</v>
      </c>
    </row>
    <row r="26" spans="1:29" ht="15">
      <c r="A26" s="390"/>
      <c r="B26" s="385" t="s">
        <v>670</v>
      </c>
      <c r="C26" s="432"/>
      <c r="D26" s="398">
        <v>100</v>
      </c>
      <c r="E26" s="718"/>
      <c r="F26" s="433">
        <f>SUMIF(88:88,E26,89:89)-SUMIF(88:88,C26,89:89)+100</f>
        <v>100</v>
      </c>
      <c r="G26" s="457"/>
      <c r="H26" s="398">
        <f>SUMIF(88:88,G26,89:89)-SUMIF(88:88,C26,89:89)+100</f>
        <v>100</v>
      </c>
      <c r="I26" s="718"/>
      <c r="J26" s="398">
        <f>SUMIF(88:88,I26,89:89)-SUMIF(88:88,C26,89:89)+100</f>
        <v>100</v>
      </c>
      <c r="K26" s="708"/>
      <c r="L26" s="1662"/>
      <c r="M26" s="1654"/>
      <c r="N26" s="1654"/>
      <c r="O26" s="1661"/>
      <c r="P26" s="4229"/>
      <c r="Q26" s="1233" t="str">
        <f t="shared" si="8"/>
        <v>朝向</v>
      </c>
      <c r="R26" s="1234" t="s">
        <v>8</v>
      </c>
      <c r="S26" s="1235">
        <f>F26</f>
        <v>100</v>
      </c>
      <c r="T26" s="1234" t="s">
        <v>8</v>
      </c>
      <c r="U26" s="1235">
        <f>H26</f>
        <v>100</v>
      </c>
      <c r="V26" s="1234" t="s">
        <v>8</v>
      </c>
      <c r="W26" s="1235">
        <f>J26</f>
        <v>100</v>
      </c>
      <c r="X26" s="1228"/>
      <c r="Y26" s="4229"/>
      <c r="Z26" s="1236" t="str">
        <f>Q26</f>
        <v>朝向</v>
      </c>
      <c r="AA26" s="1237">
        <f t="shared" si="3"/>
        <v>1</v>
      </c>
      <c r="AB26" s="1237">
        <f t="shared" si="4"/>
        <v>1</v>
      </c>
      <c r="AC26" s="1237">
        <f t="shared" si="5"/>
        <v>1</v>
      </c>
    </row>
    <row r="27" spans="1:29" s="981" customFormat="1" ht="15">
      <c r="A27" s="394"/>
      <c r="B27" s="395" t="s">
        <v>671</v>
      </c>
      <c r="C27" s="386"/>
      <c r="D27" s="719">
        <v>100</v>
      </c>
      <c r="E27" s="388"/>
      <c r="F27" s="720">
        <f>SUMIF(90:90,E27,91:91)-SUMIF(90:90,C27,91:91)+100</f>
        <v>100</v>
      </c>
      <c r="G27" s="387"/>
      <c r="H27" s="719">
        <f>SUMIF(90:90,G27,91:91)-SUMIF(90:90,C27,91:91)+100</f>
        <v>100</v>
      </c>
      <c r="I27" s="388"/>
      <c r="J27" s="719">
        <f>SUMIF(90:90,I27,91:91)-SUMIF(90:90,C27,91:91)+100</f>
        <v>100</v>
      </c>
      <c r="K27" s="709"/>
      <c r="L27" s="1655"/>
      <c r="M27" s="1656"/>
      <c r="N27" s="1656"/>
      <c r="O27" s="1657"/>
      <c r="P27" s="4229"/>
      <c r="Q27" s="929" t="str">
        <f t="shared" si="8"/>
        <v>道路级别</v>
      </c>
      <c r="R27" s="1229" t="s">
        <v>8</v>
      </c>
      <c r="S27" s="1230">
        <f>F27</f>
        <v>100</v>
      </c>
      <c r="T27" s="1229" t="s">
        <v>8</v>
      </c>
      <c r="U27" s="1230">
        <f>H27</f>
        <v>100</v>
      </c>
      <c r="V27" s="1229" t="s">
        <v>8</v>
      </c>
      <c r="W27" s="1230">
        <f>J27</f>
        <v>100</v>
      </c>
      <c r="X27" s="1231"/>
      <c r="Y27" s="4229"/>
      <c r="Z27" s="928" t="str">
        <f>Q27</f>
        <v>道路级别</v>
      </c>
      <c r="AA27" s="1237">
        <f>D27/F27</f>
        <v>1</v>
      </c>
      <c r="AB27" s="1237">
        <f>D27/H27</f>
        <v>1</v>
      </c>
      <c r="AC27" s="1237">
        <f>D27/J27</f>
        <v>1</v>
      </c>
    </row>
    <row r="28" spans="1:29" ht="15">
      <c r="A28" s="390"/>
      <c r="B28" s="721">
        <v>111</v>
      </c>
      <c r="C28" s="397"/>
      <c r="D28" s="398">
        <v>100</v>
      </c>
      <c r="E28" s="397"/>
      <c r="F28" s="433">
        <f>SUMIF(92:92,E28,93:93)-SUMIF(92:92,C28,93:93)+100</f>
        <v>100</v>
      </c>
      <c r="G28" s="397"/>
      <c r="H28" s="398">
        <f>SUMIF(92:92,G28,93:93)-SUMIF(92:92,C28,93:93)+100</f>
        <v>100</v>
      </c>
      <c r="I28" s="397"/>
      <c r="J28" s="398">
        <f>SUMIF(92:92,I28,93:93)-SUMIF(92:92,C28,93:93)+100</f>
        <v>100</v>
      </c>
      <c r="K28" s="709"/>
      <c r="L28" s="1662"/>
      <c r="M28" s="1654"/>
      <c r="N28" s="1654"/>
      <c r="O28" s="1661"/>
      <c r="P28" s="4229"/>
      <c r="Q28" s="1233">
        <f t="shared" si="8"/>
        <v>111</v>
      </c>
      <c r="R28" s="1234" t="s">
        <v>8</v>
      </c>
      <c r="S28" s="1235">
        <f t="shared" ref="S28:S46" si="9">F28</f>
        <v>100</v>
      </c>
      <c r="T28" s="1234" t="s">
        <v>8</v>
      </c>
      <c r="U28" s="1235">
        <f t="shared" ref="U28:U46" si="10">H28</f>
        <v>100</v>
      </c>
      <c r="V28" s="1234" t="s">
        <v>8</v>
      </c>
      <c r="W28" s="1235">
        <f t="shared" ref="W28:W46" si="11">J28</f>
        <v>100</v>
      </c>
      <c r="X28" s="1228"/>
      <c r="Y28" s="4229"/>
      <c r="Z28" s="1236">
        <f t="shared" ref="Z28:Z46" si="12">Q28</f>
        <v>111</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709"/>
      <c r="L29" s="1662"/>
      <c r="M29" s="1654"/>
      <c r="N29" s="1654"/>
      <c r="O29" s="1661"/>
      <c r="P29" s="4229"/>
      <c r="Q29" s="1233">
        <f t="shared" si="8"/>
        <v>111</v>
      </c>
      <c r="R29" s="1234" t="s">
        <v>8</v>
      </c>
      <c r="S29" s="1235">
        <f t="shared" si="9"/>
        <v>100</v>
      </c>
      <c r="T29" s="1234" t="s">
        <v>8</v>
      </c>
      <c r="U29" s="1235">
        <f t="shared" si="10"/>
        <v>100</v>
      </c>
      <c r="V29" s="1234" t="s">
        <v>8</v>
      </c>
      <c r="W29" s="1235">
        <f t="shared" si="11"/>
        <v>100</v>
      </c>
      <c r="X29" s="1228"/>
      <c r="Y29" s="4229"/>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709"/>
      <c r="L30" s="1662"/>
      <c r="M30" s="1654"/>
      <c r="N30" s="1654"/>
      <c r="O30" s="1661"/>
      <c r="P30" s="4229"/>
      <c r="Q30" s="1233">
        <f t="shared" si="8"/>
        <v>111</v>
      </c>
      <c r="R30" s="1234" t="s">
        <v>8</v>
      </c>
      <c r="S30" s="1235">
        <f t="shared" si="9"/>
        <v>100</v>
      </c>
      <c r="T30" s="1234" t="s">
        <v>8</v>
      </c>
      <c r="U30" s="1235">
        <f t="shared" si="10"/>
        <v>100</v>
      </c>
      <c r="V30" s="1234" t="s">
        <v>8</v>
      </c>
      <c r="W30" s="1235">
        <f t="shared" si="11"/>
        <v>100</v>
      </c>
      <c r="X30" s="1228"/>
      <c r="Y30" s="4229"/>
      <c r="Z30" s="1236">
        <f t="shared" si="12"/>
        <v>111</v>
      </c>
      <c r="AA30" s="1237">
        <f t="shared" si="3"/>
        <v>1</v>
      </c>
      <c r="AB30" s="1237">
        <f t="shared" si="4"/>
        <v>1</v>
      </c>
      <c r="AC30" s="1237">
        <f t="shared" si="5"/>
        <v>1</v>
      </c>
    </row>
    <row r="31" spans="1:29" ht="15.75" thickBot="1">
      <c r="A31" s="401"/>
      <c r="B31" s="721">
        <v>111</v>
      </c>
      <c r="C31" s="403"/>
      <c r="D31" s="404">
        <v>100</v>
      </c>
      <c r="E31" s="403"/>
      <c r="F31" s="710">
        <f>SUMIF(98:98,E31,99:99)-SUMIF(98:98,C31,99:99)+100</f>
        <v>100</v>
      </c>
      <c r="G31" s="403"/>
      <c r="H31" s="404">
        <f>SUMIF(98:98,G31,99:99)-SUMIF(98:98,C31,99:99)+100</f>
        <v>100</v>
      </c>
      <c r="I31" s="403"/>
      <c r="J31" s="404">
        <f>SUMIF(98:98,I31,99:99)-SUMIF(98:98,C31,99:99)+100</f>
        <v>100</v>
      </c>
      <c r="K31" s="709"/>
      <c r="L31" s="1662"/>
      <c r="M31" s="1654"/>
      <c r="N31" s="1654"/>
      <c r="O31" s="1661"/>
      <c r="P31" s="4229"/>
      <c r="Q31" s="1233">
        <f t="shared" si="8"/>
        <v>111</v>
      </c>
      <c r="R31" s="1234" t="s">
        <v>8</v>
      </c>
      <c r="S31" s="1235">
        <f t="shared" si="9"/>
        <v>100</v>
      </c>
      <c r="T31" s="1234" t="s">
        <v>8</v>
      </c>
      <c r="U31" s="1235">
        <f t="shared" si="10"/>
        <v>100</v>
      </c>
      <c r="V31" s="1234" t="s">
        <v>8</v>
      </c>
      <c r="W31" s="1235">
        <f t="shared" si="11"/>
        <v>100</v>
      </c>
      <c r="X31" s="1228"/>
      <c r="Y31" s="4229"/>
      <c r="Z31" s="1236">
        <f t="shared" si="12"/>
        <v>111</v>
      </c>
      <c r="AA31" s="1237">
        <f t="shared" si="3"/>
        <v>1</v>
      </c>
      <c r="AB31" s="1237">
        <f t="shared" si="4"/>
        <v>1</v>
      </c>
      <c r="AC31" s="1237">
        <f t="shared" si="5"/>
        <v>1</v>
      </c>
    </row>
    <row r="32" spans="1:29" ht="15">
      <c r="A32" s="2098" t="s">
        <v>1946</v>
      </c>
      <c r="B32" s="140" t="s">
        <v>672</v>
      </c>
      <c r="C32" s="722"/>
      <c r="D32" s="455">
        <v>100</v>
      </c>
      <c r="E32" s="723"/>
      <c r="F32" s="433">
        <f>SUMIF(100:100,E32,101:101)-SUMIF(100:100,C32,101:101)+100</f>
        <v>100</v>
      </c>
      <c r="G32" s="722"/>
      <c r="H32" s="455">
        <f>SUMIF(100:100,G32,101:101)-SUMIF(100:100,C32,101:101)+100</f>
        <v>100</v>
      </c>
      <c r="I32" s="723"/>
      <c r="J32" s="398">
        <f>SUMIF(100:100,I32,101:101)-SUMIF(100:100,C32,101:101)+100</f>
        <v>100</v>
      </c>
      <c r="K32" s="708"/>
      <c r="L32" s="1662"/>
      <c r="M32" s="1654"/>
      <c r="N32" s="1654"/>
      <c r="O32" s="1661"/>
      <c r="P32" s="4230" t="s">
        <v>499</v>
      </c>
      <c r="Q32" s="1233" t="str">
        <f t="shared" si="8"/>
        <v>建筑类型</v>
      </c>
      <c r="R32" s="1234" t="s">
        <v>8</v>
      </c>
      <c r="S32" s="1235">
        <f t="shared" si="9"/>
        <v>100</v>
      </c>
      <c r="T32" s="1234" t="s">
        <v>8</v>
      </c>
      <c r="U32" s="1235">
        <f t="shared" si="10"/>
        <v>100</v>
      </c>
      <c r="V32" s="1234" t="s">
        <v>8</v>
      </c>
      <c r="W32" s="1235">
        <f t="shared" si="11"/>
        <v>100</v>
      </c>
      <c r="X32" s="1228"/>
      <c r="Y32" s="4231" t="s">
        <v>499</v>
      </c>
      <c r="Z32" s="1236" t="str">
        <f t="shared" si="12"/>
        <v>建筑类型</v>
      </c>
      <c r="AA32" s="1237">
        <f t="shared" si="3"/>
        <v>1</v>
      </c>
      <c r="AB32" s="1237">
        <f t="shared" si="4"/>
        <v>1</v>
      </c>
      <c r="AC32" s="1237">
        <f t="shared" si="5"/>
        <v>1</v>
      </c>
    </row>
    <row r="33" spans="1:29" s="1063" customFormat="1" ht="15">
      <c r="A33" s="461"/>
      <c r="B33" s="385" t="s">
        <v>673</v>
      </c>
      <c r="C33" s="724"/>
      <c r="D33" s="145">
        <v>100</v>
      </c>
      <c r="E33" s="392"/>
      <c r="F33" s="707" t="e">
        <f>LOOKUP(E33,103:103,104:104)-LOOKUP(C33,103:103,104:104)+100</f>
        <v>#N/A</v>
      </c>
      <c r="G33" s="391"/>
      <c r="H33" s="145" t="e">
        <f>LOOKUP(G33,103:103,104:104)-LOOKUP(C33,103:103,104:104)+100</f>
        <v>#N/A</v>
      </c>
      <c r="I33" s="392"/>
      <c r="J33" s="145" t="e">
        <f>LOOKUP(I33,103:103,104:104)-LOOKUP(C33,103:103,104:104)+100</f>
        <v>#N/A</v>
      </c>
      <c r="K33" s="709"/>
      <c r="L33" s="1660"/>
      <c r="M33" s="1690"/>
      <c r="N33" s="1690"/>
      <c r="O33" s="1663"/>
      <c r="P33" s="4231"/>
      <c r="Q33" s="1260" t="str">
        <f t="shared" si="8"/>
        <v>项目建筑规模</v>
      </c>
      <c r="R33" s="1238" t="s">
        <v>8</v>
      </c>
      <c r="S33" s="1239" t="e">
        <f t="shared" si="9"/>
        <v>#N/A</v>
      </c>
      <c r="T33" s="1238" t="s">
        <v>8</v>
      </c>
      <c r="U33" s="1239" t="e">
        <f t="shared" si="10"/>
        <v>#N/A</v>
      </c>
      <c r="V33" s="1238" t="s">
        <v>8</v>
      </c>
      <c r="W33" s="1239" t="e">
        <f t="shared" si="11"/>
        <v>#N/A</v>
      </c>
      <c r="X33" s="1240"/>
      <c r="Y33" s="4231"/>
      <c r="Z33" s="1241" t="str">
        <f t="shared" si="12"/>
        <v>项目建筑规模</v>
      </c>
      <c r="AA33" s="1237" t="e">
        <f t="shared" si="3"/>
        <v>#N/A</v>
      </c>
      <c r="AB33" s="1237" t="e">
        <f t="shared" si="4"/>
        <v>#N/A</v>
      </c>
      <c r="AC33" s="1237" t="e">
        <f t="shared" si="5"/>
        <v>#N/A</v>
      </c>
    </row>
    <row r="34" spans="1:29" ht="15">
      <c r="A34" s="452"/>
      <c r="B34" s="385" t="s">
        <v>674</v>
      </c>
      <c r="C34" s="725"/>
      <c r="D34" s="398">
        <v>100</v>
      </c>
      <c r="E34" s="726"/>
      <c r="F34" s="433">
        <f>SUMIF(105:105,E34,106:106)-SUMIF(105:105,C34,106:106)+100</f>
        <v>100</v>
      </c>
      <c r="G34" s="725"/>
      <c r="H34" s="398">
        <f>SUMIF(105:105,G34,106:106)-SUMIF(105:105,C34,106:106)+100</f>
        <v>100</v>
      </c>
      <c r="I34" s="726"/>
      <c r="J34" s="398">
        <f>SUMIF(105:105,I34,106:106)-SUMIF(105:105,C34,106:106)+100</f>
        <v>100</v>
      </c>
      <c r="K34" s="708"/>
      <c r="L34" s="1662"/>
      <c r="M34" s="1654"/>
      <c r="N34" s="1654"/>
      <c r="O34" s="1661"/>
      <c r="P34" s="4231"/>
      <c r="Q34" s="1233" t="str">
        <f t="shared" si="8"/>
        <v>建筑结构</v>
      </c>
      <c r="R34" s="1234" t="s">
        <v>8</v>
      </c>
      <c r="S34" s="1235">
        <f t="shared" si="9"/>
        <v>100</v>
      </c>
      <c r="T34" s="1234" t="s">
        <v>8</v>
      </c>
      <c r="U34" s="1235">
        <f t="shared" si="10"/>
        <v>100</v>
      </c>
      <c r="V34" s="1234" t="s">
        <v>8</v>
      </c>
      <c r="W34" s="1235">
        <f t="shared" si="11"/>
        <v>100</v>
      </c>
      <c r="X34" s="1228"/>
      <c r="Y34" s="4231"/>
      <c r="Z34" s="1236" t="str">
        <f t="shared" si="12"/>
        <v>建筑结构</v>
      </c>
      <c r="AA34" s="1237">
        <f t="shared" si="3"/>
        <v>1</v>
      </c>
      <c r="AB34" s="1237">
        <f t="shared" si="4"/>
        <v>1</v>
      </c>
      <c r="AC34" s="1237">
        <f t="shared" si="5"/>
        <v>1</v>
      </c>
    </row>
    <row r="35" spans="1:29" ht="15">
      <c r="A35" s="452"/>
      <c r="B35" s="385" t="s">
        <v>675</v>
      </c>
      <c r="C35" s="457"/>
      <c r="D35" s="398">
        <v>100</v>
      </c>
      <c r="E35" s="718"/>
      <c r="F35" s="433">
        <f>SUMIF(107:107,E35,108:108)-SUMIF(107:107,C35,108:108)+100</f>
        <v>100</v>
      </c>
      <c r="G35" s="457"/>
      <c r="H35" s="398">
        <f>SUMIF(107:107,G35,108:108)-SUMIF(107:107,C35,108:108)+100</f>
        <v>100</v>
      </c>
      <c r="I35" s="718"/>
      <c r="J35" s="398">
        <f>SUMIF(107:107,I35,108:108)-SUMIF(107:107,C35,108:108)+100</f>
        <v>100</v>
      </c>
      <c r="K35" s="708"/>
      <c r="L35" s="1662"/>
      <c r="M35" s="1654"/>
      <c r="N35" s="1654"/>
      <c r="O35" s="1661"/>
      <c r="P35" s="4231"/>
      <c r="Q35" s="1233" t="str">
        <f t="shared" si="8"/>
        <v>建筑品质</v>
      </c>
      <c r="R35" s="1234" t="s">
        <v>8</v>
      </c>
      <c r="S35" s="1235">
        <f t="shared" si="9"/>
        <v>100</v>
      </c>
      <c r="T35" s="1234" t="s">
        <v>8</v>
      </c>
      <c r="U35" s="1235">
        <f t="shared" si="10"/>
        <v>100</v>
      </c>
      <c r="V35" s="1234" t="s">
        <v>8</v>
      </c>
      <c r="W35" s="1235">
        <f t="shared" si="11"/>
        <v>100</v>
      </c>
      <c r="X35" s="1228"/>
      <c r="Y35" s="4231"/>
      <c r="Z35" s="1236" t="str">
        <f t="shared" si="12"/>
        <v>建筑品质</v>
      </c>
      <c r="AA35" s="1237">
        <f t="shared" si="3"/>
        <v>1</v>
      </c>
      <c r="AB35" s="1237">
        <f t="shared" si="4"/>
        <v>1</v>
      </c>
      <c r="AC35" s="1237">
        <f t="shared" si="5"/>
        <v>1</v>
      </c>
    </row>
    <row r="36" spans="1:29" ht="15">
      <c r="A36" s="452"/>
      <c r="B36" s="385" t="s">
        <v>676</v>
      </c>
      <c r="C36" s="457"/>
      <c r="D36" s="398">
        <v>100</v>
      </c>
      <c r="E36" s="718"/>
      <c r="F36" s="433">
        <f>SUMIF(109:109,E36,110:110)-SUMIF(109:109,C36,110:110)+100</f>
        <v>100</v>
      </c>
      <c r="G36" s="457"/>
      <c r="H36" s="398">
        <f>SUMIF(109:109,G36,110:110)-SUMIF(109:109,C36,110:110)+100</f>
        <v>100</v>
      </c>
      <c r="I36" s="718"/>
      <c r="J36" s="398">
        <f>SUMIF(109:109,I36,110:110)-SUMIF(109:109,C36,110:110)+100</f>
        <v>100</v>
      </c>
      <c r="K36" s="708"/>
      <c r="L36" s="1662"/>
      <c r="M36" s="1654"/>
      <c r="N36" s="1654"/>
      <c r="O36" s="1661"/>
      <c r="P36" s="4231"/>
      <c r="Q36" s="1233" t="str">
        <f t="shared" si="8"/>
        <v>公共部分装修</v>
      </c>
      <c r="R36" s="1234" t="s">
        <v>8</v>
      </c>
      <c r="S36" s="1235">
        <f t="shared" si="9"/>
        <v>100</v>
      </c>
      <c r="T36" s="1234" t="s">
        <v>8</v>
      </c>
      <c r="U36" s="1235">
        <f t="shared" si="10"/>
        <v>100</v>
      </c>
      <c r="V36" s="1234" t="s">
        <v>8</v>
      </c>
      <c r="W36" s="1235">
        <f t="shared" si="11"/>
        <v>100</v>
      </c>
      <c r="X36" s="1228"/>
      <c r="Y36" s="4231"/>
      <c r="Z36" s="1236" t="str">
        <f t="shared" si="12"/>
        <v>公共部分装修</v>
      </c>
      <c r="AA36" s="1237">
        <f t="shared" si="3"/>
        <v>1</v>
      </c>
      <c r="AB36" s="1237">
        <f t="shared" si="4"/>
        <v>1</v>
      </c>
      <c r="AC36" s="1237">
        <f t="shared" si="5"/>
        <v>1</v>
      </c>
    </row>
    <row r="37" spans="1:29" s="981" customFormat="1" ht="15">
      <c r="A37" s="458"/>
      <c r="B37" s="385" t="s">
        <v>677</v>
      </c>
      <c r="C37" s="727"/>
      <c r="D37" s="145">
        <v>100</v>
      </c>
      <c r="E37" s="728"/>
      <c r="F37" s="707" t="e">
        <f>LOOKUP(E37,112:112,113:113)-LOOKUP(C37,112:112,113:113)+100</f>
        <v>#N/A</v>
      </c>
      <c r="G37" s="729"/>
      <c r="H37" s="145" t="e">
        <f>LOOKUP(G37,112:112,113:113)-LOOKUP(C37,112:112,113:113)+100</f>
        <v>#N/A</v>
      </c>
      <c r="I37" s="728"/>
      <c r="J37" s="145" t="e">
        <f>LOOKUP(I37,112:112,113:113)-LOOKUP(C37,112:112,113:113)+100</f>
        <v>#N/A</v>
      </c>
      <c r="K37" s="708"/>
      <c r="L37" s="1655"/>
      <c r="M37" s="1656"/>
      <c r="N37" s="1656"/>
      <c r="O37" s="1657"/>
      <c r="P37" s="4231"/>
      <c r="Q37" s="929" t="str">
        <f t="shared" si="8"/>
        <v>成新度</v>
      </c>
      <c r="R37" s="1229" t="s">
        <v>8</v>
      </c>
      <c r="S37" s="1230" t="e">
        <f t="shared" si="9"/>
        <v>#N/A</v>
      </c>
      <c r="T37" s="1229" t="s">
        <v>8</v>
      </c>
      <c r="U37" s="1230" t="e">
        <f t="shared" si="10"/>
        <v>#N/A</v>
      </c>
      <c r="V37" s="1229" t="s">
        <v>8</v>
      </c>
      <c r="W37" s="1230" t="e">
        <f t="shared" si="11"/>
        <v>#N/A</v>
      </c>
      <c r="X37" s="1231"/>
      <c r="Y37" s="4231"/>
      <c r="Z37" s="928" t="str">
        <f t="shared" si="12"/>
        <v>成新度</v>
      </c>
      <c r="AA37" s="1232" t="e">
        <f t="shared" si="3"/>
        <v>#N/A</v>
      </c>
      <c r="AB37" s="1232" t="e">
        <f t="shared" si="4"/>
        <v>#N/A</v>
      </c>
      <c r="AC37" s="1232" t="e">
        <f t="shared" si="5"/>
        <v>#N/A</v>
      </c>
    </row>
    <row r="38" spans="1:29" ht="15">
      <c r="A38" s="452"/>
      <c r="B38" s="385" t="s">
        <v>678</v>
      </c>
      <c r="C38" s="457"/>
      <c r="D38" s="398">
        <v>100</v>
      </c>
      <c r="E38" s="718"/>
      <c r="F38" s="433">
        <f>SUMIF(114:114,E38,115:115)-SUMIF(114:114,C38,115:115)+100</f>
        <v>100</v>
      </c>
      <c r="G38" s="457"/>
      <c r="H38" s="398">
        <f>SUMIF(114:114,G38,115:115)-SUMIF(114:114,C38,115:115)+100</f>
        <v>100</v>
      </c>
      <c r="I38" s="718"/>
      <c r="J38" s="398">
        <f>SUMIF(114:114,I38,115:115)-SUMIF(114:114,C38,115:115)+100</f>
        <v>100</v>
      </c>
      <c r="K38" s="708"/>
      <c r="L38" s="1662"/>
      <c r="M38" s="1654"/>
      <c r="N38" s="1654"/>
      <c r="O38" s="1661"/>
      <c r="P38" s="4231" t="s">
        <v>499</v>
      </c>
      <c r="Q38" s="1233" t="str">
        <f t="shared" si="8"/>
        <v>物业管理</v>
      </c>
      <c r="R38" s="1234" t="s">
        <v>8</v>
      </c>
      <c r="S38" s="1235">
        <f t="shared" si="9"/>
        <v>100</v>
      </c>
      <c r="T38" s="1234" t="s">
        <v>8</v>
      </c>
      <c r="U38" s="1235">
        <f t="shared" si="10"/>
        <v>100</v>
      </c>
      <c r="V38" s="1234" t="s">
        <v>8</v>
      </c>
      <c r="W38" s="1235">
        <f t="shared" si="11"/>
        <v>100</v>
      </c>
      <c r="X38" s="1228"/>
      <c r="Y38" s="4231" t="s">
        <v>499</v>
      </c>
      <c r="Z38" s="1236" t="str">
        <f t="shared" si="12"/>
        <v>物业管理</v>
      </c>
      <c r="AA38" s="1237">
        <f t="shared" si="3"/>
        <v>1</v>
      </c>
      <c r="AB38" s="1237">
        <f t="shared" si="4"/>
        <v>1</v>
      </c>
      <c r="AC38" s="1237">
        <f t="shared" si="5"/>
        <v>1</v>
      </c>
    </row>
    <row r="39" spans="1:29" ht="15">
      <c r="A39" s="452"/>
      <c r="B39" s="1479" t="s">
        <v>1756</v>
      </c>
      <c r="C39" s="457"/>
      <c r="D39" s="398">
        <v>100</v>
      </c>
      <c r="E39" s="718"/>
      <c r="F39" s="433">
        <f>SUMIF(116:116,E39,117:117)-SUMIF(116:116,C39,117:117)+100</f>
        <v>100</v>
      </c>
      <c r="G39" s="457"/>
      <c r="H39" s="398">
        <f>SUMIF(116:116,G39,117:117)-SUMIF(116:116,C39,117:117)+100</f>
        <v>100</v>
      </c>
      <c r="I39" s="718"/>
      <c r="J39" s="398">
        <f>SUMIF(116:116,I39,117:117)-SUMIF(116:116,C39,117:117)+100</f>
        <v>100</v>
      </c>
      <c r="K39" s="708"/>
      <c r="L39" s="1662"/>
      <c r="M39" s="1654"/>
      <c r="N39" s="1654"/>
      <c r="O39" s="1661"/>
      <c r="P39" s="4231"/>
      <c r="Q39" s="1233" t="str">
        <f t="shared" si="8"/>
        <v>市政基础设施</v>
      </c>
      <c r="R39" s="1234" t="s">
        <v>8</v>
      </c>
      <c r="S39" s="1235">
        <f t="shared" si="9"/>
        <v>100</v>
      </c>
      <c r="T39" s="1234" t="s">
        <v>8</v>
      </c>
      <c r="U39" s="1235">
        <f t="shared" si="10"/>
        <v>100</v>
      </c>
      <c r="V39" s="1234" t="s">
        <v>8</v>
      </c>
      <c r="W39" s="1235">
        <f t="shared" si="11"/>
        <v>100</v>
      </c>
      <c r="X39" s="1228"/>
      <c r="Y39" s="4231"/>
      <c r="Z39" s="1236" t="str">
        <f t="shared" si="12"/>
        <v>市政基础设施</v>
      </c>
      <c r="AA39" s="1237">
        <f t="shared" si="3"/>
        <v>1</v>
      </c>
      <c r="AB39" s="1237">
        <f t="shared" si="4"/>
        <v>1</v>
      </c>
      <c r="AC39" s="1237">
        <f t="shared" si="5"/>
        <v>1</v>
      </c>
    </row>
    <row r="40" spans="1:29" ht="15">
      <c r="A40" s="452"/>
      <c r="B40" s="385" t="s">
        <v>679</v>
      </c>
      <c r="C40" s="457"/>
      <c r="D40" s="398">
        <v>100</v>
      </c>
      <c r="E40" s="718"/>
      <c r="F40" s="433">
        <f>SUMIF(118:118,E40,119:119)-SUMIF(118:118,C40,119:119)+100</f>
        <v>100</v>
      </c>
      <c r="G40" s="457"/>
      <c r="H40" s="398">
        <f>SUMIF(118:118,G40,119:119)-SUMIF(118:118,C40,119:119)+100</f>
        <v>100</v>
      </c>
      <c r="I40" s="718"/>
      <c r="J40" s="398">
        <f>SUMIF(118:118,I40,119:119)-SUMIF(118:118,C40,119:119)+100</f>
        <v>100</v>
      </c>
      <c r="K40" s="708"/>
      <c r="L40" s="1662"/>
      <c r="M40" s="1654"/>
      <c r="N40" s="1654"/>
      <c r="O40" s="1661"/>
      <c r="P40" s="4231"/>
      <c r="Q40" s="1233" t="str">
        <f t="shared" si="8"/>
        <v>房型</v>
      </c>
      <c r="R40" s="1234" t="s">
        <v>8</v>
      </c>
      <c r="S40" s="1235">
        <f t="shared" si="9"/>
        <v>100</v>
      </c>
      <c r="T40" s="1234" t="s">
        <v>8</v>
      </c>
      <c r="U40" s="1235">
        <f t="shared" si="10"/>
        <v>100</v>
      </c>
      <c r="V40" s="1234" t="s">
        <v>8</v>
      </c>
      <c r="W40" s="1235">
        <f t="shared" si="11"/>
        <v>100</v>
      </c>
      <c r="X40" s="1228"/>
      <c r="Y40" s="4231"/>
      <c r="Z40" s="1236" t="str">
        <f t="shared" si="12"/>
        <v>房型</v>
      </c>
      <c r="AA40" s="1237">
        <f t="shared" si="3"/>
        <v>1</v>
      </c>
      <c r="AB40" s="1237">
        <f t="shared" si="4"/>
        <v>1</v>
      </c>
      <c r="AC40" s="1237">
        <f t="shared" si="5"/>
        <v>1</v>
      </c>
    </row>
    <row r="41" spans="1:29" s="1063" customFormat="1" ht="28.5">
      <c r="A41" s="461"/>
      <c r="B41" s="385" t="s">
        <v>680</v>
      </c>
      <c r="C41" s="724"/>
      <c r="D41" s="145">
        <v>100</v>
      </c>
      <c r="E41" s="392"/>
      <c r="F41" s="707">
        <f>SUMIF(120:120,E41,121:121)-SUMIF(120:120,C41,121:121)+100</f>
        <v>100</v>
      </c>
      <c r="G41" s="391"/>
      <c r="H41" s="145">
        <f>SUMIF(120:120,G41,121:121)-SUMIF(120:120,C41,121:121)+100</f>
        <v>100</v>
      </c>
      <c r="I41" s="444"/>
      <c r="J41" s="398">
        <f>SUMIF(120:120,I41,121:121)-SUMIF(120:120,C41,121:121)+100</f>
        <v>100</v>
      </c>
      <c r="K41" s="709"/>
      <c r="L41" s="1660"/>
      <c r="M41" s="1690"/>
      <c r="N41" s="1690"/>
      <c r="O41" s="1663"/>
      <c r="P41" s="4231"/>
      <c r="Q41" s="1260" t="str">
        <f t="shared" si="8"/>
        <v>单套/主力户型建筑面积</v>
      </c>
      <c r="R41" s="1238" t="s">
        <v>8</v>
      </c>
      <c r="S41" s="1239">
        <f t="shared" si="9"/>
        <v>100</v>
      </c>
      <c r="T41" s="1238" t="s">
        <v>8</v>
      </c>
      <c r="U41" s="1239">
        <f t="shared" si="10"/>
        <v>100</v>
      </c>
      <c r="V41" s="1238" t="s">
        <v>8</v>
      </c>
      <c r="W41" s="1239">
        <f t="shared" si="11"/>
        <v>100</v>
      </c>
      <c r="X41" s="1240"/>
      <c r="Y41" s="4231"/>
      <c r="Z41" s="1241" t="str">
        <f t="shared" si="12"/>
        <v>单套/主力户型建筑面积</v>
      </c>
      <c r="AA41" s="1237">
        <f t="shared" si="3"/>
        <v>1</v>
      </c>
      <c r="AB41" s="1237">
        <f t="shared" si="4"/>
        <v>1</v>
      </c>
      <c r="AC41" s="1237">
        <f t="shared" si="5"/>
        <v>1</v>
      </c>
    </row>
    <row r="42" spans="1:29" ht="15">
      <c r="A42" s="452"/>
      <c r="B42" s="385" t="s">
        <v>681</v>
      </c>
      <c r="C42" s="457"/>
      <c r="D42" s="398">
        <v>100</v>
      </c>
      <c r="E42" s="718"/>
      <c r="F42" s="433">
        <f>SUMIF(122:122,E42,123:123)-SUMIF(122:122,C42,123:123)+100</f>
        <v>100</v>
      </c>
      <c r="G42" s="457"/>
      <c r="H42" s="398">
        <f>SUMIF(122:122,G42,123:123)-SUMIF(122:122,C42,123:123)+100</f>
        <v>100</v>
      </c>
      <c r="I42" s="718"/>
      <c r="J42" s="398">
        <f>SUMIF(122:122,I42,123:123)-SUMIF(122:122,C42,123:123)+100</f>
        <v>100</v>
      </c>
      <c r="K42" s="708"/>
      <c r="L42" s="1662"/>
      <c r="M42" s="1654"/>
      <c r="N42" s="1654"/>
      <c r="O42" s="1661"/>
      <c r="P42" s="4231"/>
      <c r="Q42" s="1233" t="str">
        <f t="shared" si="8"/>
        <v>内部装修</v>
      </c>
      <c r="R42" s="1234" t="s">
        <v>8</v>
      </c>
      <c r="S42" s="1235">
        <f t="shared" si="9"/>
        <v>100</v>
      </c>
      <c r="T42" s="1234" t="s">
        <v>8</v>
      </c>
      <c r="U42" s="1235">
        <f t="shared" si="10"/>
        <v>100</v>
      </c>
      <c r="V42" s="1234" t="s">
        <v>8</v>
      </c>
      <c r="W42" s="1235">
        <f t="shared" si="11"/>
        <v>100</v>
      </c>
      <c r="X42" s="1228"/>
      <c r="Y42" s="4231"/>
      <c r="Z42" s="1236" t="str">
        <f t="shared" si="12"/>
        <v>内部装修</v>
      </c>
      <c r="AA42" s="1237">
        <f t="shared" si="3"/>
        <v>1</v>
      </c>
      <c r="AB42" s="1237">
        <f t="shared" si="4"/>
        <v>1</v>
      </c>
      <c r="AC42" s="1237">
        <f t="shared" si="5"/>
        <v>1</v>
      </c>
    </row>
    <row r="43" spans="1:29" ht="27">
      <c r="A43" s="452"/>
      <c r="B43" s="385" t="s">
        <v>682</v>
      </c>
      <c r="C43" s="457"/>
      <c r="D43" s="398">
        <v>100</v>
      </c>
      <c r="E43" s="718"/>
      <c r="F43" s="433">
        <f>SUMIF(124:124,E43,125:125)-SUMIF(124:124,C43,125:125)+100</f>
        <v>100</v>
      </c>
      <c r="G43" s="457"/>
      <c r="H43" s="398">
        <f>SUMIF(124:124,G43,125:125)-SUMIF(124:124,C43,125:125)+100</f>
        <v>100</v>
      </c>
      <c r="I43" s="718"/>
      <c r="J43" s="398">
        <f>SUMIF(124:124,I43,125:125)-SUMIF(124:124,C43,125:125)+100</f>
        <v>100</v>
      </c>
      <c r="K43" s="708"/>
      <c r="L43" s="1662"/>
      <c r="M43" s="1654"/>
      <c r="N43" s="1654"/>
      <c r="O43" s="1661"/>
      <c r="P43" s="4231"/>
      <c r="Q43" s="1233" t="str">
        <f t="shared" si="8"/>
        <v>内部装修维护情况</v>
      </c>
      <c r="R43" s="1234" t="s">
        <v>8</v>
      </c>
      <c r="S43" s="1235">
        <f t="shared" si="9"/>
        <v>100</v>
      </c>
      <c r="T43" s="1234" t="s">
        <v>8</v>
      </c>
      <c r="U43" s="1235">
        <f t="shared" si="10"/>
        <v>100</v>
      </c>
      <c r="V43" s="1234" t="s">
        <v>8</v>
      </c>
      <c r="W43" s="1235">
        <f t="shared" si="11"/>
        <v>100</v>
      </c>
      <c r="X43" s="1228"/>
      <c r="Y43" s="4231"/>
      <c r="Z43" s="1236" t="str">
        <f t="shared" si="12"/>
        <v>内部装修维护情况</v>
      </c>
      <c r="AA43" s="1237">
        <f t="shared" si="3"/>
        <v>1</v>
      </c>
      <c r="AB43" s="1237">
        <f t="shared" si="4"/>
        <v>1</v>
      </c>
      <c r="AC43" s="1237">
        <f t="shared" si="5"/>
        <v>1</v>
      </c>
    </row>
    <row r="44" spans="1:29" s="981" customFormat="1" ht="15">
      <c r="A44" s="458"/>
      <c r="B44" s="721">
        <v>111</v>
      </c>
      <c r="C44" s="724"/>
      <c r="D44" s="145">
        <v>100</v>
      </c>
      <c r="E44" s="724"/>
      <c r="F44" s="707">
        <f>SUMIF(126:126,E44,127:127)-SUMIF(126:126,C44,127:127)+100</f>
        <v>100</v>
      </c>
      <c r="G44" s="724"/>
      <c r="H44" s="145">
        <f>SUMIF(126:126,G44,127:127)-SUMIF(126:126,C44,127:127)+100</f>
        <v>100</v>
      </c>
      <c r="I44" s="724"/>
      <c r="J44" s="145">
        <f>SUMIF(126:126,I44,127:127)-SUMIF(126:126,C44,127:127)+100</f>
        <v>100</v>
      </c>
      <c r="K44" s="709"/>
      <c r="L44" s="1655"/>
      <c r="M44" s="1656"/>
      <c r="N44" s="1656"/>
      <c r="O44" s="1657"/>
      <c r="P44" s="4231"/>
      <c r="Q44" s="929">
        <f t="shared" si="8"/>
        <v>111</v>
      </c>
      <c r="R44" s="1229" t="s">
        <v>8</v>
      </c>
      <c r="S44" s="1230">
        <f t="shared" si="9"/>
        <v>100</v>
      </c>
      <c r="T44" s="1229" t="s">
        <v>8</v>
      </c>
      <c r="U44" s="1230">
        <f t="shared" si="10"/>
        <v>100</v>
      </c>
      <c r="V44" s="1229" t="s">
        <v>8</v>
      </c>
      <c r="W44" s="1230">
        <f t="shared" si="11"/>
        <v>100</v>
      </c>
      <c r="X44" s="1231"/>
      <c r="Y44" s="4231"/>
      <c r="Z44" s="928">
        <f t="shared" si="12"/>
        <v>111</v>
      </c>
      <c r="AA44" s="1232">
        <f t="shared" si="3"/>
        <v>1</v>
      </c>
      <c r="AB44" s="1232">
        <f t="shared" si="4"/>
        <v>1</v>
      </c>
      <c r="AC44" s="1232">
        <f t="shared" si="5"/>
        <v>1</v>
      </c>
    </row>
    <row r="45" spans="1:29" ht="15">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9"/>
      <c r="L45" s="1662"/>
      <c r="M45" s="1654"/>
      <c r="N45" s="1654"/>
      <c r="O45" s="1661"/>
      <c r="P45" s="4231"/>
      <c r="Q45" s="1233">
        <f t="shared" si="8"/>
        <v>111</v>
      </c>
      <c r="R45" s="1234" t="s">
        <v>8</v>
      </c>
      <c r="S45" s="1235">
        <f t="shared" si="9"/>
        <v>100</v>
      </c>
      <c r="T45" s="1234" t="s">
        <v>8</v>
      </c>
      <c r="U45" s="1235">
        <f t="shared" si="10"/>
        <v>100</v>
      </c>
      <c r="V45" s="1234" t="s">
        <v>8</v>
      </c>
      <c r="W45" s="1235">
        <f t="shared" si="11"/>
        <v>100</v>
      </c>
      <c r="X45" s="1228"/>
      <c r="Y45" s="4231"/>
      <c r="Z45" s="1236">
        <f t="shared" si="12"/>
        <v>111</v>
      </c>
      <c r="AA45" s="1237">
        <f t="shared" si="3"/>
        <v>1</v>
      </c>
      <c r="AB45" s="1237">
        <f t="shared" si="4"/>
        <v>1</v>
      </c>
      <c r="AC45" s="1237">
        <f t="shared" si="5"/>
        <v>1</v>
      </c>
    </row>
    <row r="46" spans="1:29" ht="15.75" thickBot="1">
      <c r="A46" s="730"/>
      <c r="B46" s="402">
        <v>111</v>
      </c>
      <c r="C46" s="403"/>
      <c r="D46" s="404">
        <v>100</v>
      </c>
      <c r="E46" s="403"/>
      <c r="F46" s="710">
        <f>SUMIF(130:130,E46,131:131)-SUMIF(130:130,C46,131:131)+100</f>
        <v>100</v>
      </c>
      <c r="G46" s="403"/>
      <c r="H46" s="404">
        <f>SUMIF(130:130,G46,131:131)-SUMIF(130:130,C46,131:131)+100</f>
        <v>100</v>
      </c>
      <c r="I46" s="403"/>
      <c r="J46" s="404">
        <f>SUMIF(130:130,I46,131:131)-SUMIF(130:130,C46,131:131)+100</f>
        <v>100</v>
      </c>
      <c r="K46" s="709"/>
      <c r="L46" s="1662"/>
      <c r="M46" s="1654"/>
      <c r="N46" s="1654"/>
      <c r="O46" s="1661"/>
      <c r="P46" s="4289"/>
      <c r="Q46" s="1233">
        <f t="shared" si="8"/>
        <v>111</v>
      </c>
      <c r="R46" s="1234" t="s">
        <v>7</v>
      </c>
      <c r="S46" s="1235">
        <f t="shared" si="9"/>
        <v>100</v>
      </c>
      <c r="T46" s="1234" t="s">
        <v>7</v>
      </c>
      <c r="U46" s="1235">
        <f t="shared" si="10"/>
        <v>100</v>
      </c>
      <c r="V46" s="1234" t="s">
        <v>7</v>
      </c>
      <c r="W46" s="1235">
        <f t="shared" si="11"/>
        <v>100</v>
      </c>
      <c r="X46" s="1228"/>
      <c r="Y46" s="4289"/>
      <c r="Z46" s="1236">
        <f t="shared" si="12"/>
        <v>111</v>
      </c>
      <c r="AA46" s="1237">
        <f t="shared" si="3"/>
        <v>1</v>
      </c>
      <c r="AB46" s="1237">
        <f t="shared" si="4"/>
        <v>1</v>
      </c>
      <c r="AC46" s="1237">
        <f t="shared" si="5"/>
        <v>1</v>
      </c>
    </row>
    <row r="47" spans="1:29" ht="15">
      <c r="A47" s="465" t="s">
        <v>683</v>
      </c>
      <c r="B47" s="731"/>
      <c r="C47" s="1998" t="s">
        <v>6</v>
      </c>
      <c r="D47" s="1999"/>
      <c r="E47" s="2000"/>
      <c r="F47" s="2001"/>
      <c r="G47" s="2002"/>
      <c r="H47" s="2003"/>
      <c r="I47" s="2000"/>
      <c r="J47" s="2003"/>
      <c r="K47" s="1261"/>
      <c r="L47" s="1664"/>
      <c r="M47" s="1665"/>
      <c r="N47" s="1654"/>
      <c r="O47" s="1665"/>
      <c r="P47" s="4195" t="str">
        <f>A47</f>
        <v>成交单价（元/平方米）</v>
      </c>
      <c r="Q47" s="4195"/>
      <c r="R47" s="4287">
        <f>E47</f>
        <v>0</v>
      </c>
      <c r="S47" s="4287"/>
      <c r="T47" s="4287">
        <f>G47</f>
        <v>0</v>
      </c>
      <c r="U47" s="4287"/>
      <c r="V47" s="4287">
        <f>I47</f>
        <v>0</v>
      </c>
      <c r="W47" s="4287"/>
      <c r="X47" s="1223"/>
      <c r="Y47" s="1242"/>
      <c r="Z47" s="1223"/>
      <c r="AA47" s="1223"/>
      <c r="AB47" s="1223"/>
      <c r="AC47" s="1223"/>
    </row>
    <row r="48" spans="1:29" ht="15.75" thickBot="1">
      <c r="A48" s="473" t="s">
        <v>1951</v>
      </c>
      <c r="B48" s="732"/>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195" t="str">
        <f>A48</f>
        <v>比较价格（元/平方米）</v>
      </c>
      <c r="Q48" s="4195"/>
      <c r="R48" s="4287" t="e">
        <f>IF(F1="售价",ROUND(PRODUCT(R47,AA7:AA46),0),ROUND(PRODUCT(R47,AA7:AA46),1))</f>
        <v>#DIV/0!</v>
      </c>
      <c r="S48" s="4287"/>
      <c r="T48" s="4287" t="e">
        <f>IF(F1="售价",ROUND(PRODUCT(T47,AB7:AB46),0),ROUND(PRODUCT(T47,AB7:AB46),1))</f>
        <v>#DIV/0!</v>
      </c>
      <c r="U48" s="4287"/>
      <c r="V48" s="4287" t="e">
        <f>IF(F1="售价",ROUND(PRODUCT(V47,AC7:AC46),0),ROUND(PRODUCT(V47,AC7:AC46),1))</f>
        <v>#DIV/0!</v>
      </c>
      <c r="W48" s="4287"/>
      <c r="X48" s="1223"/>
      <c r="Y48" s="1223"/>
      <c r="Z48" s="1223"/>
      <c r="AA48" s="1223"/>
      <c r="AB48" s="1223"/>
      <c r="AC48" s="1223"/>
    </row>
    <row r="49" spans="1:29" ht="15.75" thickBot="1">
      <c r="A49" s="477" t="s">
        <v>2106</v>
      </c>
      <c r="B49" s="478"/>
      <c r="C49" s="2006" t="e">
        <f>R49</f>
        <v>#DIV/0!</v>
      </c>
      <c r="D49" s="2006"/>
      <c r="E49" s="2006"/>
      <c r="F49" s="2006"/>
      <c r="G49" s="2006"/>
      <c r="H49" s="2006"/>
      <c r="I49" s="2006"/>
      <c r="J49" s="2006"/>
      <c r="K49" s="1262"/>
      <c r="L49" s="1664"/>
      <c r="M49" s="1665"/>
      <c r="N49" s="1665"/>
      <c r="O49" s="1665"/>
      <c r="P49" s="4232" t="str">
        <f>A49</f>
        <v>估价对象XX用房的比较价格（楼面单价，元/平方米）</v>
      </c>
      <c r="Q49" s="4233"/>
      <c r="R49" s="4288" t="e">
        <f>IF(F1="售价",ROUND(IF(D48="简单平均",AVERAGE(R48:V48),R48*F48+T48*H48+V48*J48),0),ROUND(IF(D48="简单平均",AVERAGE(R48:V48),R48*F48+T48*H48+V48*J48),1))</f>
        <v>#DIV/0!</v>
      </c>
      <c r="S49" s="4288"/>
      <c r="T49" s="4288"/>
      <c r="U49" s="4288"/>
      <c r="V49" s="4288"/>
      <c r="W49" s="4288"/>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3"/>
      <c r="F64" s="1263"/>
      <c r="G64" s="1263"/>
      <c r="H64" s="1263"/>
      <c r="I64" s="1263"/>
      <c r="J64" s="1263"/>
      <c r="K64" s="1263"/>
      <c r="L64" s="1263"/>
      <c r="M64" s="1264"/>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1480" t="s">
        <v>1535</v>
      </c>
      <c r="C86" s="544"/>
      <c r="D86" s="544"/>
      <c r="E86" s="544"/>
      <c r="F86" s="544"/>
      <c r="G86" s="544"/>
      <c r="H86" s="544"/>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
        <v>686</v>
      </c>
      <c r="C88" s="544"/>
      <c r="D88" s="544"/>
      <c r="E88" s="544"/>
      <c r="F88" s="736"/>
      <c r="G88" s="544"/>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3"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3" customFormat="1">
      <c r="A112" s="584"/>
      <c r="B112" s="537"/>
      <c r="C112" s="738">
        <v>0.5</v>
      </c>
      <c r="D112" s="738">
        <v>0.6</v>
      </c>
      <c r="E112" s="738">
        <v>0.7</v>
      </c>
      <c r="F112" s="738">
        <v>0.8</v>
      </c>
      <c r="G112" s="738">
        <v>0.9</v>
      </c>
      <c r="H112" s="738">
        <v>1.0001</v>
      </c>
      <c r="I112" s="738"/>
      <c r="J112" s="739"/>
      <c r="K112" s="739"/>
      <c r="L112" s="740"/>
      <c r="M112" s="741"/>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3" customFormat="1" ht="28.5" thickTop="1">
      <c r="A120" s="584"/>
      <c r="B120" s="529" t="s">
        <v>680</v>
      </c>
      <c r="C120" s="544"/>
      <c r="D120" s="544"/>
      <c r="E120" s="544"/>
      <c r="F120" s="544"/>
      <c r="G120" s="544"/>
      <c r="H120" s="544"/>
      <c r="I120" s="544"/>
      <c r="J120" s="544"/>
      <c r="K120" s="544"/>
      <c r="L120" s="734"/>
      <c r="M120" s="735"/>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2">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2">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2">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xr:uid="{00000000-0002-0000-2F00-000000000000}">
      <formula1>环境</formula1>
    </dataValidation>
    <dataValidation type="list" allowBlank="1" showInputMessage="1" showErrorMessage="1" sqref="E16 G16 I16 C16" xr:uid="{00000000-0002-0000-2F00-000001000000}">
      <formula1>居住社区成熟度</formula1>
    </dataValidation>
    <dataValidation type="list" allowBlank="1" showInputMessage="1" showErrorMessage="1" sqref="E18 G18 I18 C18" xr:uid="{00000000-0002-0000-2F00-000002000000}">
      <formula1>交通便捷度</formula1>
    </dataValidation>
    <dataValidation type="list" allowBlank="1" showInputMessage="1" showErrorMessage="1" sqref="C20 G20 I20 E20" xr:uid="{00000000-0002-0000-2F00-000003000000}">
      <formula1>公共配套设施</formula1>
    </dataValidation>
    <dataValidation type="list" allowBlank="1" showInputMessage="1" showErrorMessage="1" sqref="E25 G25 I25 C25" xr:uid="{00000000-0002-0000-2F00-000004000000}">
      <formula1>住宅楼层</formula1>
    </dataValidation>
    <dataValidation type="list" allowBlank="1" showInputMessage="1" showErrorMessage="1" sqref="E26 G26 I26 C26" xr:uid="{00000000-0002-0000-2F00-000005000000}">
      <formula1>住宅朝向</formula1>
    </dataValidation>
    <dataValidation type="list" allowBlank="1" showInputMessage="1" showErrorMessage="1" sqref="E32 G32 I32 C32" xr:uid="{00000000-0002-0000-2F00-000006000000}">
      <formula1>住宅建筑类型</formula1>
    </dataValidation>
    <dataValidation type="list" allowBlank="1" showInputMessage="1" showErrorMessage="1" sqref="E34 G34 I34 C34" xr:uid="{00000000-0002-0000-2F00-000007000000}">
      <formula1>住宅建筑结构</formula1>
    </dataValidation>
    <dataValidation type="list" allowBlank="1" showInputMessage="1" showErrorMessage="1" sqref="E35 G35 I35 C35" xr:uid="{00000000-0002-0000-2F00-000008000000}">
      <formula1>住宅建筑品质</formula1>
    </dataValidation>
    <dataValidation type="list" allowBlank="1" showInputMessage="1" showErrorMessage="1" sqref="E36 G36 I36 C36" xr:uid="{00000000-0002-0000-2F00-000009000000}">
      <formula1>住宅公共部分装修</formula1>
    </dataValidation>
    <dataValidation type="list" allowBlank="1" showInputMessage="1" showErrorMessage="1" sqref="E38 G38 I38 C38" xr:uid="{00000000-0002-0000-2F00-00000A000000}">
      <formula1>住宅物业管理</formula1>
    </dataValidation>
    <dataValidation type="list" allowBlank="1" showInputMessage="1" showErrorMessage="1" sqref="E39 G39 I39 C39" xr:uid="{00000000-0002-0000-2F00-00000B000000}">
      <formula1>住宅基础设施水平</formula1>
    </dataValidation>
    <dataValidation type="list" allowBlank="1" showInputMessage="1" showErrorMessage="1" sqref="E40 G40 I40 C40" xr:uid="{00000000-0002-0000-2F00-00000C000000}">
      <formula1>住宅房型</formula1>
    </dataValidation>
    <dataValidation type="list" allowBlank="1" showInputMessage="1" showErrorMessage="1" sqref="E42 G42 I42 C42" xr:uid="{00000000-0002-0000-2F00-00000D000000}">
      <formula1>住宅内部装修</formula1>
    </dataValidation>
    <dataValidation type="list" allowBlank="1" showInputMessage="1" showErrorMessage="1" sqref="E43 G43 I43 C43" xr:uid="{00000000-0002-0000-2F00-00000E000000}">
      <formula1>内部装修维护情况</formula1>
    </dataValidation>
    <dataValidation type="list" allowBlank="1" showInputMessage="1" showErrorMessage="1" sqref="E8 G8 I8 C8" xr:uid="{00000000-0002-0000-2F00-00000F000000}">
      <formula1>住宅交易情况</formula1>
    </dataValidation>
    <dataValidation type="list" allowBlank="1" showInputMessage="1" showErrorMessage="1" sqref="D1" xr:uid="{00000000-0002-0000-2F00-000010000000}">
      <formula1>项目类型</formula1>
    </dataValidation>
    <dataValidation type="list" allowBlank="1" showInputMessage="1" showErrorMessage="1" sqref="E9 G9 I9" xr:uid="{00000000-0002-0000-2F00-000011000000}">
      <formula1>住宅用途</formula1>
    </dataValidation>
    <dataValidation type="list" allowBlank="1" showInputMessage="1" showErrorMessage="1" sqref="C22 E22 G22 I22" xr:uid="{00000000-0002-0000-2F00-000012000000}">
      <formula1>基础设施水平</formula1>
    </dataValidation>
    <dataValidation type="list" allowBlank="1" showInputMessage="1" showErrorMessage="1" sqref="F1" xr:uid="{00000000-0002-0000-2F00-000013000000}">
      <formula1>"售价,租金"</formula1>
    </dataValidation>
    <dataValidation type="list" allowBlank="1" showInputMessage="1" showErrorMessage="1" sqref="D48" xr:uid="{00000000-0002-0000-2F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728</v>
      </c>
      <c r="C1" s="362" t="s">
        <v>667</v>
      </c>
      <c r="D1" s="695"/>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60" customFormat="1" ht="28.5" customHeight="1">
      <c r="A2" s="309" t="s">
        <v>427</v>
      </c>
      <c r="B2" s="696"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60" customFormat="1" ht="28.5" customHeight="1" thickBot="1">
      <c r="A3" s="367" t="s">
        <v>468</v>
      </c>
      <c r="B3" s="368" t="e">
        <f>C43</f>
        <v>#DIV/0!</v>
      </c>
      <c r="C3" s="698" t="s">
        <v>669</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201" t="s">
        <v>471</v>
      </c>
      <c r="D4" s="4202"/>
      <c r="E4" s="4240" t="s">
        <v>472</v>
      </c>
      <c r="F4" s="4241"/>
      <c r="G4" s="4201" t="s">
        <v>473</v>
      </c>
      <c r="H4" s="4202"/>
      <c r="I4" s="4201" t="s">
        <v>474</v>
      </c>
      <c r="J4" s="4202"/>
      <c r="K4" s="372"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9" t="s">
        <v>473</v>
      </c>
      <c r="AC4" s="4198" t="s">
        <v>474</v>
      </c>
    </row>
    <row r="5" spans="1:29" ht="15">
      <c r="A5" s="373"/>
      <c r="B5" s="374"/>
      <c r="C5" s="4217" t="s">
        <v>2100</v>
      </c>
      <c r="D5" s="4218"/>
      <c r="E5" s="4242" t="s">
        <v>2101</v>
      </c>
      <c r="F5" s="4243"/>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SUMIF(52:52,YEAR(E7)&amp;"-"&amp;MONTH(E7),53:53)</f>
        <v>0</v>
      </c>
      <c r="G7" s="379"/>
      <c r="H7" s="378">
        <f>SUMIF(52:52,YEAR(G7)&amp;"-"&amp;MONTH(G7),53:53)</f>
        <v>0</v>
      </c>
      <c r="I7" s="379"/>
      <c r="J7" s="378">
        <f>SUMIF(52:52,YEAR(I7)&amp;"-"&amp;MONTH(I7),53:53)</f>
        <v>0</v>
      </c>
      <c r="K7" s="382"/>
      <c r="L7" s="1655"/>
      <c r="M7" s="1656"/>
      <c r="N7" s="1656"/>
      <c r="O7" s="1656"/>
      <c r="P7" s="4225" t="s">
        <v>479</v>
      </c>
      <c r="Q7" s="4227"/>
      <c r="R7" s="1229" t="s">
        <v>5</v>
      </c>
      <c r="S7" s="1230">
        <f t="shared" ref="S7:S15" si="0">F7</f>
        <v>0</v>
      </c>
      <c r="T7" s="1229" t="s">
        <v>5</v>
      </c>
      <c r="U7" s="1230">
        <f t="shared" ref="U7:U15" si="1">H7</f>
        <v>0</v>
      </c>
      <c r="V7" s="1229" t="s">
        <v>5</v>
      </c>
      <c r="W7" s="1230">
        <f t="shared" ref="W7:W15"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40" si="3">D8/F8</f>
        <v>#DIV/0!</v>
      </c>
      <c r="AB8" s="1232" t="e">
        <f t="shared" ref="AB8:AB40" si="4">D8/H8</f>
        <v>#DIV/0!</v>
      </c>
      <c r="AC8" s="1232" t="e">
        <f t="shared" ref="AC8:AC40" si="5">D8/J8</f>
        <v>#DIV/0!</v>
      </c>
    </row>
    <row r="9" spans="1:29" s="981" customFormat="1" ht="15">
      <c r="A9" s="2105"/>
      <c r="B9" s="2112" t="s">
        <v>1947</v>
      </c>
      <c r="C9" s="703"/>
      <c r="D9" s="144">
        <v>100</v>
      </c>
      <c r="E9" s="706"/>
      <c r="F9" s="144">
        <f>SUMIF(57:57,E9,58:58)-SUMIF(57:57,C9,58:58)+100</f>
        <v>100</v>
      </c>
      <c r="G9" s="704"/>
      <c r="H9" s="144">
        <f>SUMIF(57:57,G9,58:58)-SUMIF(57:57,C9,58:58)+100</f>
        <v>100</v>
      </c>
      <c r="I9" s="704"/>
      <c r="J9" s="144">
        <f>SUMIF(57:57,I9,58:58)-SUMIF(57:57,C9,58:58)+100</f>
        <v>100</v>
      </c>
      <c r="K9" s="382"/>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195"/>
      <c r="Q11" s="929" t="str">
        <f t="shared" si="6"/>
        <v>容积率</v>
      </c>
      <c r="R11" s="1229" t="s">
        <v>5</v>
      </c>
      <c r="S11" s="1230" t="e">
        <f t="shared" si="0"/>
        <v>#N/A</v>
      </c>
      <c r="T11" s="1229" t="s">
        <v>5</v>
      </c>
      <c r="U11" s="1230" t="e">
        <f t="shared" si="1"/>
        <v>#N/A</v>
      </c>
      <c r="V11" s="1229" t="s">
        <v>5</v>
      </c>
      <c r="W11" s="1230" t="e">
        <f t="shared" si="2"/>
        <v>#N/A</v>
      </c>
      <c r="X11" s="1231"/>
      <c r="Y11" s="4076"/>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97"/>
      <c r="F12" s="145">
        <f>SUMIF(64:64,E12,65:65)-SUMIF(64:64,C12,65:65)+100</f>
        <v>100</v>
      </c>
      <c r="G12" s="764"/>
      <c r="H12" s="145">
        <f>SUMIF(64:64,G12,65:65)-SUMIF(64:64,C12,65:65)+100</f>
        <v>100</v>
      </c>
      <c r="I12" s="724"/>
      <c r="J12" s="145">
        <f>SUMIF(64:64,I12,65:65)-SUMIF(64:64,C12,65:65)+100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c r="A13" s="2108"/>
      <c r="B13" s="2114">
        <v>111</v>
      </c>
      <c r="C13" s="397"/>
      <c r="D13" s="398">
        <v>100</v>
      </c>
      <c r="E13" s="397"/>
      <c r="F13" s="145">
        <f>SUMIF(66:66,E13,67:67)-SUMIF(66:66,C13,67:67)+100</f>
        <v>100</v>
      </c>
      <c r="G13" s="764"/>
      <c r="H13" s="398">
        <f>SUMIF(66:66,G13,67:67)-SUMIF(66:66,C13,67:67)+100</f>
        <v>100</v>
      </c>
      <c r="I13" s="724"/>
      <c r="J13" s="398">
        <f>SUMIF(66:66,I13,67:67)-SUMIF(66:66,C13,67:67)+100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thickBot="1">
      <c r="A14" s="2109"/>
      <c r="B14" s="2115">
        <v>111</v>
      </c>
      <c r="C14" s="403"/>
      <c r="D14" s="404">
        <v>100</v>
      </c>
      <c r="E14" s="403"/>
      <c r="F14" s="404">
        <f>SUMIF(68:68,E14,69:69)-SUMIF(68:68,C14,69:69)+100</f>
        <v>100</v>
      </c>
      <c r="G14" s="764"/>
      <c r="H14" s="404">
        <f>SUMIF(68:68,G14,69:69)-SUMIF(68:68,C14,69:69)+100</f>
        <v>100</v>
      </c>
      <c r="I14" s="724"/>
      <c r="J14" s="404">
        <f>SUMIF(68:68,I14,69:69)-SUMIF(68:68,C14,69:69)+100</f>
        <v>100</v>
      </c>
      <c r="K14" s="439"/>
      <c r="L14" s="1662"/>
      <c r="M14" s="1654"/>
      <c r="N14" s="1654"/>
      <c r="O14" s="1661"/>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57">
      <c r="A15" s="2101" t="s">
        <v>1945</v>
      </c>
      <c r="B15" s="138" t="s">
        <v>729</v>
      </c>
      <c r="C15" s="765"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2"/>
      <c r="L15" s="1662"/>
      <c r="M15" s="1654"/>
      <c r="N15" s="1654"/>
      <c r="O15" s="1661"/>
      <c r="P15" s="4228" t="s">
        <v>489</v>
      </c>
      <c r="Q15" s="1233" t="str">
        <f t="shared" si="6"/>
        <v>产业集聚程度</v>
      </c>
      <c r="R15" s="1234" t="s">
        <v>5</v>
      </c>
      <c r="S15" s="1235">
        <f t="shared" si="0"/>
        <v>100</v>
      </c>
      <c r="T15" s="1234" t="s">
        <v>5</v>
      </c>
      <c r="U15" s="1235">
        <f t="shared" si="1"/>
        <v>100</v>
      </c>
      <c r="V15" s="1234" t="s">
        <v>5</v>
      </c>
      <c r="W15" s="1235">
        <f t="shared" si="2"/>
        <v>100</v>
      </c>
      <c r="X15" s="1228"/>
      <c r="Y15" s="4228" t="s">
        <v>489</v>
      </c>
      <c r="Z15" s="1236" t="str">
        <f t="shared" si="7"/>
        <v>产业集聚程度</v>
      </c>
      <c r="AA15" s="1237">
        <f t="shared" si="3"/>
        <v>1</v>
      </c>
      <c r="AB15" s="1237">
        <f t="shared" si="4"/>
        <v>1</v>
      </c>
      <c r="AC15" s="1237">
        <f t="shared" si="5"/>
        <v>1</v>
      </c>
    </row>
    <row r="16" spans="1:29" ht="15">
      <c r="A16" s="390"/>
      <c r="B16" s="713"/>
      <c r="C16" s="434"/>
      <c r="D16" s="413"/>
      <c r="E16" s="434"/>
      <c r="F16" s="415"/>
      <c r="G16" s="434"/>
      <c r="H16" s="417"/>
      <c r="I16" s="434"/>
      <c r="J16" s="413"/>
      <c r="K16" s="743"/>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2"/>
      <c r="L17" s="1662"/>
      <c r="M17" s="1654"/>
      <c r="N17" s="1654"/>
      <c r="O17" s="1661"/>
      <c r="P17" s="4229"/>
      <c r="Q17" s="1233" t="str">
        <f>B17</f>
        <v>交通便捷度</v>
      </c>
      <c r="R17" s="1234" t="s">
        <v>5</v>
      </c>
      <c r="S17" s="1235">
        <f>F17</f>
        <v>100</v>
      </c>
      <c r="T17" s="1234" t="s">
        <v>5</v>
      </c>
      <c r="U17" s="1235">
        <f>H17</f>
        <v>100</v>
      </c>
      <c r="V17" s="1234" t="s">
        <v>5</v>
      </c>
      <c r="W17" s="1235">
        <f>J17</f>
        <v>100</v>
      </c>
      <c r="X17" s="1228"/>
      <c r="Y17" s="4229"/>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43"/>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6" t="s">
        <v>1738</v>
      </c>
      <c r="C19" s="716"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2"/>
      <c r="L19" s="1662"/>
      <c r="M19" s="1654"/>
      <c r="N19" s="1654"/>
      <c r="O19" s="1661"/>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24"/>
      <c r="C20" s="434"/>
      <c r="D20" s="413"/>
      <c r="E20" s="414"/>
      <c r="F20" s="415"/>
      <c r="G20" s="416"/>
      <c r="H20" s="413"/>
      <c r="I20" s="414"/>
      <c r="J20" s="413"/>
      <c r="K20" s="743"/>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4" t="s">
        <v>1750</v>
      </c>
      <c r="C21" s="716"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2"/>
      <c r="L21" s="1662"/>
      <c r="M21" s="1654"/>
      <c r="N21" s="1654"/>
      <c r="O21" s="1661"/>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436"/>
      <c r="C22" s="717"/>
      <c r="D22" s="413"/>
      <c r="E22" s="434"/>
      <c r="F22" s="415"/>
      <c r="G22" s="434"/>
      <c r="H22" s="413"/>
      <c r="I22" s="434"/>
      <c r="J22" s="413"/>
      <c r="K22" s="1975"/>
      <c r="L22" s="1662"/>
      <c r="M22" s="1654"/>
      <c r="N22" s="1654"/>
      <c r="O22" s="1661"/>
      <c r="P22" s="4229"/>
      <c r="Q22" s="1958"/>
      <c r="R22" s="1234"/>
      <c r="S22" s="1235"/>
      <c r="T22" s="1234"/>
      <c r="U22" s="1235"/>
      <c r="V22" s="1234"/>
      <c r="W22" s="1235"/>
      <c r="X22" s="1960"/>
      <c r="Y22" s="4229"/>
      <c r="Z22" s="1959"/>
      <c r="AA22" s="1237">
        <v>1</v>
      </c>
      <c r="AB22" s="1237">
        <v>1</v>
      </c>
      <c r="AC22" s="1237">
        <v>1</v>
      </c>
    </row>
    <row r="23" spans="1:29" ht="71.25">
      <c r="A23" s="390"/>
      <c r="B23" s="715" t="s">
        <v>718</v>
      </c>
      <c r="C23" s="716"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2"/>
      <c r="L23" s="1662"/>
      <c r="M23" s="1654"/>
      <c r="N23" s="1654"/>
      <c r="O23" s="1661"/>
      <c r="P23" s="4229"/>
      <c r="Q23" s="1233" t="str">
        <f>B23</f>
        <v>环境质量</v>
      </c>
      <c r="R23" s="1234" t="s">
        <v>5</v>
      </c>
      <c r="S23" s="1235">
        <f>F23</f>
        <v>100</v>
      </c>
      <c r="T23" s="1234" t="s">
        <v>5</v>
      </c>
      <c r="U23" s="1235">
        <f>H23</f>
        <v>100</v>
      </c>
      <c r="V23" s="1234" t="s">
        <v>5</v>
      </c>
      <c r="W23" s="1235">
        <f>J23</f>
        <v>100</v>
      </c>
      <c r="X23" s="1228"/>
      <c r="Y23" s="4229"/>
      <c r="Z23" s="1236" t="str">
        <f>Q23</f>
        <v>环境质量</v>
      </c>
      <c r="AA23" s="1237">
        <f t="shared" si="3"/>
        <v>1</v>
      </c>
      <c r="AB23" s="1237">
        <f t="shared" si="4"/>
        <v>1</v>
      </c>
      <c r="AC23" s="1237">
        <f t="shared" si="5"/>
        <v>1</v>
      </c>
    </row>
    <row r="24" spans="1:29" ht="15">
      <c r="A24" s="390"/>
      <c r="B24" s="766"/>
      <c r="C24" s="434"/>
      <c r="D24" s="413"/>
      <c r="E24" s="414"/>
      <c r="F24" s="415"/>
      <c r="G24" s="416"/>
      <c r="H24" s="413"/>
      <c r="I24" s="414"/>
      <c r="J24" s="413"/>
      <c r="K24" s="743"/>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73"/>
      <c r="B25" s="721">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229"/>
      <c r="Q25" s="1233">
        <f>B25</f>
        <v>111</v>
      </c>
      <c r="R25" s="1234" t="s">
        <v>5</v>
      </c>
      <c r="S25" s="1235">
        <f>F25</f>
        <v>100</v>
      </c>
      <c r="T25" s="1234" t="s">
        <v>5</v>
      </c>
      <c r="U25" s="1235">
        <f>H25</f>
        <v>100</v>
      </c>
      <c r="V25" s="1234" t="s">
        <v>5</v>
      </c>
      <c r="W25" s="1235">
        <f>J25</f>
        <v>100</v>
      </c>
      <c r="X25" s="1228"/>
      <c r="Y25" s="4229"/>
      <c r="Z25" s="1236">
        <f>Q25</f>
        <v>111</v>
      </c>
      <c r="AA25" s="1237">
        <f t="shared" si="3"/>
        <v>1</v>
      </c>
      <c r="AB25" s="1237">
        <f t="shared" si="4"/>
        <v>1</v>
      </c>
      <c r="AC25" s="1237">
        <f t="shared" si="5"/>
        <v>1</v>
      </c>
    </row>
    <row r="26" spans="1:29" ht="15">
      <c r="A26" s="390"/>
      <c r="B26" s="721">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229"/>
      <c r="Q26" s="1233">
        <f t="shared" ref="Q26:Q40" si="8">B26</f>
        <v>111</v>
      </c>
      <c r="R26" s="1234" t="s">
        <v>5</v>
      </c>
      <c r="S26" s="1235">
        <f>F26</f>
        <v>100</v>
      </c>
      <c r="T26" s="1234" t="s">
        <v>5</v>
      </c>
      <c r="U26" s="1235">
        <f>H26</f>
        <v>100</v>
      </c>
      <c r="V26" s="1234" t="s">
        <v>5</v>
      </c>
      <c r="W26" s="1235">
        <f>J26</f>
        <v>100</v>
      </c>
      <c r="X26" s="1228"/>
      <c r="Y26" s="4229"/>
      <c r="Z26" s="1236">
        <f>Q26</f>
        <v>111</v>
      </c>
      <c r="AA26" s="1237">
        <f t="shared" si="3"/>
        <v>1</v>
      </c>
      <c r="AB26" s="1237">
        <f t="shared" si="4"/>
        <v>1</v>
      </c>
      <c r="AC26" s="1237">
        <f t="shared" si="5"/>
        <v>1</v>
      </c>
    </row>
    <row r="27" spans="1:29" s="981" customFormat="1" ht="15">
      <c r="A27" s="394"/>
      <c r="B27" s="721">
        <v>111</v>
      </c>
      <c r="C27" s="397"/>
      <c r="D27" s="719">
        <v>100</v>
      </c>
      <c r="E27" s="397"/>
      <c r="F27" s="720">
        <f>SUMIF(84:84,E27,85:85)-SUMIF(84:84,C27,85:85)+100</f>
        <v>100</v>
      </c>
      <c r="G27" s="397"/>
      <c r="H27" s="719">
        <f>SUMIF(84:84,G27,85:85)-SUMIF(84:84,C27,85:85)+100</f>
        <v>100</v>
      </c>
      <c r="I27" s="397"/>
      <c r="J27" s="719">
        <f>SUMIF(84:84,I27,85:85)-SUMIF(84:84,C27,85:85)+100</f>
        <v>100</v>
      </c>
      <c r="K27" s="439"/>
      <c r="L27" s="1655"/>
      <c r="M27" s="1656"/>
      <c r="N27" s="1656"/>
      <c r="O27" s="1657"/>
      <c r="P27" s="4229"/>
      <c r="Q27" s="929">
        <f t="shared" si="8"/>
        <v>111</v>
      </c>
      <c r="R27" s="1229" t="s">
        <v>5</v>
      </c>
      <c r="S27" s="1230">
        <f>F27</f>
        <v>100</v>
      </c>
      <c r="T27" s="1229" t="s">
        <v>5</v>
      </c>
      <c r="U27" s="1230">
        <f>H27</f>
        <v>100</v>
      </c>
      <c r="V27" s="1229" t="s">
        <v>5</v>
      </c>
      <c r="W27" s="1230">
        <f>J27</f>
        <v>100</v>
      </c>
      <c r="X27" s="1231"/>
      <c r="Y27" s="4229"/>
      <c r="Z27" s="928">
        <f>Q27</f>
        <v>111</v>
      </c>
      <c r="AA27" s="1237">
        <f>D27/F27</f>
        <v>1</v>
      </c>
      <c r="AB27" s="1237">
        <f>D27/H27</f>
        <v>1</v>
      </c>
      <c r="AC27" s="1237">
        <f>D27/J27</f>
        <v>1</v>
      </c>
    </row>
    <row r="28" spans="1:29" ht="15.75" thickBot="1">
      <c r="A28" s="401"/>
      <c r="B28" s="721">
        <v>111</v>
      </c>
      <c r="C28" s="403"/>
      <c r="D28" s="404">
        <v>100</v>
      </c>
      <c r="E28" s="397"/>
      <c r="F28" s="710">
        <f>SUMIF(86:86,E28,87:87)-SUMIF(86:86,C28,87:87)+100</f>
        <v>100</v>
      </c>
      <c r="G28" s="724"/>
      <c r="H28" s="404">
        <f>SUMIF(86:86,G28,87:87)-SUMIF(86:86,C28,87:87)+100</f>
        <v>100</v>
      </c>
      <c r="I28" s="724"/>
      <c r="J28" s="404">
        <f>SUMIF(86:86,I28,87:87)-SUMIF(86:86,C28,87:87)+100</f>
        <v>100</v>
      </c>
      <c r="K28" s="439"/>
      <c r="L28" s="1662"/>
      <c r="M28" s="1654"/>
      <c r="N28" s="1654"/>
      <c r="O28" s="1661"/>
      <c r="P28" s="4229"/>
      <c r="Q28" s="1233">
        <f t="shared" si="8"/>
        <v>111</v>
      </c>
      <c r="R28" s="1234" t="s">
        <v>5</v>
      </c>
      <c r="S28" s="1235">
        <f t="shared" ref="S28:S40" si="9">F28</f>
        <v>100</v>
      </c>
      <c r="T28" s="1234" t="s">
        <v>5</v>
      </c>
      <c r="U28" s="1235">
        <f t="shared" ref="U28:U40" si="10">H28</f>
        <v>100</v>
      </c>
      <c r="V28" s="1234" t="s">
        <v>5</v>
      </c>
      <c r="W28" s="1235">
        <f t="shared" ref="W28:W40" si="11">J28</f>
        <v>100</v>
      </c>
      <c r="X28" s="1228"/>
      <c r="Y28" s="4229"/>
      <c r="Z28" s="1236">
        <f t="shared" ref="Z28:Z40" si="12">Q28</f>
        <v>111</v>
      </c>
      <c r="AA28" s="1237">
        <f t="shared" si="3"/>
        <v>1</v>
      </c>
      <c r="AB28" s="1237">
        <f t="shared" si="4"/>
        <v>1</v>
      </c>
      <c r="AC28" s="1237">
        <f t="shared" si="5"/>
        <v>1</v>
      </c>
    </row>
    <row r="29" spans="1:29" ht="15">
      <c r="A29" s="2098" t="s">
        <v>1946</v>
      </c>
      <c r="B29" s="140" t="s">
        <v>720</v>
      </c>
      <c r="C29" s="760"/>
      <c r="D29" s="455">
        <v>100</v>
      </c>
      <c r="E29" s="760"/>
      <c r="F29" s="433">
        <f>SUMIF(88:88,E29,89:89)-SUMIF(88:88,C29,89:89)+100</f>
        <v>100</v>
      </c>
      <c r="G29" s="760"/>
      <c r="H29" s="398">
        <f>SUMIF(88:88,G29,89:89)-SUMIF(88:88,C29,89:89)+100</f>
        <v>100</v>
      </c>
      <c r="I29" s="760"/>
      <c r="J29" s="455">
        <f>SUMIF(88:88,I29,89:89)-SUMIF(88:88,C29,89:89)+100</f>
        <v>100</v>
      </c>
      <c r="K29" s="442"/>
      <c r="L29" s="1662"/>
      <c r="M29" s="1654"/>
      <c r="N29" s="1654"/>
      <c r="O29" s="1661"/>
      <c r="P29" s="4230" t="s">
        <v>499</v>
      </c>
      <c r="Q29" s="1233" t="str">
        <f t="shared" si="8"/>
        <v>建筑类型</v>
      </c>
      <c r="R29" s="1234" t="s">
        <v>5</v>
      </c>
      <c r="S29" s="1235">
        <f t="shared" si="9"/>
        <v>100</v>
      </c>
      <c r="T29" s="1234" t="s">
        <v>5</v>
      </c>
      <c r="U29" s="1235">
        <f t="shared" si="10"/>
        <v>100</v>
      </c>
      <c r="V29" s="1234" t="s">
        <v>5</v>
      </c>
      <c r="W29" s="1235">
        <f t="shared" si="11"/>
        <v>100</v>
      </c>
      <c r="X29" s="1228"/>
      <c r="Y29" s="4231" t="s">
        <v>499</v>
      </c>
      <c r="Z29" s="1236" t="str">
        <f t="shared" si="12"/>
        <v>建筑类型</v>
      </c>
      <c r="AA29" s="1237">
        <f t="shared" si="3"/>
        <v>1</v>
      </c>
      <c r="AB29" s="1237">
        <f t="shared" si="4"/>
        <v>1</v>
      </c>
      <c r="AC29" s="1237">
        <f t="shared" si="5"/>
        <v>1</v>
      </c>
    </row>
    <row r="30" spans="1:29" s="1063" customFormat="1" ht="15">
      <c r="A30" s="461"/>
      <c r="B30" s="385" t="s">
        <v>673</v>
      </c>
      <c r="C30" s="724"/>
      <c r="D30" s="145">
        <v>100</v>
      </c>
      <c r="E30" s="392"/>
      <c r="F30" s="707" t="e">
        <f>LOOKUP(E30,91:91,92:92)-LOOKUP(C30,91:91,92:92)+100</f>
        <v>#N/A</v>
      </c>
      <c r="G30" s="391"/>
      <c r="H30" s="145" t="e">
        <f>LOOKUP(G30,91:91,92:92)-LOOKUP(C30,91:91,92:92)+100</f>
        <v>#N/A</v>
      </c>
      <c r="I30" s="391"/>
      <c r="J30" s="145" t="e">
        <f>LOOKUP(I30,91:91,92:92)-LOOKUP(C30,91:91,92:92)+100</f>
        <v>#N/A</v>
      </c>
      <c r="K30" s="439"/>
      <c r="L30" s="1660"/>
      <c r="M30" s="1690"/>
      <c r="N30" s="1690"/>
      <c r="O30" s="1663"/>
      <c r="P30" s="4231"/>
      <c r="Q30" s="1260" t="str">
        <f t="shared" si="8"/>
        <v>项目建筑规模</v>
      </c>
      <c r="R30" s="1238" t="s">
        <v>5</v>
      </c>
      <c r="S30" s="1239" t="e">
        <f t="shared" si="9"/>
        <v>#N/A</v>
      </c>
      <c r="T30" s="1238" t="s">
        <v>5</v>
      </c>
      <c r="U30" s="1239" t="e">
        <f t="shared" si="10"/>
        <v>#N/A</v>
      </c>
      <c r="V30" s="1238" t="s">
        <v>5</v>
      </c>
      <c r="W30" s="1239" t="e">
        <f t="shared" si="11"/>
        <v>#N/A</v>
      </c>
      <c r="X30" s="1240"/>
      <c r="Y30" s="4231"/>
      <c r="Z30" s="1241" t="str">
        <f t="shared" si="12"/>
        <v>项目建筑规模</v>
      </c>
      <c r="AA30" s="1237" t="e">
        <f t="shared" si="3"/>
        <v>#N/A</v>
      </c>
      <c r="AB30" s="1237" t="e">
        <f t="shared" si="4"/>
        <v>#N/A</v>
      </c>
      <c r="AC30" s="1237"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231"/>
      <c r="Q31" s="1233" t="str">
        <f t="shared" si="8"/>
        <v>建筑结构</v>
      </c>
      <c r="R31" s="1234" t="s">
        <v>5</v>
      </c>
      <c r="S31" s="1235">
        <f t="shared" si="9"/>
        <v>100</v>
      </c>
      <c r="T31" s="1234" t="s">
        <v>5</v>
      </c>
      <c r="U31" s="1235">
        <f t="shared" si="10"/>
        <v>100</v>
      </c>
      <c r="V31" s="1234" t="s">
        <v>5</v>
      </c>
      <c r="W31" s="1235">
        <f t="shared" si="11"/>
        <v>100</v>
      </c>
      <c r="X31" s="1228"/>
      <c r="Y31" s="4231"/>
      <c r="Z31" s="1236" t="str">
        <f t="shared" si="12"/>
        <v>建筑结构</v>
      </c>
      <c r="AA31" s="1237">
        <f t="shared" si="3"/>
        <v>1</v>
      </c>
      <c r="AB31" s="1237">
        <f t="shared" si="4"/>
        <v>1</v>
      </c>
      <c r="AC31" s="1237">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231"/>
      <c r="Q32" s="1233" t="str">
        <f t="shared" si="8"/>
        <v>公共部分装修</v>
      </c>
      <c r="R32" s="1234" t="s">
        <v>5</v>
      </c>
      <c r="S32" s="1235">
        <f t="shared" si="9"/>
        <v>100</v>
      </c>
      <c r="T32" s="1234" t="s">
        <v>5</v>
      </c>
      <c r="U32" s="1235">
        <f t="shared" si="10"/>
        <v>100</v>
      </c>
      <c r="V32" s="1234" t="s">
        <v>5</v>
      </c>
      <c r="W32" s="1235">
        <f t="shared" si="11"/>
        <v>100</v>
      </c>
      <c r="X32" s="1228"/>
      <c r="Y32" s="4231"/>
      <c r="Z32" s="1236" t="str">
        <f t="shared" si="12"/>
        <v>公共部分装修</v>
      </c>
      <c r="AA32" s="1237">
        <f t="shared" si="3"/>
        <v>1</v>
      </c>
      <c r="AB32" s="1237">
        <f t="shared" si="4"/>
        <v>1</v>
      </c>
      <c r="AC32" s="1237">
        <f t="shared" si="5"/>
        <v>1</v>
      </c>
    </row>
    <row r="33" spans="1:29" ht="15">
      <c r="A33" s="452"/>
      <c r="B33" s="385" t="s">
        <v>704</v>
      </c>
      <c r="C33" s="724"/>
      <c r="D33" s="398">
        <v>100</v>
      </c>
      <c r="E33" s="727"/>
      <c r="F33" s="433" t="e">
        <f>LOOKUP(E33,98:98,99:99)-LOOKUP(C33,98:98,99:99)+100</f>
        <v>#N/A</v>
      </c>
      <c r="G33" s="727"/>
      <c r="H33" s="433" t="e">
        <f>LOOKUP(G33,98:98,99:99)-LOOKUP(C33,98:98,99:99)+100</f>
        <v>#N/A</v>
      </c>
      <c r="I33" s="727"/>
      <c r="J33" s="398" t="e">
        <f>LOOKUP(I33,98:98,99:99)-LOOKUP(C33,98:98,99:99)+100</f>
        <v>#N/A</v>
      </c>
      <c r="K33" s="442"/>
      <c r="L33" s="1662"/>
      <c r="M33" s="1654"/>
      <c r="N33" s="1654"/>
      <c r="O33" s="1661"/>
      <c r="P33" s="4231"/>
      <c r="Q33" s="1233" t="str">
        <f t="shared" si="8"/>
        <v>成新度</v>
      </c>
      <c r="R33" s="1234" t="s">
        <v>5</v>
      </c>
      <c r="S33" s="1235" t="e">
        <f t="shared" si="9"/>
        <v>#N/A</v>
      </c>
      <c r="T33" s="1234" t="s">
        <v>5</v>
      </c>
      <c r="U33" s="1235" t="e">
        <f t="shared" si="10"/>
        <v>#N/A</v>
      </c>
      <c r="V33" s="1234" t="s">
        <v>5</v>
      </c>
      <c r="W33" s="1235" t="e">
        <f t="shared" si="11"/>
        <v>#N/A</v>
      </c>
      <c r="X33" s="1228"/>
      <c r="Y33" s="4231"/>
      <c r="Z33" s="1236" t="str">
        <f t="shared" si="12"/>
        <v>成新度</v>
      </c>
      <c r="AA33" s="1237" t="e">
        <f t="shared" si="3"/>
        <v>#N/A</v>
      </c>
      <c r="AB33" s="1237" t="e">
        <f t="shared" si="4"/>
        <v>#N/A</v>
      </c>
      <c r="AC33" s="1237" t="e">
        <f t="shared" si="5"/>
        <v>#N/A</v>
      </c>
    </row>
    <row r="34" spans="1:29" s="981"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231"/>
      <c r="Q34" s="929" t="str">
        <f t="shared" si="8"/>
        <v>物业管理</v>
      </c>
      <c r="R34" s="1229" t="s">
        <v>5</v>
      </c>
      <c r="S34" s="1230">
        <f t="shared" si="9"/>
        <v>100</v>
      </c>
      <c r="T34" s="1229" t="s">
        <v>5</v>
      </c>
      <c r="U34" s="1230">
        <f t="shared" si="10"/>
        <v>100</v>
      </c>
      <c r="V34" s="1229" t="s">
        <v>5</v>
      </c>
      <c r="W34" s="1230">
        <f t="shared" si="11"/>
        <v>100</v>
      </c>
      <c r="X34" s="1231"/>
      <c r="Y34" s="4231"/>
      <c r="Z34" s="928" t="str">
        <f t="shared" si="12"/>
        <v>物业管理</v>
      </c>
      <c r="AA34" s="1232">
        <f t="shared" si="3"/>
        <v>1</v>
      </c>
      <c r="AB34" s="1232">
        <f t="shared" si="4"/>
        <v>1</v>
      </c>
      <c r="AC34" s="1232">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231" t="s">
        <v>499</v>
      </c>
      <c r="Q35" s="1233" t="str">
        <f t="shared" si="8"/>
        <v>市政基础设施</v>
      </c>
      <c r="R35" s="1234" t="s">
        <v>5</v>
      </c>
      <c r="S35" s="1235">
        <f t="shared" si="9"/>
        <v>100</v>
      </c>
      <c r="T35" s="1234" t="s">
        <v>5</v>
      </c>
      <c r="U35" s="1235">
        <f t="shared" si="10"/>
        <v>100</v>
      </c>
      <c r="V35" s="1234" t="s">
        <v>5</v>
      </c>
      <c r="W35" s="1235">
        <f t="shared" si="11"/>
        <v>100</v>
      </c>
      <c r="X35" s="1228"/>
      <c r="Y35" s="4231" t="s">
        <v>499</v>
      </c>
      <c r="Z35" s="1236" t="str">
        <f t="shared" si="12"/>
        <v>市政基础设施</v>
      </c>
      <c r="AA35" s="1237">
        <f t="shared" si="3"/>
        <v>1</v>
      </c>
      <c r="AB35" s="1237">
        <f t="shared" si="4"/>
        <v>1</v>
      </c>
      <c r="AC35" s="1237">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231"/>
      <c r="Q36" s="1233" t="str">
        <f t="shared" si="8"/>
        <v>内部装修</v>
      </c>
      <c r="R36" s="1234" t="s">
        <v>5</v>
      </c>
      <c r="S36" s="1235">
        <f t="shared" si="9"/>
        <v>100</v>
      </c>
      <c r="T36" s="1234" t="s">
        <v>5</v>
      </c>
      <c r="U36" s="1235">
        <f t="shared" si="10"/>
        <v>100</v>
      </c>
      <c r="V36" s="1234" t="s">
        <v>5</v>
      </c>
      <c r="W36" s="1235">
        <f t="shared" si="11"/>
        <v>100</v>
      </c>
      <c r="X36" s="1228"/>
      <c r="Y36" s="4231"/>
      <c r="Z36" s="1236" t="str">
        <f t="shared" si="12"/>
        <v>内部装修</v>
      </c>
      <c r="AA36" s="1237">
        <f t="shared" si="3"/>
        <v>1</v>
      </c>
      <c r="AB36" s="1237">
        <f t="shared" si="4"/>
        <v>1</v>
      </c>
      <c r="AC36" s="1237">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231"/>
      <c r="Q37" s="1233" t="str">
        <f t="shared" si="8"/>
        <v>内部装修状况</v>
      </c>
      <c r="R37" s="1234" t="s">
        <v>5</v>
      </c>
      <c r="S37" s="1235">
        <f t="shared" si="9"/>
        <v>100</v>
      </c>
      <c r="T37" s="1234" t="s">
        <v>5</v>
      </c>
      <c r="U37" s="1235">
        <f t="shared" si="10"/>
        <v>100</v>
      </c>
      <c r="V37" s="1234" t="s">
        <v>5</v>
      </c>
      <c r="W37" s="1235">
        <f t="shared" si="11"/>
        <v>100</v>
      </c>
      <c r="X37" s="1228"/>
      <c r="Y37" s="4231"/>
      <c r="Z37" s="1236" t="str">
        <f t="shared" si="12"/>
        <v>内部装修状况</v>
      </c>
      <c r="AA37" s="1237">
        <f t="shared" si="3"/>
        <v>1</v>
      </c>
      <c r="AB37" s="1237">
        <f t="shared" si="4"/>
        <v>1</v>
      </c>
      <c r="AC37" s="1237">
        <f t="shared" si="5"/>
        <v>1</v>
      </c>
    </row>
    <row r="38" spans="1:29" s="1063" customFormat="1" ht="15">
      <c r="A38" s="461"/>
      <c r="B38" s="721">
        <v>111</v>
      </c>
      <c r="C38" s="724"/>
      <c r="D38" s="398">
        <v>100</v>
      </c>
      <c r="E38" s="397"/>
      <c r="F38" s="433">
        <f>SUMIF(108:108,E38,109:109)-SUMIF(108:108,C38,109:109)+100</f>
        <v>100</v>
      </c>
      <c r="G38" s="724"/>
      <c r="H38" s="398">
        <f>SUMIF(108:108,G38,109:109)-SUMIF(108:108,C38,109:109)+100</f>
        <v>100</v>
      </c>
      <c r="I38" s="724"/>
      <c r="J38" s="398">
        <f>SUMIF(108:108,I38,109:1038)-SUMIF(108:108,C38,109:109)+100</f>
        <v>100</v>
      </c>
      <c r="K38" s="439"/>
      <c r="L38" s="1660"/>
      <c r="M38" s="1690"/>
      <c r="N38" s="1690"/>
      <c r="O38" s="1663"/>
      <c r="P38" s="4231"/>
      <c r="Q38" s="1260">
        <f t="shared" si="8"/>
        <v>111</v>
      </c>
      <c r="R38" s="1238" t="s">
        <v>5</v>
      </c>
      <c r="S38" s="1239">
        <f t="shared" si="9"/>
        <v>100</v>
      </c>
      <c r="T38" s="1238" t="s">
        <v>5</v>
      </c>
      <c r="U38" s="1239">
        <f t="shared" si="10"/>
        <v>100</v>
      </c>
      <c r="V38" s="1238" t="s">
        <v>5</v>
      </c>
      <c r="W38" s="1239">
        <f t="shared" si="11"/>
        <v>100</v>
      </c>
      <c r="X38" s="1240"/>
      <c r="Y38" s="4231"/>
      <c r="Z38" s="1241">
        <f t="shared" si="12"/>
        <v>111</v>
      </c>
      <c r="AA38" s="1237">
        <f t="shared" si="3"/>
        <v>1</v>
      </c>
      <c r="AB38" s="1237">
        <f t="shared" si="4"/>
        <v>1</v>
      </c>
      <c r="AC38" s="1237">
        <f t="shared" si="5"/>
        <v>1</v>
      </c>
    </row>
    <row r="39" spans="1:29" ht="15">
      <c r="A39" s="452"/>
      <c r="B39" s="721">
        <v>111</v>
      </c>
      <c r="C39" s="724"/>
      <c r="D39" s="398">
        <v>100</v>
      </c>
      <c r="E39" s="397"/>
      <c r="F39" s="433">
        <f>SUMIF(110:110,E39,111:111)-SUMIF(110:110,C39,111:111)+100</f>
        <v>100</v>
      </c>
      <c r="G39" s="724"/>
      <c r="H39" s="398">
        <f>SUMIF(110:110,G39,111:111)-SUMIF(110:110,C39,111:111)+100</f>
        <v>100</v>
      </c>
      <c r="I39" s="724"/>
      <c r="J39" s="398">
        <f>SUMIF(110:110,I39,111:111)-SUMIF(110:110,C39,111:111)+100</f>
        <v>100</v>
      </c>
      <c r="K39" s="439"/>
      <c r="L39" s="1662"/>
      <c r="M39" s="1654"/>
      <c r="N39" s="1654"/>
      <c r="O39" s="1661"/>
      <c r="P39" s="4231"/>
      <c r="Q39" s="1233">
        <f t="shared" si="8"/>
        <v>111</v>
      </c>
      <c r="R39" s="1234" t="s">
        <v>5</v>
      </c>
      <c r="S39" s="1235">
        <f t="shared" si="9"/>
        <v>100</v>
      </c>
      <c r="T39" s="1234" t="s">
        <v>5</v>
      </c>
      <c r="U39" s="1235">
        <f t="shared" si="10"/>
        <v>100</v>
      </c>
      <c r="V39" s="1234" t="s">
        <v>5</v>
      </c>
      <c r="W39" s="1235">
        <f t="shared" si="11"/>
        <v>100</v>
      </c>
      <c r="X39" s="1228"/>
      <c r="Y39" s="4231"/>
      <c r="Z39" s="1236">
        <f t="shared" si="12"/>
        <v>111</v>
      </c>
      <c r="AA39" s="1237">
        <f t="shared" si="3"/>
        <v>1</v>
      </c>
      <c r="AB39" s="1237">
        <f t="shared" si="4"/>
        <v>1</v>
      </c>
      <c r="AC39" s="1237">
        <f t="shared" si="5"/>
        <v>1</v>
      </c>
    </row>
    <row r="40" spans="1:29" ht="15.75" thickBot="1">
      <c r="A40" s="730"/>
      <c r="B40" s="402">
        <v>111</v>
      </c>
      <c r="C40" s="403"/>
      <c r="D40" s="404">
        <v>100</v>
      </c>
      <c r="E40" s="397"/>
      <c r="F40" s="710">
        <f>SUMIF(112:112,E40,113:113)-SUMIF(112:112,C40,113:113)+100</f>
        <v>100</v>
      </c>
      <c r="G40" s="724"/>
      <c r="H40" s="404">
        <f>SUMIF(112:112,G40,113:113)-SUMIF(112:112,C40,113:113)+100</f>
        <v>100</v>
      </c>
      <c r="I40" s="724"/>
      <c r="J40" s="404">
        <f>SUMIF(112:112,I40,113:113)-SUMIF(112:112,C40,113:113)+100</f>
        <v>100</v>
      </c>
      <c r="K40" s="439"/>
      <c r="L40" s="1662"/>
      <c r="M40" s="1654"/>
      <c r="N40" s="1654"/>
      <c r="O40" s="1661"/>
      <c r="P40" s="4289"/>
      <c r="Q40" s="1233">
        <f t="shared" si="8"/>
        <v>111</v>
      </c>
      <c r="R40" s="1234" t="s">
        <v>5</v>
      </c>
      <c r="S40" s="1235">
        <f t="shared" si="9"/>
        <v>100</v>
      </c>
      <c r="T40" s="1234" t="s">
        <v>5</v>
      </c>
      <c r="U40" s="1235">
        <f t="shared" si="10"/>
        <v>100</v>
      </c>
      <c r="V40" s="1234" t="s">
        <v>5</v>
      </c>
      <c r="W40" s="1235">
        <f t="shared" si="11"/>
        <v>100</v>
      </c>
      <c r="X40" s="1228"/>
      <c r="Y40" s="4289"/>
      <c r="Z40" s="1236">
        <f t="shared" si="12"/>
        <v>111</v>
      </c>
      <c r="AA40" s="1237">
        <f t="shared" si="3"/>
        <v>1</v>
      </c>
      <c r="AB40" s="1237">
        <f t="shared" si="4"/>
        <v>1</v>
      </c>
      <c r="AC40" s="1237">
        <f t="shared" si="5"/>
        <v>1</v>
      </c>
    </row>
    <row r="41" spans="1:29" ht="15">
      <c r="A41" s="465" t="s">
        <v>683</v>
      </c>
      <c r="B41" s="731"/>
      <c r="C41" s="1998" t="s">
        <v>0</v>
      </c>
      <c r="D41" s="1999"/>
      <c r="E41" s="2000"/>
      <c r="F41" s="2001"/>
      <c r="G41" s="2002"/>
      <c r="H41" s="2003"/>
      <c r="I41" s="2000"/>
      <c r="J41" s="2003"/>
      <c r="K41" s="1265"/>
      <c r="L41" s="1664"/>
      <c r="M41" s="1665"/>
      <c r="N41" s="1654"/>
      <c r="O41" s="1665"/>
      <c r="P41" s="4195" t="str">
        <f>A41</f>
        <v>成交单价（元/平方米）</v>
      </c>
      <c r="Q41" s="4195"/>
      <c r="R41" s="4287">
        <f>E41</f>
        <v>0</v>
      </c>
      <c r="S41" s="4287"/>
      <c r="T41" s="4287">
        <f>G41</f>
        <v>0</v>
      </c>
      <c r="U41" s="4287"/>
      <c r="V41" s="4287">
        <f>I41</f>
        <v>0</v>
      </c>
      <c r="W41" s="4287"/>
      <c r="X41" s="1223"/>
      <c r="Y41" s="1242"/>
      <c r="Z41" s="1223"/>
      <c r="AA41" s="1223"/>
      <c r="AB41" s="1223"/>
      <c r="AC41" s="1223"/>
    </row>
    <row r="42" spans="1:29" ht="15.75" thickBot="1">
      <c r="A42" s="473" t="s">
        <v>1951</v>
      </c>
      <c r="B42" s="732"/>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195" t="str">
        <f>A42</f>
        <v>比较价格（元/平方米）</v>
      </c>
      <c r="Q42" s="4195"/>
      <c r="R42" s="4287" t="e">
        <f>IF(F1="售价",ROUND(PRODUCT(R41,AA7:AA40),0),ROUND(PRODUCT(R41,AA7:AA40),1))</f>
        <v>#DIV/0!</v>
      </c>
      <c r="S42" s="4287"/>
      <c r="T42" s="4287" t="e">
        <f>IF(F1="售价",ROUND(PRODUCT(T41,AB7:AB40),0),ROUND(PRODUCT(T41,AB7:AB40),1))</f>
        <v>#DIV/0!</v>
      </c>
      <c r="U42" s="4287"/>
      <c r="V42" s="4287" t="e">
        <f>IF(F1="售价",ROUND(PRODUCT(V41,AC7:AC40),0),ROUND(PRODUCT(V41,AC7:AC40),1))</f>
        <v>#DIV/0!</v>
      </c>
      <c r="W42" s="4287"/>
      <c r="X42" s="1223"/>
      <c r="Y42" s="1223"/>
      <c r="Z42" s="1223"/>
      <c r="AA42" s="1223"/>
      <c r="AB42" s="1223"/>
      <c r="AC42" s="1223"/>
    </row>
    <row r="43" spans="1:29" ht="15.75" thickBot="1">
      <c r="A43" s="477" t="s">
        <v>2106</v>
      </c>
      <c r="B43" s="478"/>
      <c r="C43" s="2006" t="e">
        <f>R43</f>
        <v>#DIV/0!</v>
      </c>
      <c r="D43" s="2006"/>
      <c r="E43" s="2006"/>
      <c r="F43" s="2006"/>
      <c r="G43" s="2006"/>
      <c r="H43" s="2006"/>
      <c r="I43" s="2006"/>
      <c r="J43" s="2006"/>
      <c r="K43" s="1266"/>
      <c r="L43" s="1664"/>
      <c r="M43" s="1665"/>
      <c r="N43" s="1665"/>
      <c r="O43" s="1665"/>
      <c r="P43" s="4232" t="str">
        <f>A43</f>
        <v>估价对象XX用房的比较价格（楼面单价，元/平方米）</v>
      </c>
      <c r="Q43" s="4233"/>
      <c r="R43" s="4288" t="e">
        <f>IF(F1="售价",ROUND(IF(D42="简单平均",AVERAGE(R42:V42),R42*F42+T42*H42+V42*J42),0),ROUND(IF(D42="简单平均",AVERAGE(R42:V42),R42*F42+T42*H42+V42*J42),1))</f>
        <v>#DIV/0!</v>
      </c>
      <c r="S43" s="4288"/>
      <c r="T43" s="4288"/>
      <c r="U43" s="4288"/>
      <c r="V43" s="4288"/>
      <c r="W43" s="4288"/>
      <c r="X43" s="1223"/>
      <c r="Y43" s="1223"/>
      <c r="Z43" s="1223"/>
      <c r="AA43" s="1223"/>
      <c r="AB43" s="1223"/>
      <c r="AC43" s="1223"/>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8"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8"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5" t="s">
        <v>522</v>
      </c>
      <c r="B51" s="1223"/>
      <c r="C51" s="1244"/>
      <c r="D51" s="1244"/>
      <c r="E51" s="1244"/>
      <c r="F51" s="1246"/>
      <c r="G51" s="1246"/>
      <c r="H51" s="1244"/>
      <c r="I51" s="1244"/>
      <c r="J51" s="1244"/>
      <c r="K51" s="1247"/>
      <c r="L51" s="1243"/>
      <c r="M51" s="1244"/>
      <c r="N51" s="1676"/>
      <c r="O51" s="1676"/>
      <c r="P51" s="1676"/>
      <c r="Q51" s="1677"/>
      <c r="R51" s="1665"/>
      <c r="S51" s="1665"/>
      <c r="T51" s="1665"/>
      <c r="U51" s="1665"/>
      <c r="V51" s="1665"/>
      <c r="W51" s="1665"/>
      <c r="X51" s="1665"/>
      <c r="Y51" s="1665"/>
      <c r="Z51" s="1665"/>
      <c r="AA51" s="1665"/>
      <c r="AB51" s="1665"/>
      <c r="AC51" s="1665"/>
    </row>
    <row r="52" spans="1:29" s="1070"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1"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1"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1"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1"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3"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3"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3"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3"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3"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3"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9"/>
      <c r="I76" s="779"/>
      <c r="J76" s="779"/>
      <c r="K76" s="779"/>
      <c r="L76" s="779"/>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1" customFormat="1" ht="15.75" thickTop="1">
      <c r="A80" s="565"/>
      <c r="B80" s="529">
        <f>B25</f>
        <v>111</v>
      </c>
      <c r="C80" s="544"/>
      <c r="D80" s="544"/>
      <c r="E80" s="544"/>
      <c r="F80" s="544"/>
      <c r="G80" s="544"/>
      <c r="H80" s="544"/>
      <c r="I80" s="544"/>
      <c r="J80" s="544"/>
      <c r="K80" s="544"/>
      <c r="L80" s="734"/>
      <c r="M80" s="735"/>
      <c r="N80" s="1681"/>
      <c r="O80" s="1681"/>
      <c r="P80" s="1684"/>
      <c r="Q80" s="1677"/>
      <c r="R80" s="1566"/>
      <c r="S80" s="1566"/>
      <c r="T80" s="1566"/>
      <c r="U80" s="1566"/>
      <c r="V80" s="1566"/>
      <c r="W80" s="1566"/>
      <c r="X80" s="1566"/>
      <c r="Y80" s="1566"/>
      <c r="Z80" s="1566"/>
      <c r="AA80" s="1566"/>
      <c r="AB80" s="1566"/>
      <c r="AC80" s="1566"/>
    </row>
    <row r="81" spans="1:29" s="981"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1" customFormat="1" ht="15.75" thickTop="1">
      <c r="A82" s="565"/>
      <c r="B82" s="529">
        <f>B26</f>
        <v>111</v>
      </c>
      <c r="C82" s="544"/>
      <c r="D82" s="544"/>
      <c r="E82" s="544"/>
      <c r="F82" s="544"/>
      <c r="G82" s="544"/>
      <c r="H82" s="544"/>
      <c r="I82" s="544"/>
      <c r="J82" s="544"/>
      <c r="K82" s="544"/>
      <c r="L82" s="734"/>
      <c r="M82" s="735"/>
      <c r="N82" s="1681"/>
      <c r="O82" s="1681"/>
      <c r="P82" s="1684"/>
      <c r="Q82" s="1677"/>
      <c r="R82" s="1566"/>
      <c r="S82" s="1566"/>
      <c r="T82" s="1566"/>
      <c r="U82" s="1566"/>
      <c r="V82" s="1566"/>
      <c r="W82" s="1566"/>
      <c r="X82" s="1566"/>
      <c r="Y82" s="1566"/>
      <c r="Z82" s="1566"/>
      <c r="AA82" s="1566"/>
      <c r="AB82" s="1566"/>
      <c r="AC82" s="1566"/>
    </row>
    <row r="83" spans="1:29" s="981"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3" customFormat="1" ht="15.75" thickTop="1">
      <c r="A84" s="543"/>
      <c r="B84" s="529">
        <f>B27</f>
        <v>111</v>
      </c>
      <c r="C84" s="544"/>
      <c r="D84" s="544"/>
      <c r="E84" s="544"/>
      <c r="F84" s="544"/>
      <c r="G84" s="544"/>
      <c r="H84" s="544"/>
      <c r="I84" s="544"/>
      <c r="J84" s="544"/>
      <c r="K84" s="544"/>
      <c r="L84" s="734"/>
      <c r="M84" s="735"/>
      <c r="N84" s="1686"/>
      <c r="O84" s="1686"/>
      <c r="P84" s="1687"/>
      <c r="Q84" s="1688"/>
      <c r="R84" s="1689"/>
      <c r="S84" s="1689"/>
      <c r="T84" s="1689"/>
      <c r="U84" s="1689"/>
      <c r="V84" s="1689"/>
      <c r="W84" s="1689"/>
      <c r="X84" s="1689"/>
      <c r="Y84" s="1689"/>
      <c r="Z84" s="1689"/>
      <c r="AA84" s="1689"/>
      <c r="AB84" s="1689"/>
      <c r="AC84" s="1689"/>
    </row>
    <row r="85" spans="1:29" s="1063"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7"/>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3"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8">
        <v>0.5</v>
      </c>
      <c r="D98" s="738">
        <v>0.6</v>
      </c>
      <c r="E98" s="738">
        <v>0.7</v>
      </c>
      <c r="F98" s="738">
        <v>0.8</v>
      </c>
      <c r="G98" s="738">
        <v>0.9</v>
      </c>
      <c r="H98" s="738">
        <v>1.0001</v>
      </c>
      <c r="I98" s="749"/>
      <c r="J98" s="749"/>
      <c r="K98" s="750"/>
      <c r="L98" s="751"/>
      <c r="M98" s="752"/>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3"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3"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1"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3"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3"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7"/>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3000-000000000000}">
      <formula1>项目类型</formula1>
    </dataValidation>
    <dataValidation type="list" allowBlank="1" showInputMessage="1" showErrorMessage="1" sqref="C20 G20 I20 E20" xr:uid="{00000000-0002-0000-3000-000001000000}">
      <formula1>公共配套设施</formula1>
    </dataValidation>
    <dataValidation type="list" allowBlank="1" showInputMessage="1" showErrorMessage="1" sqref="E18 G18 I18 C18" xr:uid="{00000000-0002-0000-3000-000002000000}">
      <formula1>交通便捷度</formula1>
    </dataValidation>
    <dataValidation type="list" allowBlank="1" showInputMessage="1" showErrorMessage="1" sqref="E24 G24 I24 C24" xr:uid="{00000000-0002-0000-3000-000003000000}">
      <formula1>环境</formula1>
    </dataValidation>
    <dataValidation type="list" allowBlank="1" showInputMessage="1" showErrorMessage="1" sqref="C8 E8 G8 I8" xr:uid="{00000000-0002-0000-3000-000004000000}">
      <formula1>工业交易情况</formula1>
    </dataValidation>
    <dataValidation type="list" allowBlank="1" showInputMessage="1" showErrorMessage="1" sqref="E9 G9 I9" xr:uid="{00000000-0002-0000-3000-000005000000}">
      <formula1>工业用途</formula1>
    </dataValidation>
    <dataValidation type="list" allowBlank="1" showInputMessage="1" showErrorMessage="1" sqref="C29 E29 G29 I29" xr:uid="{00000000-0002-0000-3000-000006000000}">
      <formula1>工业建筑类型</formula1>
    </dataValidation>
    <dataValidation type="list" allowBlank="1" showInputMessage="1" showErrorMessage="1" sqref="C31 E31 G31 I31" xr:uid="{00000000-0002-0000-3000-000007000000}">
      <formula1>工业建筑结构</formula1>
    </dataValidation>
    <dataValidation type="list" allowBlank="1" showInputMessage="1" showErrorMessage="1" sqref="C32 E32 G32 I32" xr:uid="{00000000-0002-0000-3000-000008000000}">
      <formula1>工业公共部分装修</formula1>
    </dataValidation>
    <dataValidation type="list" allowBlank="1" showInputMessage="1" showErrorMessage="1" sqref="C34 E34 G34 I34" xr:uid="{00000000-0002-0000-3000-000009000000}">
      <formula1>工业物业管理</formula1>
    </dataValidation>
    <dataValidation type="list" allowBlank="1" showInputMessage="1" showErrorMessage="1" sqref="C35 E35 G35 I35" xr:uid="{00000000-0002-0000-3000-00000A000000}">
      <formula1>工业基础设施水平</formula1>
    </dataValidation>
    <dataValidation type="list" allowBlank="1" showInputMessage="1" showErrorMessage="1" sqref="C36 E36 G36 I36" xr:uid="{00000000-0002-0000-3000-00000B000000}">
      <formula1>工业内部装修</formula1>
    </dataValidation>
    <dataValidation type="list" allowBlank="1" showInputMessage="1" showErrorMessage="1" sqref="C37 E37 G37 I37" xr:uid="{00000000-0002-0000-3000-00000C000000}">
      <formula1>内部装修维护情况</formula1>
    </dataValidation>
    <dataValidation type="list" allowBlank="1" showInputMessage="1" showErrorMessage="1" sqref="C16 E16 G16 I16" xr:uid="{00000000-0002-0000-3000-00000D000000}">
      <formula1>产业集聚程度</formula1>
    </dataValidation>
    <dataValidation type="list" allowBlank="1" showInputMessage="1" showErrorMessage="1" sqref="C22 E22 G22 I22" xr:uid="{00000000-0002-0000-3000-00000E000000}">
      <formula1>基础设施水平</formula1>
    </dataValidation>
    <dataValidation type="list" allowBlank="1" showInputMessage="1" showErrorMessage="1" sqref="F1" xr:uid="{00000000-0002-0000-3000-00000F000000}">
      <formula1>"售价,租金"</formula1>
    </dataValidation>
    <dataValidation type="list" allowBlank="1" showInputMessage="1" showErrorMessage="1" sqref="D42" xr:uid="{00000000-0002-0000-30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IF(B37="元/平方米",C39,ROUND(B2*10000/D3,0))</f>
        <v>#DIV/0!</v>
      </c>
      <c r="C3" s="698" t="s">
        <v>736</v>
      </c>
      <c r="D3" s="697">
        <f>SUMIF('数据-汇总表'!$C19:$C33,D1,'数据-汇总表'!$E19:$E33)</f>
        <v>0</v>
      </c>
      <c r="E3" s="1462" t="s">
        <v>1513</v>
      </c>
      <c r="F3" s="697">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1" t="s">
        <v>738</v>
      </c>
      <c r="D4" s="4202"/>
      <c r="E4" s="4201" t="s">
        <v>739</v>
      </c>
      <c r="F4" s="4202"/>
      <c r="G4" s="4201" t="s">
        <v>740</v>
      </c>
      <c r="H4" s="4202"/>
      <c r="I4" s="4201" t="s">
        <v>741</v>
      </c>
      <c r="J4" s="4202"/>
      <c r="K4" s="372" t="s">
        <v>742</v>
      </c>
      <c r="L4" s="1653"/>
      <c r="M4" s="1654"/>
      <c r="N4" s="1654"/>
      <c r="O4" s="1654"/>
      <c r="P4" s="4203" t="s">
        <v>743</v>
      </c>
      <c r="Q4" s="4204"/>
      <c r="R4" s="4209" t="s">
        <v>739</v>
      </c>
      <c r="S4" s="4210"/>
      <c r="T4" s="4209" t="s">
        <v>740</v>
      </c>
      <c r="U4" s="4210"/>
      <c r="V4" s="4196" t="s">
        <v>741</v>
      </c>
      <c r="W4" s="4196"/>
      <c r="X4" s="1228"/>
      <c r="Y4" s="4209" t="s">
        <v>743</v>
      </c>
      <c r="Z4" s="4210"/>
      <c r="AA4" s="4198" t="s">
        <v>739</v>
      </c>
      <c r="AB4" s="4199" t="s">
        <v>740</v>
      </c>
      <c r="AC4" s="4198" t="s">
        <v>741</v>
      </c>
    </row>
    <row r="5" spans="1:29" ht="15">
      <c r="A5" s="373"/>
      <c r="B5" s="374"/>
      <c r="C5" s="4217" t="s">
        <v>2100</v>
      </c>
      <c r="D5" s="4218"/>
      <c r="E5" s="4217" t="s">
        <v>2101</v>
      </c>
      <c r="F5" s="4218"/>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19" t="s">
        <v>2104</v>
      </c>
      <c r="F6" s="4220"/>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SUMIF(48:48,YEAR(E7)&amp;"-"&amp;MONTH(E7),49:49)</f>
        <v>0</v>
      </c>
      <c r="G7" s="381"/>
      <c r="H7" s="378">
        <f>SUMIF(48:48,YEAR(G7)&amp;"-"&amp;MONTH(G7),49:49)</f>
        <v>0</v>
      </c>
      <c r="I7" s="381"/>
      <c r="J7" s="378">
        <f>SUMIF(48:48,YEAR(I7)&amp;"-"&amp;MONTH(I7),49:49)</f>
        <v>0</v>
      </c>
      <c r="K7" s="382"/>
      <c r="L7" s="1655"/>
      <c r="M7" s="1656"/>
      <c r="N7" s="1656"/>
      <c r="O7" s="1656"/>
      <c r="P7" s="4225" t="s">
        <v>479</v>
      </c>
      <c r="Q7" s="4227"/>
      <c r="R7" s="1229" t="s">
        <v>5</v>
      </c>
      <c r="S7" s="1230">
        <f t="shared" ref="S7:S14" si="0">F7</f>
        <v>0</v>
      </c>
      <c r="T7" s="1229" t="s">
        <v>5</v>
      </c>
      <c r="U7" s="1230">
        <f t="shared" ref="U7:U14" si="1">H7</f>
        <v>0</v>
      </c>
      <c r="V7" s="1229" t="s">
        <v>5</v>
      </c>
      <c r="W7" s="1230">
        <f t="shared" ref="W7:W14"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36" si="3">D8/F8</f>
        <v>#DIV/0!</v>
      </c>
      <c r="AB8" s="1232" t="e">
        <f t="shared" ref="AB8:AB36" si="4">D8/H8</f>
        <v>#DIV/0!</v>
      </c>
      <c r="AC8" s="1232" t="e">
        <f t="shared" ref="AC8:AC36" si="5">D8/J8</f>
        <v>#DIV/0!</v>
      </c>
    </row>
    <row r="9" spans="1:29" s="981" customFormat="1" ht="15">
      <c r="A9" s="2105"/>
      <c r="B9" s="2112" t="s">
        <v>1947</v>
      </c>
      <c r="C9" s="703"/>
      <c r="D9" s="144">
        <v>100</v>
      </c>
      <c r="E9" s="706"/>
      <c r="F9" s="144">
        <f>SUMIF(53:53,E9,54:54)-SUMIF(53:53,C9,54:54)+100</f>
        <v>100</v>
      </c>
      <c r="G9" s="704"/>
      <c r="H9" s="144">
        <f>SUMIF(53:53,G9,54:54)-SUMIF(53:53,C9,54:54)+100</f>
        <v>100</v>
      </c>
      <c r="I9" s="704"/>
      <c r="J9" s="144">
        <f>SUMIF(53:53,I9,54:54)-SUMIF(53:53,C9,54:54)+100</f>
        <v>100</v>
      </c>
      <c r="K9" s="382"/>
      <c r="L9" s="1655"/>
      <c r="M9" s="1656"/>
      <c r="N9" s="1656"/>
      <c r="O9" s="1657"/>
      <c r="P9" s="4195" t="s">
        <v>484</v>
      </c>
      <c r="Q9" s="929" t="str">
        <f t="shared" ref="Q9:Q14" si="6">B9</f>
        <v>用途</v>
      </c>
      <c r="R9" s="1229" t="s">
        <v>5</v>
      </c>
      <c r="S9" s="1230">
        <f t="shared" si="0"/>
        <v>100</v>
      </c>
      <c r="T9" s="1229" t="s">
        <v>5</v>
      </c>
      <c r="U9" s="1230">
        <f t="shared" si="1"/>
        <v>100</v>
      </c>
      <c r="V9" s="1229" t="s">
        <v>5</v>
      </c>
      <c r="W9" s="1230">
        <f t="shared" si="2"/>
        <v>100</v>
      </c>
      <c r="X9" s="1231"/>
      <c r="Y9" s="4076"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195"/>
      <c r="Q11" s="929">
        <f t="shared" si="6"/>
        <v>111</v>
      </c>
      <c r="R11" s="1229" t="s">
        <v>5</v>
      </c>
      <c r="S11" s="1230">
        <f t="shared" si="0"/>
        <v>100</v>
      </c>
      <c r="T11" s="1229" t="s">
        <v>5</v>
      </c>
      <c r="U11" s="1230">
        <f t="shared" si="1"/>
        <v>100</v>
      </c>
      <c r="V11" s="1229" t="s">
        <v>5</v>
      </c>
      <c r="W11" s="1230">
        <f t="shared" si="2"/>
        <v>100</v>
      </c>
      <c r="X11" s="1231"/>
      <c r="Y11" s="4076"/>
      <c r="Z11" s="928">
        <f t="shared" si="7"/>
        <v>111</v>
      </c>
      <c r="AA11" s="1232">
        <f t="shared" si="3"/>
        <v>1</v>
      </c>
      <c r="AB11" s="1232">
        <f t="shared" si="4"/>
        <v>1</v>
      </c>
      <c r="AC11" s="1232">
        <f t="shared" si="5"/>
        <v>1</v>
      </c>
    </row>
    <row r="12" spans="1:29" s="981"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85.5">
      <c r="A14" s="2101" t="s">
        <v>1945</v>
      </c>
      <c r="B14" s="405" t="s">
        <v>492</v>
      </c>
      <c r="C14" s="765"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2"/>
      <c r="L14" s="1662"/>
      <c r="M14" s="1654"/>
      <c r="N14" s="1654"/>
      <c r="O14" s="1661"/>
      <c r="P14" s="4228" t="s">
        <v>489</v>
      </c>
      <c r="Q14" s="1233" t="str">
        <f t="shared" si="6"/>
        <v>交通便捷度</v>
      </c>
      <c r="R14" s="1234" t="s">
        <v>5</v>
      </c>
      <c r="S14" s="1235">
        <f t="shared" si="0"/>
        <v>100</v>
      </c>
      <c r="T14" s="1234" t="s">
        <v>5</v>
      </c>
      <c r="U14" s="1235">
        <f t="shared" si="1"/>
        <v>100</v>
      </c>
      <c r="V14" s="1234" t="s">
        <v>5</v>
      </c>
      <c r="W14" s="1235">
        <f t="shared" si="2"/>
        <v>100</v>
      </c>
      <c r="X14" s="1228"/>
      <c r="Y14" s="4228" t="s">
        <v>489</v>
      </c>
      <c r="Z14" s="1236" t="str">
        <f t="shared" si="7"/>
        <v>交通便捷度</v>
      </c>
      <c r="AA14" s="1237">
        <f t="shared" si="3"/>
        <v>1</v>
      </c>
      <c r="AB14" s="1237">
        <f t="shared" si="4"/>
        <v>1</v>
      </c>
      <c r="AC14" s="1237">
        <f t="shared" si="5"/>
        <v>1</v>
      </c>
    </row>
    <row r="15" spans="1:29" ht="15">
      <c r="A15" s="373"/>
      <c r="B15" s="768"/>
      <c r="C15" s="434"/>
      <c r="D15" s="413"/>
      <c r="E15" s="434"/>
      <c r="F15" s="415"/>
      <c r="G15" s="434"/>
      <c r="H15" s="417"/>
      <c r="I15" s="434"/>
      <c r="J15" s="413"/>
      <c r="K15" s="743"/>
      <c r="L15" s="1662"/>
      <c r="M15" s="1654"/>
      <c r="N15" s="1654"/>
      <c r="O15" s="1661"/>
      <c r="P15" s="4229"/>
      <c r="Q15" s="1233"/>
      <c r="R15" s="1234"/>
      <c r="S15" s="1235"/>
      <c r="T15" s="1234"/>
      <c r="U15" s="1235"/>
      <c r="V15" s="1234"/>
      <c r="W15" s="1235"/>
      <c r="X15" s="1228"/>
      <c r="Y15" s="4229"/>
      <c r="Z15" s="1236"/>
      <c r="AA15" s="1237">
        <v>1</v>
      </c>
      <c r="AB15" s="1237">
        <v>1</v>
      </c>
      <c r="AC15" s="1237">
        <v>1</v>
      </c>
    </row>
    <row r="16" spans="1:29" ht="42.75">
      <c r="A16" s="373"/>
      <c r="B16" s="1976" t="s">
        <v>1738</v>
      </c>
      <c r="C16" s="716"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2"/>
      <c r="L16" s="1662"/>
      <c r="M16" s="1654"/>
      <c r="N16" s="1654"/>
      <c r="O16" s="1661"/>
      <c r="P16" s="4229"/>
      <c r="Q16" s="1233" t="str">
        <f>B16</f>
        <v>公共配套设施</v>
      </c>
      <c r="R16" s="1234" t="s">
        <v>5</v>
      </c>
      <c r="S16" s="1235">
        <f>F16</f>
        <v>100</v>
      </c>
      <c r="T16" s="1234" t="s">
        <v>5</v>
      </c>
      <c r="U16" s="1235">
        <f>H16</f>
        <v>100</v>
      </c>
      <c r="V16" s="1234" t="s">
        <v>5</v>
      </c>
      <c r="W16" s="1235">
        <f>J16</f>
        <v>100</v>
      </c>
      <c r="X16" s="1228"/>
      <c r="Y16" s="4229"/>
      <c r="Z16" s="1236" t="str">
        <f>Q16</f>
        <v>公共配套设施</v>
      </c>
      <c r="AA16" s="1237">
        <f t="shared" si="3"/>
        <v>1</v>
      </c>
      <c r="AB16" s="1237">
        <f t="shared" si="4"/>
        <v>1</v>
      </c>
      <c r="AC16" s="1237">
        <f t="shared" si="5"/>
        <v>1</v>
      </c>
    </row>
    <row r="17" spans="1:29" ht="15">
      <c r="A17" s="373"/>
      <c r="B17" s="424"/>
      <c r="C17" s="717"/>
      <c r="D17" s="413"/>
      <c r="E17" s="434"/>
      <c r="F17" s="415"/>
      <c r="G17" s="434"/>
      <c r="H17" s="413"/>
      <c r="I17" s="434"/>
      <c r="J17" s="413"/>
      <c r="K17" s="743"/>
      <c r="L17" s="1662"/>
      <c r="M17" s="1654"/>
      <c r="N17" s="1654"/>
      <c r="O17" s="1661"/>
      <c r="P17" s="4229"/>
      <c r="Q17" s="1233"/>
      <c r="R17" s="1234"/>
      <c r="S17" s="1235"/>
      <c r="T17" s="1234"/>
      <c r="U17" s="1235"/>
      <c r="V17" s="1234"/>
      <c r="W17" s="1235"/>
      <c r="X17" s="1228"/>
      <c r="Y17" s="4229"/>
      <c r="Z17" s="1236"/>
      <c r="AA17" s="1237">
        <v>1</v>
      </c>
      <c r="AB17" s="1237">
        <v>1</v>
      </c>
      <c r="AC17" s="1237">
        <v>1</v>
      </c>
    </row>
    <row r="18" spans="1:29" ht="28.5">
      <c r="A18" s="373"/>
      <c r="B18" s="1964" t="s">
        <v>1750</v>
      </c>
      <c r="C18" s="716"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2"/>
      <c r="L18" s="1662"/>
      <c r="M18" s="1654"/>
      <c r="N18" s="1654"/>
      <c r="O18" s="1661"/>
      <c r="P18" s="4229"/>
      <c r="Q18" s="1958" t="str">
        <f>B18</f>
        <v>基础设施水平</v>
      </c>
      <c r="R18" s="1234" t="s">
        <v>5</v>
      </c>
      <c r="S18" s="1235">
        <f>F18</f>
        <v>100</v>
      </c>
      <c r="T18" s="1234" t="s">
        <v>5</v>
      </c>
      <c r="U18" s="1235">
        <f>H18</f>
        <v>100</v>
      </c>
      <c r="V18" s="1234" t="s">
        <v>5</v>
      </c>
      <c r="W18" s="1235">
        <f>J18</f>
        <v>100</v>
      </c>
      <c r="X18" s="1960"/>
      <c r="Y18" s="4229"/>
      <c r="Z18" s="1959" t="str">
        <f>Q18</f>
        <v>基础设施水平</v>
      </c>
      <c r="AA18" s="1237">
        <f>D18/F18</f>
        <v>1</v>
      </c>
      <c r="AB18" s="1237">
        <f>D18/H18</f>
        <v>1</v>
      </c>
      <c r="AC18" s="1237">
        <f>D18/J18</f>
        <v>1</v>
      </c>
    </row>
    <row r="19" spans="1:29" ht="15">
      <c r="A19" s="373"/>
      <c r="B19" s="436"/>
      <c r="C19" s="717"/>
      <c r="D19" s="417"/>
      <c r="E19" s="434"/>
      <c r="F19" s="415"/>
      <c r="G19" s="434"/>
      <c r="H19" s="413"/>
      <c r="I19" s="434"/>
      <c r="J19" s="413"/>
      <c r="K19" s="1975"/>
      <c r="L19" s="1662"/>
      <c r="M19" s="1654"/>
      <c r="N19" s="1654"/>
      <c r="O19" s="1661"/>
      <c r="P19" s="4229"/>
      <c r="Q19" s="1958"/>
      <c r="R19" s="1234"/>
      <c r="S19" s="1235"/>
      <c r="T19" s="1234"/>
      <c r="U19" s="1235"/>
      <c r="V19" s="1234"/>
      <c r="W19" s="1235"/>
      <c r="X19" s="1960"/>
      <c r="Y19" s="4229"/>
      <c r="Z19" s="1959"/>
      <c r="AA19" s="1237">
        <v>1</v>
      </c>
      <c r="AB19" s="1237">
        <v>1</v>
      </c>
      <c r="AC19" s="1237">
        <v>1</v>
      </c>
    </row>
    <row r="20" spans="1:29" ht="57">
      <c r="A20" s="373"/>
      <c r="B20" s="418" t="s">
        <v>744</v>
      </c>
      <c r="C20" s="716"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2"/>
      <c r="L20" s="1662"/>
      <c r="M20" s="1654"/>
      <c r="N20" s="1654"/>
      <c r="O20" s="1661"/>
      <c r="P20" s="4229"/>
      <c r="Q20" s="1233" t="str">
        <f>B20</f>
        <v>自然及人文环境</v>
      </c>
      <c r="R20" s="1234" t="s">
        <v>5</v>
      </c>
      <c r="S20" s="1235">
        <f>F20</f>
        <v>100</v>
      </c>
      <c r="T20" s="1234" t="s">
        <v>5</v>
      </c>
      <c r="U20" s="1235">
        <f>H20</f>
        <v>100</v>
      </c>
      <c r="V20" s="1234" t="s">
        <v>5</v>
      </c>
      <c r="W20" s="1235">
        <f>J20</f>
        <v>100</v>
      </c>
      <c r="X20" s="1228"/>
      <c r="Y20" s="4229"/>
      <c r="Z20" s="1236" t="str">
        <f>Q20</f>
        <v>自然及人文环境</v>
      </c>
      <c r="AA20" s="1237">
        <f t="shared" si="3"/>
        <v>1</v>
      </c>
      <c r="AB20" s="1237">
        <f t="shared" si="4"/>
        <v>1</v>
      </c>
      <c r="AC20" s="1237">
        <f t="shared" si="5"/>
        <v>1</v>
      </c>
    </row>
    <row r="21" spans="1:29" ht="15">
      <c r="A21" s="373"/>
      <c r="B21" s="424"/>
      <c r="C21" s="434"/>
      <c r="D21" s="413"/>
      <c r="E21" s="434"/>
      <c r="F21" s="415"/>
      <c r="G21" s="434"/>
      <c r="H21" s="413"/>
      <c r="I21" s="434"/>
      <c r="J21" s="413"/>
      <c r="K21" s="743"/>
      <c r="L21" s="1662"/>
      <c r="M21" s="1654"/>
      <c r="N21" s="1654"/>
      <c r="O21" s="1661"/>
      <c r="P21" s="4229"/>
      <c r="Q21" s="1233"/>
      <c r="R21" s="1234"/>
      <c r="S21" s="1235"/>
      <c r="T21" s="1234"/>
      <c r="U21" s="1235"/>
      <c r="V21" s="1234"/>
      <c r="W21" s="1235"/>
      <c r="X21" s="1228"/>
      <c r="Y21" s="4229"/>
      <c r="Z21" s="1236"/>
      <c r="AA21" s="1237">
        <v>1</v>
      </c>
      <c r="AB21" s="1237">
        <v>1</v>
      </c>
      <c r="AC21" s="1237">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229"/>
      <c r="Q22" s="1233" t="str">
        <f>B22</f>
        <v>楼层</v>
      </c>
      <c r="R22" s="1234" t="s">
        <v>5</v>
      </c>
      <c r="S22" s="1235">
        <f>F22</f>
        <v>100</v>
      </c>
      <c r="T22" s="1234" t="s">
        <v>5</v>
      </c>
      <c r="U22" s="1235">
        <f>H22</f>
        <v>100</v>
      </c>
      <c r="V22" s="1234" t="s">
        <v>5</v>
      </c>
      <c r="W22" s="1235">
        <f>J22</f>
        <v>100</v>
      </c>
      <c r="X22" s="1228"/>
      <c r="Y22" s="4229"/>
      <c r="Z22" s="1236" t="str">
        <f>Q22</f>
        <v>楼层</v>
      </c>
      <c r="AA22" s="1237">
        <f t="shared" si="3"/>
        <v>1</v>
      </c>
      <c r="AB22" s="1237">
        <f t="shared" si="4"/>
        <v>1</v>
      </c>
      <c r="AC22" s="1237">
        <f t="shared" si="5"/>
        <v>1</v>
      </c>
    </row>
    <row r="23" spans="1:29" ht="15">
      <c r="A23" s="373"/>
      <c r="B23" s="769">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229"/>
      <c r="Q23" s="1233">
        <f>B23</f>
        <v>111</v>
      </c>
      <c r="R23" s="1234" t="s">
        <v>5</v>
      </c>
      <c r="S23" s="1235">
        <f>F23</f>
        <v>100</v>
      </c>
      <c r="T23" s="1234" t="s">
        <v>5</v>
      </c>
      <c r="U23" s="1235">
        <f>H23</f>
        <v>100</v>
      </c>
      <c r="V23" s="1234" t="s">
        <v>5</v>
      </c>
      <c r="W23" s="1235">
        <f>J23</f>
        <v>100</v>
      </c>
      <c r="X23" s="1228"/>
      <c r="Y23" s="4229"/>
      <c r="Z23" s="1236">
        <f>Q23</f>
        <v>111</v>
      </c>
      <c r="AA23" s="1237">
        <f t="shared" si="3"/>
        <v>1</v>
      </c>
      <c r="AB23" s="1237">
        <f t="shared" si="4"/>
        <v>1</v>
      </c>
      <c r="AC23" s="1237">
        <f t="shared" si="5"/>
        <v>1</v>
      </c>
    </row>
    <row r="24" spans="1:29" ht="15">
      <c r="A24" s="373"/>
      <c r="B24" s="769">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229"/>
      <c r="Q24" s="1233">
        <f t="shared" ref="Q24:Q36" si="8">B24</f>
        <v>111</v>
      </c>
      <c r="R24" s="1234" t="s">
        <v>5</v>
      </c>
      <c r="S24" s="1235">
        <f>F24</f>
        <v>100</v>
      </c>
      <c r="T24" s="1234" t="s">
        <v>5</v>
      </c>
      <c r="U24" s="1235">
        <f>H24</f>
        <v>100</v>
      </c>
      <c r="V24" s="1234" t="s">
        <v>5</v>
      </c>
      <c r="W24" s="1235">
        <f>J24</f>
        <v>100</v>
      </c>
      <c r="X24" s="1228"/>
      <c r="Y24" s="4229"/>
      <c r="Z24" s="1236">
        <f>Q24</f>
        <v>111</v>
      </c>
      <c r="AA24" s="1237">
        <f t="shared" si="3"/>
        <v>1</v>
      </c>
      <c r="AB24" s="1237">
        <f t="shared" si="4"/>
        <v>1</v>
      </c>
      <c r="AC24" s="1237">
        <f t="shared" si="5"/>
        <v>1</v>
      </c>
    </row>
    <row r="25" spans="1:29" s="981" customFormat="1" ht="15.75" thickBot="1">
      <c r="A25" s="435"/>
      <c r="B25" s="758">
        <v>111</v>
      </c>
      <c r="C25" s="403"/>
      <c r="D25" s="770">
        <v>100</v>
      </c>
      <c r="E25" s="755"/>
      <c r="F25" s="771">
        <f>SUMIF(77:77,E25,78:78)-SUMIF(77:77,C25,78:78)+100</f>
        <v>100</v>
      </c>
      <c r="G25" s="755"/>
      <c r="H25" s="770">
        <f>SUMIF(77:77,G25,78:78)-SUMIF(77:77,C25,78:78)+100</f>
        <v>100</v>
      </c>
      <c r="I25" s="755"/>
      <c r="J25" s="770">
        <f>SUMIF(77:77,I25,78:78)-SUMIF(77:77,C25,78:78)+100</f>
        <v>100</v>
      </c>
      <c r="K25" s="439"/>
      <c r="L25" s="1655"/>
      <c r="M25" s="1656"/>
      <c r="N25" s="1656"/>
      <c r="O25" s="1657"/>
      <c r="P25" s="4229"/>
      <c r="Q25" s="929">
        <f t="shared" si="8"/>
        <v>111</v>
      </c>
      <c r="R25" s="1229" t="s">
        <v>5</v>
      </c>
      <c r="S25" s="1230">
        <f>F25</f>
        <v>100</v>
      </c>
      <c r="T25" s="1229" t="s">
        <v>5</v>
      </c>
      <c r="U25" s="1230">
        <f>H25</f>
        <v>100</v>
      </c>
      <c r="V25" s="1229" t="s">
        <v>5</v>
      </c>
      <c r="W25" s="1230">
        <f>J25</f>
        <v>100</v>
      </c>
      <c r="X25" s="1231"/>
      <c r="Y25" s="4229"/>
      <c r="Z25" s="928">
        <f>Q25</f>
        <v>111</v>
      </c>
      <c r="AA25" s="1237">
        <f>D25/F25</f>
        <v>1</v>
      </c>
      <c r="AB25" s="1237">
        <f>D25/H25</f>
        <v>1</v>
      </c>
      <c r="AC25" s="1237">
        <f>D25/J25</f>
        <v>1</v>
      </c>
    </row>
    <row r="26" spans="1:29" ht="15">
      <c r="A26" s="2098" t="s">
        <v>1946</v>
      </c>
      <c r="B26" s="139" t="s">
        <v>746</v>
      </c>
      <c r="C26" s="772">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230" t="s">
        <v>499</v>
      </c>
      <c r="Q26" s="1233" t="str">
        <f t="shared" si="8"/>
        <v>配套类型</v>
      </c>
      <c r="R26" s="1234" t="s">
        <v>5</v>
      </c>
      <c r="S26" s="1235">
        <f t="shared" ref="S26:S36" si="9">F26</f>
        <v>100</v>
      </c>
      <c r="T26" s="1234" t="s">
        <v>5</v>
      </c>
      <c r="U26" s="1235">
        <f t="shared" ref="U26:U36" si="10">H26</f>
        <v>100</v>
      </c>
      <c r="V26" s="1234" t="s">
        <v>5</v>
      </c>
      <c r="W26" s="1235">
        <f t="shared" ref="W26:W36" si="11">J26</f>
        <v>100</v>
      </c>
      <c r="X26" s="1228"/>
      <c r="Y26" s="4231" t="s">
        <v>499</v>
      </c>
      <c r="Z26" s="1236" t="str">
        <f t="shared" ref="Z26:Z36" si="12">Q26</f>
        <v>配套类型</v>
      </c>
      <c r="AA26" s="1237">
        <f t="shared" si="3"/>
        <v>1</v>
      </c>
      <c r="AB26" s="1237">
        <f t="shared" si="4"/>
        <v>1</v>
      </c>
      <c r="AC26" s="1237">
        <f t="shared" si="5"/>
        <v>1</v>
      </c>
    </row>
    <row r="27" spans="1:29" s="1063" customFormat="1" ht="15">
      <c r="A27" s="773"/>
      <c r="B27" s="440" t="s">
        <v>747</v>
      </c>
      <c r="C27" s="774"/>
      <c r="D27" s="145">
        <v>100</v>
      </c>
      <c r="E27" s="774"/>
      <c r="F27" s="433">
        <f>SUMIF(81:81,E27,82:82)-SUMIF(81:81,C27,82:82)+100</f>
        <v>100</v>
      </c>
      <c r="G27" s="774"/>
      <c r="H27" s="398">
        <f>SUMIF(81:81,G27,82:82)-SUMIF(81:81,C27,82:82)+100</f>
        <v>100</v>
      </c>
      <c r="I27" s="774"/>
      <c r="J27" s="398">
        <f>SUMIF(81:81,I27,82:82)-SUMIF(81:81,C27,82:82)+100</f>
        <v>100</v>
      </c>
      <c r="K27" s="439"/>
      <c r="L27" s="1660"/>
      <c r="M27" s="1690"/>
      <c r="N27" s="1690"/>
      <c r="O27" s="1663"/>
      <c r="P27" s="4231"/>
      <c r="Q27" s="1260" t="str">
        <f t="shared" si="8"/>
        <v>项目停车位配比</v>
      </c>
      <c r="R27" s="1238" t="s">
        <v>5</v>
      </c>
      <c r="S27" s="1239">
        <f t="shared" si="9"/>
        <v>100</v>
      </c>
      <c r="T27" s="1238" t="s">
        <v>5</v>
      </c>
      <c r="U27" s="1239">
        <f t="shared" si="10"/>
        <v>100</v>
      </c>
      <c r="V27" s="1238" t="s">
        <v>5</v>
      </c>
      <c r="W27" s="1239">
        <f t="shared" si="11"/>
        <v>100</v>
      </c>
      <c r="X27" s="1240"/>
      <c r="Y27" s="4231"/>
      <c r="Z27" s="1241" t="str">
        <f t="shared" si="12"/>
        <v>项目停车位配比</v>
      </c>
      <c r="AA27" s="1237">
        <f t="shared" si="3"/>
        <v>1</v>
      </c>
      <c r="AB27" s="1237">
        <f t="shared" si="4"/>
        <v>1</v>
      </c>
      <c r="AC27" s="1237">
        <f t="shared" si="5"/>
        <v>1</v>
      </c>
    </row>
    <row r="28" spans="1:29" ht="15">
      <c r="A28" s="775"/>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231"/>
      <c r="Q28" s="1233" t="str">
        <f t="shared" si="8"/>
        <v>公共部分装修</v>
      </c>
      <c r="R28" s="1234" t="s">
        <v>5</v>
      </c>
      <c r="S28" s="1235">
        <f t="shared" si="9"/>
        <v>100</v>
      </c>
      <c r="T28" s="1234" t="s">
        <v>5</v>
      </c>
      <c r="U28" s="1235">
        <f t="shared" si="10"/>
        <v>100</v>
      </c>
      <c r="V28" s="1234" t="s">
        <v>5</v>
      </c>
      <c r="W28" s="1235">
        <f t="shared" si="11"/>
        <v>100</v>
      </c>
      <c r="X28" s="1228"/>
      <c r="Y28" s="4231"/>
      <c r="Z28" s="1236" t="str">
        <f t="shared" si="12"/>
        <v>公共部分装修</v>
      </c>
      <c r="AA28" s="1237">
        <f t="shared" si="3"/>
        <v>1</v>
      </c>
      <c r="AB28" s="1237">
        <f t="shared" si="4"/>
        <v>1</v>
      </c>
      <c r="AC28" s="1237">
        <f t="shared" si="5"/>
        <v>1</v>
      </c>
    </row>
    <row r="29" spans="1:29" ht="15">
      <c r="A29" s="775"/>
      <c r="B29" s="440" t="s">
        <v>749</v>
      </c>
      <c r="C29" s="724"/>
      <c r="D29" s="398">
        <v>100</v>
      </c>
      <c r="E29" s="727"/>
      <c r="F29" s="433" t="e">
        <f>LOOKUP(E29,86:86,87:87)-LOOKUP(C29,86:86,87:87)+100</f>
        <v>#N/A</v>
      </c>
      <c r="G29" s="727"/>
      <c r="H29" s="433" t="e">
        <f>LOOKUP(G29,86:86,87:87)-LOOKUP(C29,86:86,87:87)+100</f>
        <v>#N/A</v>
      </c>
      <c r="I29" s="727"/>
      <c r="J29" s="398" t="e">
        <f>LOOKUP(I29,86:86,87:87)-LOOKUP(C29,86:86,87:87)+100</f>
        <v>#N/A</v>
      </c>
      <c r="K29" s="442"/>
      <c r="L29" s="1662"/>
      <c r="M29" s="1654"/>
      <c r="N29" s="1654"/>
      <c r="O29" s="1661"/>
      <c r="P29" s="4231"/>
      <c r="Q29" s="1233" t="str">
        <f t="shared" si="8"/>
        <v>成新率</v>
      </c>
      <c r="R29" s="1234" t="s">
        <v>5</v>
      </c>
      <c r="S29" s="1235" t="e">
        <f t="shared" si="9"/>
        <v>#N/A</v>
      </c>
      <c r="T29" s="1234" t="s">
        <v>5</v>
      </c>
      <c r="U29" s="1235" t="e">
        <f t="shared" si="10"/>
        <v>#N/A</v>
      </c>
      <c r="V29" s="1234" t="s">
        <v>5</v>
      </c>
      <c r="W29" s="1235" t="e">
        <f t="shared" si="11"/>
        <v>#N/A</v>
      </c>
      <c r="X29" s="1228"/>
      <c r="Y29" s="4231"/>
      <c r="Z29" s="1236" t="str">
        <f t="shared" si="12"/>
        <v>成新率</v>
      </c>
      <c r="AA29" s="1237" t="e">
        <f t="shared" si="3"/>
        <v>#N/A</v>
      </c>
      <c r="AB29" s="1237" t="e">
        <f t="shared" si="4"/>
        <v>#N/A</v>
      </c>
      <c r="AC29" s="1237" t="e">
        <f t="shared" si="5"/>
        <v>#N/A</v>
      </c>
    </row>
    <row r="30" spans="1:29" ht="15">
      <c r="A30" s="775"/>
      <c r="B30" s="440" t="s">
        <v>750</v>
      </c>
      <c r="C30" s="776"/>
      <c r="D30" s="398">
        <v>100</v>
      </c>
      <c r="E30" s="776"/>
      <c r="F30" s="433">
        <f>SUMIF(88:88,E30,89:89)-SUMIF(88:88,C30,89:89)+100</f>
        <v>100</v>
      </c>
      <c r="G30" s="776"/>
      <c r="H30" s="398">
        <f>SUMIF(88:88,E30,89:89)-SUMIF(88:88,C30,89:89)+100</f>
        <v>100</v>
      </c>
      <c r="I30" s="776"/>
      <c r="J30" s="398">
        <f>SUMIF(88:88,E30,89:89)-SUMIF(88:88,C30,89:89)+100</f>
        <v>100</v>
      </c>
      <c r="K30" s="442"/>
      <c r="L30" s="1662"/>
      <c r="M30" s="1654"/>
      <c r="N30" s="1654"/>
      <c r="O30" s="1661"/>
      <c r="P30" s="4231"/>
      <c r="Q30" s="1233" t="str">
        <f t="shared" si="8"/>
        <v>物业等级</v>
      </c>
      <c r="R30" s="1234" t="s">
        <v>5</v>
      </c>
      <c r="S30" s="1235">
        <f t="shared" si="9"/>
        <v>100</v>
      </c>
      <c r="T30" s="1234" t="s">
        <v>5</v>
      </c>
      <c r="U30" s="1235">
        <f t="shared" si="10"/>
        <v>100</v>
      </c>
      <c r="V30" s="1234" t="s">
        <v>5</v>
      </c>
      <c r="W30" s="1235">
        <f t="shared" si="11"/>
        <v>100</v>
      </c>
      <c r="X30" s="1228"/>
      <c r="Y30" s="4231"/>
      <c r="Z30" s="1236" t="str">
        <f t="shared" si="12"/>
        <v>物业等级</v>
      </c>
      <c r="AA30" s="1237">
        <f t="shared" si="3"/>
        <v>1</v>
      </c>
      <c r="AB30" s="1237">
        <f t="shared" si="4"/>
        <v>1</v>
      </c>
      <c r="AC30" s="1237">
        <f t="shared" si="5"/>
        <v>1</v>
      </c>
    </row>
    <row r="31" spans="1:29" s="981" customFormat="1" ht="15">
      <c r="A31" s="777"/>
      <c r="B31" s="440" t="s">
        <v>751</v>
      </c>
      <c r="C31" s="724"/>
      <c r="D31" s="145">
        <v>100</v>
      </c>
      <c r="E31" s="724"/>
      <c r="F31" s="433" t="e">
        <f>LOOKUP(E31,91:91,92:92)-LOOKUP(C31,91:91,92:92)+100</f>
        <v>#N/A</v>
      </c>
      <c r="G31" s="724"/>
      <c r="H31" s="398" t="e">
        <f>LOOKUP(G31,91:91,92:92)-LOOKUP(C31,91:91,92:92)+100</f>
        <v>#N/A</v>
      </c>
      <c r="I31" s="724"/>
      <c r="J31" s="398" t="e">
        <f>LOOKUP(I31,91:91,92:92)-LOOKUP(C31,91:91,92:92)+100</f>
        <v>#N/A</v>
      </c>
      <c r="K31" s="442"/>
      <c r="L31" s="1655"/>
      <c r="M31" s="1656"/>
      <c r="N31" s="1656"/>
      <c r="O31" s="1657"/>
      <c r="P31" s="4231"/>
      <c r="Q31" s="929" t="str">
        <f t="shared" si="8"/>
        <v>停车位面积</v>
      </c>
      <c r="R31" s="1229" t="s">
        <v>5</v>
      </c>
      <c r="S31" s="1230" t="e">
        <f t="shared" si="9"/>
        <v>#N/A</v>
      </c>
      <c r="T31" s="1229" t="s">
        <v>5</v>
      </c>
      <c r="U31" s="1230" t="e">
        <f t="shared" si="10"/>
        <v>#N/A</v>
      </c>
      <c r="V31" s="1229" t="s">
        <v>5</v>
      </c>
      <c r="W31" s="1230" t="e">
        <f t="shared" si="11"/>
        <v>#N/A</v>
      </c>
      <c r="X31" s="1231"/>
      <c r="Y31" s="4231"/>
      <c r="Z31" s="928" t="str">
        <f t="shared" si="12"/>
        <v>停车位面积</v>
      </c>
      <c r="AA31" s="1232" t="e">
        <f t="shared" si="3"/>
        <v>#N/A</v>
      </c>
      <c r="AB31" s="1232" t="e">
        <f t="shared" si="4"/>
        <v>#N/A</v>
      </c>
      <c r="AC31" s="1232" t="e">
        <f t="shared" si="5"/>
        <v>#N/A</v>
      </c>
    </row>
    <row r="32" spans="1:29" ht="15">
      <c r="A32" s="775"/>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231" t="s">
        <v>499</v>
      </c>
      <c r="Q32" s="1233" t="str">
        <f t="shared" si="8"/>
        <v>车位类型</v>
      </c>
      <c r="R32" s="1234" t="s">
        <v>5</v>
      </c>
      <c r="S32" s="1235">
        <f t="shared" si="9"/>
        <v>100</v>
      </c>
      <c r="T32" s="1234" t="s">
        <v>5</v>
      </c>
      <c r="U32" s="1235">
        <f t="shared" si="10"/>
        <v>100</v>
      </c>
      <c r="V32" s="1234" t="s">
        <v>5</v>
      </c>
      <c r="W32" s="1235">
        <f t="shared" si="11"/>
        <v>100</v>
      </c>
      <c r="X32" s="1228"/>
      <c r="Y32" s="4231" t="s">
        <v>499</v>
      </c>
      <c r="Z32" s="1236" t="str">
        <f t="shared" si="12"/>
        <v>车位类型</v>
      </c>
      <c r="AA32" s="1237">
        <f t="shared" si="3"/>
        <v>1</v>
      </c>
      <c r="AB32" s="1237">
        <f t="shared" si="4"/>
        <v>1</v>
      </c>
      <c r="AC32" s="1237">
        <f t="shared" si="5"/>
        <v>1</v>
      </c>
    </row>
    <row r="33" spans="1:29" ht="15">
      <c r="A33" s="775"/>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231"/>
      <c r="Q33" s="1233" t="str">
        <f t="shared" si="8"/>
        <v>是否直接入户</v>
      </c>
      <c r="R33" s="1234" t="s">
        <v>5</v>
      </c>
      <c r="S33" s="1235">
        <f t="shared" si="9"/>
        <v>100</v>
      </c>
      <c r="T33" s="1234" t="s">
        <v>5</v>
      </c>
      <c r="U33" s="1235">
        <f t="shared" si="10"/>
        <v>100</v>
      </c>
      <c r="V33" s="1234" t="s">
        <v>5</v>
      </c>
      <c r="W33" s="1235">
        <f t="shared" si="11"/>
        <v>100</v>
      </c>
      <c r="X33" s="1228"/>
      <c r="Y33" s="4231"/>
      <c r="Z33" s="1236" t="str">
        <f t="shared" si="12"/>
        <v>是否直接入户</v>
      </c>
      <c r="AA33" s="1237">
        <f t="shared" si="3"/>
        <v>1</v>
      </c>
      <c r="AB33" s="1237">
        <f t="shared" si="4"/>
        <v>1</v>
      </c>
      <c r="AC33" s="1237">
        <f t="shared" si="5"/>
        <v>1</v>
      </c>
    </row>
    <row r="34" spans="1:29" ht="15">
      <c r="A34" s="775"/>
      <c r="B34" s="769">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231"/>
      <c r="Q34" s="1233">
        <f t="shared" si="8"/>
        <v>111</v>
      </c>
      <c r="R34" s="1234" t="s">
        <v>5</v>
      </c>
      <c r="S34" s="1235">
        <f t="shared" si="9"/>
        <v>100</v>
      </c>
      <c r="T34" s="1234" t="s">
        <v>5</v>
      </c>
      <c r="U34" s="1235">
        <f t="shared" si="10"/>
        <v>100</v>
      </c>
      <c r="V34" s="1234" t="s">
        <v>5</v>
      </c>
      <c r="W34" s="1235">
        <f t="shared" si="11"/>
        <v>100</v>
      </c>
      <c r="X34" s="1228"/>
      <c r="Y34" s="4231"/>
      <c r="Z34" s="1236">
        <f t="shared" si="12"/>
        <v>111</v>
      </c>
      <c r="AA34" s="1237">
        <f t="shared" si="3"/>
        <v>1</v>
      </c>
      <c r="AB34" s="1237">
        <f t="shared" si="4"/>
        <v>1</v>
      </c>
      <c r="AC34" s="1237">
        <f t="shared" si="5"/>
        <v>1</v>
      </c>
    </row>
    <row r="35" spans="1:29" s="1063" customFormat="1" ht="15">
      <c r="A35" s="773"/>
      <c r="B35" s="769">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231"/>
      <c r="Q35" s="1260">
        <f t="shared" si="8"/>
        <v>111</v>
      </c>
      <c r="R35" s="1238" t="s">
        <v>5</v>
      </c>
      <c r="S35" s="1239">
        <f t="shared" si="9"/>
        <v>100</v>
      </c>
      <c r="T35" s="1238" t="s">
        <v>5</v>
      </c>
      <c r="U35" s="1239">
        <f t="shared" si="10"/>
        <v>100</v>
      </c>
      <c r="V35" s="1238" t="s">
        <v>5</v>
      </c>
      <c r="W35" s="1239">
        <f t="shared" si="11"/>
        <v>100</v>
      </c>
      <c r="X35" s="1240"/>
      <c r="Y35" s="4231"/>
      <c r="Z35" s="1241">
        <f t="shared" si="12"/>
        <v>111</v>
      </c>
      <c r="AA35" s="1237">
        <f t="shared" si="3"/>
        <v>1</v>
      </c>
      <c r="AB35" s="1237">
        <f t="shared" si="4"/>
        <v>1</v>
      </c>
      <c r="AC35" s="1237">
        <f t="shared" si="5"/>
        <v>1</v>
      </c>
    </row>
    <row r="36" spans="1:29" ht="15.75" thickBot="1">
      <c r="A36" s="778"/>
      <c r="B36" s="758">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231"/>
      <c r="Q36" s="1233">
        <f t="shared" si="8"/>
        <v>111</v>
      </c>
      <c r="R36" s="1234" t="s">
        <v>5</v>
      </c>
      <c r="S36" s="1235">
        <f t="shared" si="9"/>
        <v>100</v>
      </c>
      <c r="T36" s="1234" t="s">
        <v>5</v>
      </c>
      <c r="U36" s="1235">
        <f t="shared" si="10"/>
        <v>100</v>
      </c>
      <c r="V36" s="1234" t="s">
        <v>5</v>
      </c>
      <c r="W36" s="1235">
        <f t="shared" si="11"/>
        <v>100</v>
      </c>
      <c r="X36" s="1228"/>
      <c r="Y36" s="4231"/>
      <c r="Z36" s="1236">
        <f t="shared" si="12"/>
        <v>111</v>
      </c>
      <c r="AA36" s="1237">
        <f t="shared" si="3"/>
        <v>1</v>
      </c>
      <c r="AB36" s="1237">
        <f t="shared" si="4"/>
        <v>1</v>
      </c>
      <c r="AC36" s="1237">
        <f t="shared" si="5"/>
        <v>1</v>
      </c>
    </row>
    <row r="37" spans="1:29" ht="15">
      <c r="A37" s="1460" t="s">
        <v>1514</v>
      </c>
      <c r="B37" s="1461" t="s">
        <v>1515</v>
      </c>
      <c r="C37" s="1998" t="s">
        <v>0</v>
      </c>
      <c r="D37" s="1999"/>
      <c r="E37" s="2000"/>
      <c r="F37" s="2001"/>
      <c r="G37" s="2002"/>
      <c r="H37" s="2003"/>
      <c r="I37" s="2000"/>
      <c r="J37" s="2003"/>
      <c r="K37" s="1265"/>
      <c r="L37" s="1664"/>
      <c r="M37" s="1665"/>
      <c r="N37" s="1654"/>
      <c r="O37" s="1665"/>
      <c r="P37" s="4195" t="str">
        <f>A37</f>
        <v>成交单价</v>
      </c>
      <c r="Q37" s="4195"/>
      <c r="R37" s="4287">
        <f>E37</f>
        <v>0</v>
      </c>
      <c r="S37" s="4287"/>
      <c r="T37" s="4287">
        <f>G37</f>
        <v>0</v>
      </c>
      <c r="U37" s="4287"/>
      <c r="V37" s="4287">
        <f>I37</f>
        <v>0</v>
      </c>
      <c r="W37" s="4287"/>
      <c r="X37" s="1223"/>
      <c r="Y37" s="1242"/>
      <c r="Z37" s="1223"/>
      <c r="AA37" s="1223"/>
      <c r="AB37" s="1223"/>
      <c r="AC37" s="1223"/>
    </row>
    <row r="38" spans="1:29" ht="15.75" thickBot="1">
      <c r="A38" s="473" t="s">
        <v>1951</v>
      </c>
      <c r="B38" s="732"/>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195" t="str">
        <f>A38</f>
        <v>比较价格（元/平方米）</v>
      </c>
      <c r="Q38" s="4195"/>
      <c r="R38" s="4287" t="e">
        <f>IF(F1="售价",ROUND(PRODUCT(R37,AA7:AA36),0),ROUND(PRODUCT(R37,AA7:AA36),1))</f>
        <v>#DIV/0!</v>
      </c>
      <c r="S38" s="4287"/>
      <c r="T38" s="4287" t="e">
        <f>IF(F1="售价",ROUND(PRODUCT(T37,AB7:AB36),0),ROUND(PRODUCT(T37,AB7:AB36),1))</f>
        <v>#DIV/0!</v>
      </c>
      <c r="U38" s="4287"/>
      <c r="V38" s="4287" t="e">
        <f>IF(F1="售价",ROUND(PRODUCT(V37,AC7:AC36),0),ROUND(PRODUCT(V37,AC7:AC36),1))</f>
        <v>#DIV/0!</v>
      </c>
      <c r="W38" s="4287"/>
      <c r="X38" s="1223"/>
      <c r="Y38" s="1223"/>
      <c r="Z38" s="1223"/>
      <c r="AA38" s="1223"/>
      <c r="AB38" s="1223"/>
      <c r="AC38" s="1223"/>
    </row>
    <row r="39" spans="1:29" ht="15.75" thickBot="1">
      <c r="A39" s="477" t="s">
        <v>2106</v>
      </c>
      <c r="B39" s="478"/>
      <c r="C39" s="2006" t="e">
        <f>R39</f>
        <v>#DIV/0!</v>
      </c>
      <c r="D39" s="2006"/>
      <c r="E39" s="2006"/>
      <c r="F39" s="2006"/>
      <c r="G39" s="2006"/>
      <c r="H39" s="2006"/>
      <c r="I39" s="2006"/>
      <c r="J39" s="2006"/>
      <c r="K39" s="1266"/>
      <c r="L39" s="1664"/>
      <c r="M39" s="1665"/>
      <c r="N39" s="1665"/>
      <c r="O39" s="1665"/>
      <c r="P39" s="4232" t="str">
        <f>A39</f>
        <v>估价对象XX用房的比较价格（楼面单价，元/平方米）</v>
      </c>
      <c r="Q39" s="4233"/>
      <c r="R39" s="4288" t="e">
        <f>IF(F1="售价",ROUND(IF(D38="简单平均",AVERAGE(R38:W38),R38*F38+T38*H38+V38*J38),0),ROUND(IF(D38="简单平均",AVERAGE(R38:V38),R38*F38+T38*H38+V38*J38),1))</f>
        <v>#DIV/0!</v>
      </c>
      <c r="S39" s="4288"/>
      <c r="T39" s="4288"/>
      <c r="U39" s="4288"/>
      <c r="V39" s="4288"/>
      <c r="W39" s="4288"/>
      <c r="X39" s="1223"/>
      <c r="Y39" s="1223"/>
      <c r="Z39" s="1223"/>
      <c r="AA39" s="1223"/>
      <c r="AB39" s="1223"/>
      <c r="AC39" s="1223"/>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8"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8"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5" t="s">
        <v>522</v>
      </c>
      <c r="B47" s="1223"/>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70"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1"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1"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1"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1"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9">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3"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3"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3"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3"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9"/>
      <c r="I68" s="779"/>
      <c r="J68" s="779"/>
      <c r="K68" s="779"/>
      <c r="L68" s="779"/>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1" customFormat="1" ht="15.75" thickTop="1">
      <c r="A73" s="565"/>
      <c r="B73" s="529">
        <f>B23</f>
        <v>111</v>
      </c>
      <c r="C73" s="399"/>
      <c r="D73" s="399"/>
      <c r="E73" s="399"/>
      <c r="F73" s="399"/>
      <c r="G73" s="544"/>
      <c r="H73" s="544"/>
      <c r="I73" s="544"/>
      <c r="J73" s="544"/>
      <c r="K73" s="544"/>
      <c r="L73" s="73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1" customFormat="1" ht="15.75" thickTop="1">
      <c r="A75" s="565"/>
      <c r="B75" s="529">
        <f>B24</f>
        <v>111</v>
      </c>
      <c r="C75" s="399"/>
      <c r="D75" s="399"/>
      <c r="E75" s="399"/>
      <c r="F75" s="399"/>
      <c r="G75" s="544"/>
      <c r="H75" s="544"/>
      <c r="I75" s="544"/>
      <c r="J75" s="544"/>
      <c r="K75" s="544"/>
      <c r="L75" s="544"/>
      <c r="M75" s="735"/>
      <c r="N75" s="1681"/>
      <c r="O75" s="1681"/>
      <c r="P75" s="1684"/>
      <c r="Q75" s="1677"/>
      <c r="R75" s="1566"/>
      <c r="S75" s="1566"/>
      <c r="T75" s="1566"/>
      <c r="U75" s="1566"/>
      <c r="V75" s="1566"/>
      <c r="W75" s="1566"/>
      <c r="X75" s="1566"/>
      <c r="Y75" s="1566"/>
      <c r="Z75" s="1566"/>
      <c r="AA75" s="1566"/>
      <c r="AB75" s="1566"/>
      <c r="AC75" s="1566"/>
    </row>
    <row r="76" spans="1:29" s="981"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3"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3"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80"/>
      <c r="D81" s="780"/>
      <c r="E81" s="780"/>
      <c r="F81" s="780"/>
      <c r="G81" s="780"/>
      <c r="H81" s="780"/>
      <c r="I81" s="780"/>
      <c r="J81" s="780"/>
      <c r="K81" s="781"/>
      <c r="L81" s="782"/>
      <c r="M81" s="783"/>
      <c r="N81" s="1681"/>
      <c r="O81" s="1681"/>
      <c r="P81" s="1684"/>
      <c r="Q81" s="1677"/>
      <c r="R81" s="1665"/>
      <c r="S81" s="1665"/>
      <c r="T81" s="1665"/>
      <c r="U81" s="1665"/>
      <c r="V81" s="1665"/>
      <c r="W81" s="1665"/>
      <c r="X81" s="1665"/>
      <c r="Y81" s="1665"/>
      <c r="Z81" s="1665"/>
      <c r="AA81" s="1665"/>
      <c r="AB81" s="1665"/>
      <c r="AC81" s="1665"/>
    </row>
    <row r="82" spans="1:29" s="1063"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8">
        <v>0.5</v>
      </c>
      <c r="D86" s="738">
        <v>0.6</v>
      </c>
      <c r="E86" s="738">
        <v>0.7</v>
      </c>
      <c r="F86" s="738">
        <v>0.8</v>
      </c>
      <c r="G86" s="738">
        <v>0.9</v>
      </c>
      <c r="H86" s="738">
        <v>1.0001</v>
      </c>
      <c r="I86" s="749"/>
      <c r="J86" s="749"/>
      <c r="K86" s="750"/>
      <c r="L86" s="751"/>
      <c r="M86" s="752"/>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3"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3"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1">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3"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3"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3100-000000000000}">
      <formula1>项目类型</formula1>
    </dataValidation>
    <dataValidation type="list" allowBlank="1" showInputMessage="1" showErrorMessage="1" sqref="G17 C17 I17 E17" xr:uid="{00000000-0002-0000-3100-000001000000}">
      <formula1>公共配套设施</formula1>
    </dataValidation>
    <dataValidation type="list" allowBlank="1" showInputMessage="1" showErrorMessage="1" sqref="G15 E15 C15 I15" xr:uid="{00000000-0002-0000-3100-000002000000}">
      <formula1>交通便捷度</formula1>
    </dataValidation>
    <dataValidation type="list" allowBlank="1" showInputMessage="1" showErrorMessage="1" sqref="C8 E8 G8 I8" xr:uid="{00000000-0002-0000-3100-000003000000}">
      <formula1>车位交易情况</formula1>
    </dataValidation>
    <dataValidation type="list" allowBlank="1" showInputMessage="1" showErrorMessage="1" sqref="E9 G9 I9" xr:uid="{00000000-0002-0000-3100-000004000000}">
      <formula1>车位用途</formula1>
    </dataValidation>
    <dataValidation type="list" allowBlank="1" showInputMessage="1" showErrorMessage="1" sqref="C22 E22 G22 I22" xr:uid="{00000000-0002-0000-3100-000005000000}">
      <formula1>车位楼层</formula1>
    </dataValidation>
    <dataValidation type="list" allowBlank="1" showInputMessage="1" showErrorMessage="1" sqref="C30 E30 G30 I30" xr:uid="{00000000-0002-0000-3100-000006000000}">
      <formula1>车位物业等级</formula1>
    </dataValidation>
    <dataValidation type="list" allowBlank="1" showInputMessage="1" showErrorMessage="1" sqref="C32 E32 G32 I32" xr:uid="{00000000-0002-0000-3100-000007000000}">
      <formula1>车位类型</formula1>
    </dataValidation>
    <dataValidation type="list" allowBlank="1" showInputMessage="1" showErrorMessage="1" sqref="C33 E33 G33 I33" xr:uid="{00000000-0002-0000-3100-000008000000}">
      <formula1>是否直接入户</formula1>
    </dataValidation>
    <dataValidation type="list" allowBlank="1" showInputMessage="1" showErrorMessage="1" sqref="B1" xr:uid="{00000000-0002-0000-3100-000009000000}">
      <formula1>地类判定</formula1>
    </dataValidation>
    <dataValidation type="list" allowBlank="1" showInputMessage="1" showErrorMessage="1" sqref="I26 E26 G26" xr:uid="{00000000-0002-0000-3100-00000A000000}">
      <formula1>车位配套类型</formula1>
    </dataValidation>
    <dataValidation type="list" allowBlank="1" showInputMessage="1" showErrorMessage="1" sqref="C28 E28 G28 I28" xr:uid="{00000000-0002-0000-3100-00000B000000}">
      <formula1>车位公共部分装修</formula1>
    </dataValidation>
    <dataValidation type="list" allowBlank="1" showInputMessage="1" showErrorMessage="1" sqref="B37" xr:uid="{00000000-0002-0000-3100-00000C000000}">
      <formula1>"元/平方米,元/车位"</formula1>
    </dataValidation>
    <dataValidation type="list" allowBlank="1" showInputMessage="1" showErrorMessage="1" sqref="C21 E21 G21 I21" xr:uid="{00000000-0002-0000-3100-00000D000000}">
      <formula1>环境</formula1>
    </dataValidation>
    <dataValidation type="list" allowBlank="1" showInputMessage="1" showErrorMessage="1" sqref="C19 E19 G19 I19" xr:uid="{00000000-0002-0000-3100-00000E000000}">
      <formula1>基础设施水平</formula1>
    </dataValidation>
    <dataValidation type="list" allowBlank="1" showInputMessage="1" showErrorMessage="1" sqref="F1" xr:uid="{00000000-0002-0000-3100-00000F000000}">
      <formula1>"售价,租金"</formula1>
    </dataValidation>
    <dataValidation type="list" allowBlank="1" showInputMessage="1" showErrorMessage="1" sqref="D38" xr:uid="{00000000-0002-0000-31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C37</f>
        <v>#DIV/0!</v>
      </c>
      <c r="C3" s="698" t="s">
        <v>736</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1" t="s">
        <v>738</v>
      </c>
      <c r="D4" s="4202"/>
      <c r="E4" s="4240" t="s">
        <v>739</v>
      </c>
      <c r="F4" s="4241"/>
      <c r="G4" s="4201" t="s">
        <v>740</v>
      </c>
      <c r="H4" s="4202"/>
      <c r="I4" s="4201" t="s">
        <v>741</v>
      </c>
      <c r="J4" s="4202"/>
      <c r="K4" s="372" t="s">
        <v>742</v>
      </c>
      <c r="L4" s="1653"/>
      <c r="M4" s="1654"/>
      <c r="N4" s="1654"/>
      <c r="O4" s="1654"/>
      <c r="P4" s="4203" t="s">
        <v>743</v>
      </c>
      <c r="Q4" s="4204"/>
      <c r="R4" s="4209" t="s">
        <v>739</v>
      </c>
      <c r="S4" s="4210"/>
      <c r="T4" s="4209" t="s">
        <v>740</v>
      </c>
      <c r="U4" s="4210"/>
      <c r="V4" s="4196" t="s">
        <v>741</v>
      </c>
      <c r="W4" s="4196"/>
      <c r="X4" s="1228"/>
      <c r="Y4" s="4209" t="s">
        <v>743</v>
      </c>
      <c r="Z4" s="4210"/>
      <c r="AA4" s="4198" t="s">
        <v>739</v>
      </c>
      <c r="AB4" s="4199" t="s">
        <v>740</v>
      </c>
      <c r="AC4" s="4198" t="s">
        <v>741</v>
      </c>
    </row>
    <row r="5" spans="1:29" ht="15">
      <c r="A5" s="373"/>
      <c r="B5" s="374"/>
      <c r="C5" s="4217" t="s">
        <v>2100</v>
      </c>
      <c r="D5" s="4218"/>
      <c r="E5" s="4242" t="s">
        <v>2101</v>
      </c>
      <c r="F5" s="4243"/>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SUMIF(46:46,YEAR(E7)&amp;"-"&amp;MONTH(E7),47:47)</f>
        <v>0</v>
      </c>
      <c r="G7" s="381"/>
      <c r="H7" s="378">
        <f>SUMIF(46:46,YEAR(G7)&amp;"-"&amp;MONTH(G7),47:47)</f>
        <v>0</v>
      </c>
      <c r="I7" s="381"/>
      <c r="J7" s="378">
        <f>SUMIF(46:46,YEAR(I7)&amp;"-"&amp;MONTH(I7),47:47)</f>
        <v>0</v>
      </c>
      <c r="K7" s="382"/>
      <c r="L7" s="1655"/>
      <c r="M7" s="1656"/>
      <c r="N7" s="1656"/>
      <c r="O7" s="1656"/>
      <c r="P7" s="4225" t="s">
        <v>479</v>
      </c>
      <c r="Q7" s="4227"/>
      <c r="R7" s="1229" t="s">
        <v>5</v>
      </c>
      <c r="S7" s="1230">
        <f t="shared" ref="S7:S14" si="0">F7</f>
        <v>0</v>
      </c>
      <c r="T7" s="1229" t="s">
        <v>5</v>
      </c>
      <c r="U7" s="1230">
        <f t="shared" ref="U7:U14" si="1">H7</f>
        <v>0</v>
      </c>
      <c r="V7" s="1229" t="s">
        <v>5</v>
      </c>
      <c r="W7" s="1230">
        <f t="shared" ref="W7:W14"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34" si="3">D8/F8</f>
        <v>#DIV/0!</v>
      </c>
      <c r="AB8" s="1232" t="e">
        <f t="shared" ref="AB8:AB34" si="4">D8/H8</f>
        <v>#DIV/0!</v>
      </c>
      <c r="AC8" s="1232" t="e">
        <f t="shared" ref="AC8:AC34" si="5">D8/J8</f>
        <v>#DIV/0!</v>
      </c>
    </row>
    <row r="9" spans="1:29" s="981" customFormat="1" ht="15">
      <c r="A9" s="2105"/>
      <c r="B9" s="2112" t="s">
        <v>1947</v>
      </c>
      <c r="C9" s="703"/>
      <c r="D9" s="144">
        <v>100</v>
      </c>
      <c r="E9" s="706"/>
      <c r="F9" s="144">
        <f>SUMIF(51:51,E9,52:52)-SUMIF(51:51,C9,52:52)+100</f>
        <v>100</v>
      </c>
      <c r="G9" s="706"/>
      <c r="H9" s="144">
        <f>SUMIF(51:51,G9,52:52)-SUMIF(51:51,C9,52:52)+100</f>
        <v>100</v>
      </c>
      <c r="I9" s="706"/>
      <c r="J9" s="144">
        <f>SUMIF(51:51,I9,52:52)-SUMIF(51:51,C9,52:52)+100</f>
        <v>100</v>
      </c>
      <c r="K9" s="382"/>
      <c r="L9" s="1655"/>
      <c r="M9" s="1656"/>
      <c r="N9" s="1656"/>
      <c r="O9" s="1657"/>
      <c r="P9" s="4195" t="s">
        <v>484</v>
      </c>
      <c r="Q9" s="929" t="str">
        <f t="shared" ref="Q9:Q14" si="6">B9</f>
        <v>用途</v>
      </c>
      <c r="R9" s="1229" t="s">
        <v>5</v>
      </c>
      <c r="S9" s="1230">
        <f t="shared" si="0"/>
        <v>100</v>
      </c>
      <c r="T9" s="1229" t="s">
        <v>5</v>
      </c>
      <c r="U9" s="1230">
        <f t="shared" si="1"/>
        <v>100</v>
      </c>
      <c r="V9" s="1229" t="s">
        <v>5</v>
      </c>
      <c r="W9" s="1230">
        <f t="shared" si="2"/>
        <v>100</v>
      </c>
      <c r="X9" s="1231"/>
      <c r="Y9" s="4076"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8"/>
      <c r="B11" s="2114">
        <v>111</v>
      </c>
      <c r="C11" s="386"/>
      <c r="D11" s="145">
        <v>100</v>
      </c>
      <c r="E11" s="724"/>
      <c r="F11" s="145">
        <f>SUMIF(55:55,E11,56:56)-SUMIF(55:55,C11,56:56)+100</f>
        <v>100</v>
      </c>
      <c r="G11" s="724"/>
      <c r="H11" s="145">
        <f>SUMIF(55:55,G11,56:56)-SUMIF(55:55,C11,56:56)+100</f>
        <v>100</v>
      </c>
      <c r="I11" s="724"/>
      <c r="J11" s="145">
        <f>SUMIF(55:55,I11,56:56)-SUMIF(55:55,C11,56:56)+100</f>
        <v>100</v>
      </c>
      <c r="K11" s="439"/>
      <c r="L11" s="1660"/>
      <c r="M11" s="1654"/>
      <c r="N11" s="1654"/>
      <c r="O11" s="1661"/>
      <c r="P11" s="4195"/>
      <c r="Q11" s="929">
        <f t="shared" si="6"/>
        <v>111</v>
      </c>
      <c r="R11" s="1229" t="s">
        <v>5</v>
      </c>
      <c r="S11" s="1230">
        <f t="shared" si="0"/>
        <v>100</v>
      </c>
      <c r="T11" s="1229" t="s">
        <v>5</v>
      </c>
      <c r="U11" s="1230">
        <f t="shared" si="1"/>
        <v>100</v>
      </c>
      <c r="V11" s="1229" t="s">
        <v>5</v>
      </c>
      <c r="W11" s="1230">
        <f t="shared" si="2"/>
        <v>100</v>
      </c>
      <c r="X11" s="1231"/>
      <c r="Y11" s="4076"/>
      <c r="Z11" s="928">
        <f t="shared" si="7"/>
        <v>111</v>
      </c>
      <c r="AA11" s="1232">
        <f t="shared" si="3"/>
        <v>1</v>
      </c>
      <c r="AB11" s="1232">
        <f t="shared" si="4"/>
        <v>1</v>
      </c>
      <c r="AC11" s="1232">
        <f t="shared" si="5"/>
        <v>1</v>
      </c>
    </row>
    <row r="12" spans="1:29" s="981" customFormat="1" ht="15">
      <c r="A12" s="2108"/>
      <c r="B12" s="2114">
        <v>111</v>
      </c>
      <c r="C12" s="386"/>
      <c r="D12" s="396">
        <v>100</v>
      </c>
      <c r="E12" s="724"/>
      <c r="F12" s="145">
        <f>SUMIF(57:57,E12,58:58)-SUMIF(57:57,C12,58:58)+100</f>
        <v>100</v>
      </c>
      <c r="G12" s="724"/>
      <c r="H12" s="145">
        <f>SUMIF(57:57,G12,58:58)-SUMIF(57:57,C12,58:58)+100</f>
        <v>100</v>
      </c>
      <c r="I12" s="724"/>
      <c r="J12" s="145">
        <f>SUMIF(57:57,I12,58:58)-SUMIF(57:57,C12,58:58)+100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75" thickBot="1">
      <c r="A13" s="2109"/>
      <c r="B13" s="2115">
        <v>111</v>
      </c>
      <c r="C13" s="397"/>
      <c r="D13" s="398">
        <v>100</v>
      </c>
      <c r="E13" s="724"/>
      <c r="F13" s="145">
        <f>SUMIF(59:59,E13,60:60)-SUMIF(59:59,C13,60:60)+100</f>
        <v>100</v>
      </c>
      <c r="G13" s="724"/>
      <c r="H13" s="398">
        <f>SUMIF(59:59,G13,60:60)-SUMIF(59:59,C13,60:60)+100</f>
        <v>100</v>
      </c>
      <c r="I13" s="724"/>
      <c r="J13" s="398">
        <f>SUMIF(59:59,I13,60:60)-SUMIF(59:59,C13,60:60)+100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85.5">
      <c r="A14" s="2101" t="s">
        <v>1945</v>
      </c>
      <c r="B14" s="138" t="s">
        <v>492</v>
      </c>
      <c r="C14" s="765"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2"/>
      <c r="L14" s="1662"/>
      <c r="M14" s="1654"/>
      <c r="N14" s="1654"/>
      <c r="O14" s="1661"/>
      <c r="P14" s="4228" t="s">
        <v>489</v>
      </c>
      <c r="Q14" s="1233" t="str">
        <f t="shared" si="6"/>
        <v>交通便捷度</v>
      </c>
      <c r="R14" s="1234" t="s">
        <v>5</v>
      </c>
      <c r="S14" s="1235">
        <f t="shared" si="0"/>
        <v>100</v>
      </c>
      <c r="T14" s="1234" t="s">
        <v>5</v>
      </c>
      <c r="U14" s="1235">
        <f t="shared" si="1"/>
        <v>100</v>
      </c>
      <c r="V14" s="1234" t="s">
        <v>5</v>
      </c>
      <c r="W14" s="1235">
        <f t="shared" si="2"/>
        <v>100</v>
      </c>
      <c r="X14" s="1228"/>
      <c r="Y14" s="4228" t="s">
        <v>489</v>
      </c>
      <c r="Z14" s="1236" t="str">
        <f t="shared" si="7"/>
        <v>交通便捷度</v>
      </c>
      <c r="AA14" s="1237">
        <f t="shared" si="3"/>
        <v>1</v>
      </c>
      <c r="AB14" s="1237">
        <f t="shared" si="4"/>
        <v>1</v>
      </c>
      <c r="AC14" s="1237">
        <f t="shared" si="5"/>
        <v>1</v>
      </c>
    </row>
    <row r="15" spans="1:29" ht="15">
      <c r="A15" s="390"/>
      <c r="B15" s="713"/>
      <c r="C15" s="434"/>
      <c r="D15" s="413"/>
      <c r="E15" s="434"/>
      <c r="F15" s="415"/>
      <c r="G15" s="434"/>
      <c r="H15" s="417"/>
      <c r="I15" s="434"/>
      <c r="J15" s="413"/>
      <c r="K15" s="743"/>
      <c r="L15" s="1662"/>
      <c r="M15" s="1654"/>
      <c r="N15" s="1654"/>
      <c r="O15" s="1661"/>
      <c r="P15" s="4229"/>
      <c r="Q15" s="1233"/>
      <c r="R15" s="1234"/>
      <c r="S15" s="1235"/>
      <c r="T15" s="1234"/>
      <c r="U15" s="1235"/>
      <c r="V15" s="1234"/>
      <c r="W15" s="1235"/>
      <c r="X15" s="1228"/>
      <c r="Y15" s="4229"/>
      <c r="Z15" s="1236"/>
      <c r="AA15" s="1237">
        <v>1</v>
      </c>
      <c r="AB15" s="1237">
        <v>1</v>
      </c>
      <c r="AC15" s="1237">
        <v>1</v>
      </c>
    </row>
    <row r="16" spans="1:29" ht="42.75">
      <c r="A16" s="390"/>
      <c r="B16" s="1976" t="s">
        <v>1738</v>
      </c>
      <c r="C16" s="716"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2"/>
      <c r="L16" s="1662"/>
      <c r="M16" s="1654"/>
      <c r="N16" s="1654"/>
      <c r="O16" s="1661"/>
      <c r="P16" s="4229"/>
      <c r="Q16" s="1233" t="str">
        <f>B16</f>
        <v>公共配套设施</v>
      </c>
      <c r="R16" s="1234" t="s">
        <v>5</v>
      </c>
      <c r="S16" s="1235">
        <f>F16</f>
        <v>100</v>
      </c>
      <c r="T16" s="1234" t="s">
        <v>5</v>
      </c>
      <c r="U16" s="1235">
        <f>H16</f>
        <v>100</v>
      </c>
      <c r="V16" s="1234" t="s">
        <v>5</v>
      </c>
      <c r="W16" s="1235">
        <f>J16</f>
        <v>100</v>
      </c>
      <c r="X16" s="1228"/>
      <c r="Y16" s="4229"/>
      <c r="Z16" s="1236" t="str">
        <f>Q16</f>
        <v>公共配套设施</v>
      </c>
      <c r="AA16" s="1237">
        <f t="shared" si="3"/>
        <v>1</v>
      </c>
      <c r="AB16" s="1237">
        <f t="shared" si="4"/>
        <v>1</v>
      </c>
      <c r="AC16" s="1237">
        <f t="shared" si="5"/>
        <v>1</v>
      </c>
    </row>
    <row r="17" spans="1:29" ht="15">
      <c r="A17" s="390"/>
      <c r="B17" s="424"/>
      <c r="C17" s="717"/>
      <c r="D17" s="413"/>
      <c r="E17" s="434"/>
      <c r="F17" s="415"/>
      <c r="G17" s="434"/>
      <c r="H17" s="413"/>
      <c r="I17" s="434"/>
      <c r="J17" s="413"/>
      <c r="K17" s="743"/>
      <c r="L17" s="1662"/>
      <c r="M17" s="1654"/>
      <c r="N17" s="1654"/>
      <c r="O17" s="1661"/>
      <c r="P17" s="4229"/>
      <c r="Q17" s="1233"/>
      <c r="R17" s="1234"/>
      <c r="S17" s="1235"/>
      <c r="T17" s="1234"/>
      <c r="U17" s="1235"/>
      <c r="V17" s="1234"/>
      <c r="W17" s="1235"/>
      <c r="X17" s="1228"/>
      <c r="Y17" s="4229"/>
      <c r="Z17" s="1236"/>
      <c r="AA17" s="1237">
        <v>1</v>
      </c>
      <c r="AB17" s="1237">
        <v>1</v>
      </c>
      <c r="AC17" s="1237">
        <v>1</v>
      </c>
    </row>
    <row r="18" spans="1:29" ht="28.5">
      <c r="A18" s="390"/>
      <c r="B18" s="1964" t="s">
        <v>1750</v>
      </c>
      <c r="C18" s="716"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2"/>
      <c r="L18" s="1662"/>
      <c r="M18" s="1654"/>
      <c r="N18" s="1654"/>
      <c r="O18" s="1661"/>
      <c r="P18" s="4229"/>
      <c r="Q18" s="1958" t="str">
        <f>B18</f>
        <v>基础设施水平</v>
      </c>
      <c r="R18" s="1234" t="s">
        <v>5</v>
      </c>
      <c r="S18" s="1235">
        <f>F18</f>
        <v>100</v>
      </c>
      <c r="T18" s="1234" t="s">
        <v>5</v>
      </c>
      <c r="U18" s="1235">
        <f>H18</f>
        <v>100</v>
      </c>
      <c r="V18" s="1234" t="s">
        <v>5</v>
      </c>
      <c r="W18" s="1235">
        <f>J18</f>
        <v>100</v>
      </c>
      <c r="X18" s="1960"/>
      <c r="Y18" s="4229"/>
      <c r="Z18" s="1959" t="str">
        <f>Q18</f>
        <v>基础设施水平</v>
      </c>
      <c r="AA18" s="1237">
        <f>D18/F18</f>
        <v>1</v>
      </c>
      <c r="AB18" s="1237">
        <f>D18/H18</f>
        <v>1</v>
      </c>
      <c r="AC18" s="1237">
        <f>D18/J18</f>
        <v>1</v>
      </c>
    </row>
    <row r="19" spans="1:29" ht="15">
      <c r="A19" s="390"/>
      <c r="B19" s="436"/>
      <c r="C19" s="717"/>
      <c r="D19" s="417"/>
      <c r="E19" s="717"/>
      <c r="F19" s="421"/>
      <c r="G19" s="717"/>
      <c r="H19" s="413"/>
      <c r="I19" s="434"/>
      <c r="J19" s="413"/>
      <c r="K19" s="1975"/>
      <c r="L19" s="1662"/>
      <c r="M19" s="1654"/>
      <c r="N19" s="1654"/>
      <c r="O19" s="1661"/>
      <c r="P19" s="4229"/>
      <c r="Q19" s="1958"/>
      <c r="R19" s="1234"/>
      <c r="S19" s="1235"/>
      <c r="T19" s="1234"/>
      <c r="U19" s="1235"/>
      <c r="V19" s="1234"/>
      <c r="W19" s="1235"/>
      <c r="X19" s="1960"/>
      <c r="Y19" s="4229"/>
      <c r="Z19" s="1959"/>
      <c r="AA19" s="1237">
        <v>1</v>
      </c>
      <c r="AB19" s="1237">
        <v>1</v>
      </c>
      <c r="AC19" s="1237">
        <v>1</v>
      </c>
    </row>
    <row r="20" spans="1:29" ht="57">
      <c r="A20" s="390"/>
      <c r="B20" s="715" t="s">
        <v>744</v>
      </c>
      <c r="C20" s="716"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2"/>
      <c r="L20" s="1662"/>
      <c r="M20" s="1654"/>
      <c r="N20" s="1654"/>
      <c r="O20" s="1661"/>
      <c r="P20" s="4229"/>
      <c r="Q20" s="1233" t="str">
        <f>B20</f>
        <v>自然及人文环境</v>
      </c>
      <c r="R20" s="1234" t="s">
        <v>5</v>
      </c>
      <c r="S20" s="1235">
        <f>F20</f>
        <v>100</v>
      </c>
      <c r="T20" s="1234" t="s">
        <v>5</v>
      </c>
      <c r="U20" s="1235">
        <f>H20</f>
        <v>100</v>
      </c>
      <c r="V20" s="1234" t="s">
        <v>5</v>
      </c>
      <c r="W20" s="1235">
        <f>J20</f>
        <v>100</v>
      </c>
      <c r="X20" s="1228"/>
      <c r="Y20" s="4229"/>
      <c r="Z20" s="1236" t="str">
        <f>Q20</f>
        <v>自然及人文环境</v>
      </c>
      <c r="AA20" s="1237">
        <f t="shared" si="3"/>
        <v>1</v>
      </c>
      <c r="AB20" s="1237">
        <f t="shared" si="4"/>
        <v>1</v>
      </c>
      <c r="AC20" s="1237">
        <f t="shared" si="5"/>
        <v>1</v>
      </c>
    </row>
    <row r="21" spans="1:29" ht="15">
      <c r="A21" s="390"/>
      <c r="B21" s="453"/>
      <c r="C21" s="434"/>
      <c r="D21" s="413"/>
      <c r="E21" s="434"/>
      <c r="F21" s="415"/>
      <c r="G21" s="434"/>
      <c r="H21" s="413"/>
      <c r="I21" s="434"/>
      <c r="J21" s="413"/>
      <c r="K21" s="743"/>
      <c r="L21" s="1662"/>
      <c r="M21" s="1654"/>
      <c r="N21" s="1654"/>
      <c r="O21" s="1661"/>
      <c r="P21" s="4229"/>
      <c r="Q21" s="1233"/>
      <c r="R21" s="1234"/>
      <c r="S21" s="1235"/>
      <c r="T21" s="1234"/>
      <c r="U21" s="1235"/>
      <c r="V21" s="1234"/>
      <c r="W21" s="1235"/>
      <c r="X21" s="1228"/>
      <c r="Y21" s="4229"/>
      <c r="Z21" s="1236"/>
      <c r="AA21" s="1237">
        <v>1</v>
      </c>
      <c r="AB21" s="1237">
        <v>1</v>
      </c>
      <c r="AC21" s="1237">
        <v>1</v>
      </c>
    </row>
    <row r="22" spans="1:29" ht="15">
      <c r="A22" s="390"/>
      <c r="B22" s="715"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229"/>
      <c r="Q22" s="1233" t="str">
        <f>B22</f>
        <v>楼层</v>
      </c>
      <c r="R22" s="1234" t="s">
        <v>5</v>
      </c>
      <c r="S22" s="1235">
        <f>F22</f>
        <v>100</v>
      </c>
      <c r="T22" s="1234" t="s">
        <v>5</v>
      </c>
      <c r="U22" s="1235">
        <f>H22</f>
        <v>100</v>
      </c>
      <c r="V22" s="1234" t="s">
        <v>5</v>
      </c>
      <c r="W22" s="1235">
        <f>J22</f>
        <v>100</v>
      </c>
      <c r="X22" s="1228"/>
      <c r="Y22" s="4229"/>
      <c r="Z22" s="1236" t="str">
        <f>Q22</f>
        <v>楼层</v>
      </c>
      <c r="AA22" s="1237">
        <f t="shared" si="3"/>
        <v>1</v>
      </c>
      <c r="AB22" s="1237">
        <f t="shared" si="4"/>
        <v>1</v>
      </c>
      <c r="AC22" s="1237">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229"/>
      <c r="Q23" s="1233">
        <f>B23</f>
        <v>111</v>
      </c>
      <c r="R23" s="1234" t="s">
        <v>5</v>
      </c>
      <c r="S23" s="1235">
        <f>F23</f>
        <v>100</v>
      </c>
      <c r="T23" s="1234" t="s">
        <v>5</v>
      </c>
      <c r="U23" s="1235">
        <f>H23</f>
        <v>100</v>
      </c>
      <c r="V23" s="1234" t="s">
        <v>5</v>
      </c>
      <c r="W23" s="1235">
        <f>J23</f>
        <v>100</v>
      </c>
      <c r="X23" s="1228"/>
      <c r="Y23" s="4229"/>
      <c r="Z23" s="1236">
        <f>Q23</f>
        <v>111</v>
      </c>
      <c r="AA23" s="1237">
        <f t="shared" si="3"/>
        <v>1</v>
      </c>
      <c r="AB23" s="1237">
        <f t="shared" si="4"/>
        <v>1</v>
      </c>
      <c r="AC23" s="1237">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229"/>
      <c r="Q24" s="1233">
        <f t="shared" ref="Q24:Q34" si="8">B24</f>
        <v>111</v>
      </c>
      <c r="R24" s="1234" t="s">
        <v>5</v>
      </c>
      <c r="S24" s="1235">
        <f>F24</f>
        <v>100</v>
      </c>
      <c r="T24" s="1234" t="s">
        <v>5</v>
      </c>
      <c r="U24" s="1235">
        <f>H24</f>
        <v>100</v>
      </c>
      <c r="V24" s="1234" t="s">
        <v>5</v>
      </c>
      <c r="W24" s="1235">
        <f>J24</f>
        <v>100</v>
      </c>
      <c r="X24" s="1228"/>
      <c r="Y24" s="4229"/>
      <c r="Z24" s="1236">
        <f>Q24</f>
        <v>111</v>
      </c>
      <c r="AA24" s="1237">
        <f t="shared" si="3"/>
        <v>1</v>
      </c>
      <c r="AB24" s="1237">
        <f t="shared" si="4"/>
        <v>1</v>
      </c>
      <c r="AC24" s="1237">
        <f t="shared" si="5"/>
        <v>1</v>
      </c>
    </row>
    <row r="25" spans="1:29" s="981" customFormat="1" ht="15.75" thickBot="1">
      <c r="A25" s="394"/>
      <c r="B25" s="395">
        <v>111</v>
      </c>
      <c r="C25" s="784"/>
      <c r="D25" s="785">
        <v>100</v>
      </c>
      <c r="E25" s="784"/>
      <c r="F25" s="786">
        <f>SUMIF(75:75,E25,76:76)-SUMIF(75:75,C25,76:76)+100</f>
        <v>100</v>
      </c>
      <c r="G25" s="784"/>
      <c r="H25" s="785">
        <f>SUMIF(75:75,G25,76:76)-SUMIF(75:75,C25,76:76)+100</f>
        <v>100</v>
      </c>
      <c r="I25" s="784"/>
      <c r="J25" s="785">
        <f>SUMIF(75:75,I25,76:76)-SUMIF(75:75,C25,76:76)+100</f>
        <v>100</v>
      </c>
      <c r="K25" s="439"/>
      <c r="L25" s="1655"/>
      <c r="M25" s="1656"/>
      <c r="N25" s="1656"/>
      <c r="O25" s="1657"/>
      <c r="P25" s="4229"/>
      <c r="Q25" s="929">
        <f t="shared" si="8"/>
        <v>111</v>
      </c>
      <c r="R25" s="1229" t="s">
        <v>5</v>
      </c>
      <c r="S25" s="1230">
        <f>F25</f>
        <v>100</v>
      </c>
      <c r="T25" s="1229" t="s">
        <v>5</v>
      </c>
      <c r="U25" s="1230">
        <f>H25</f>
        <v>100</v>
      </c>
      <c r="V25" s="1229" t="s">
        <v>5</v>
      </c>
      <c r="W25" s="1230">
        <f>J25</f>
        <v>100</v>
      </c>
      <c r="X25" s="1231"/>
      <c r="Y25" s="4229"/>
      <c r="Z25" s="928">
        <f>Q25</f>
        <v>111</v>
      </c>
      <c r="AA25" s="1237">
        <f>D25/F25</f>
        <v>1</v>
      </c>
      <c r="AB25" s="1237">
        <f>D25/H25</f>
        <v>1</v>
      </c>
      <c r="AC25" s="1237">
        <f>D25/J25</f>
        <v>1</v>
      </c>
    </row>
    <row r="26" spans="1:29" ht="15">
      <c r="A26" s="2098" t="s">
        <v>1946</v>
      </c>
      <c r="B26" s="140" t="s">
        <v>748</v>
      </c>
      <c r="C26" s="760"/>
      <c r="D26" s="455">
        <v>100</v>
      </c>
      <c r="E26" s="760"/>
      <c r="F26" s="787">
        <f>SUMIF(77:77,E26,78:78)-SUMIF(77:77,C26,78:78)+100</f>
        <v>100</v>
      </c>
      <c r="G26" s="760"/>
      <c r="H26" s="455">
        <f>SUMIF(77:77,G26,78:78)-SUMIF(77:77,C26,78:78)+100</f>
        <v>100</v>
      </c>
      <c r="I26" s="760"/>
      <c r="J26" s="455">
        <f>SUMIF(77:77,I26,78:78)-SUMIF(77:77,C26,78:78)+100</f>
        <v>100</v>
      </c>
      <c r="K26" s="442"/>
      <c r="L26" s="1662"/>
      <c r="M26" s="1654"/>
      <c r="N26" s="1654"/>
      <c r="O26" s="1661"/>
      <c r="P26" s="4230" t="s">
        <v>761</v>
      </c>
      <c r="Q26" s="1233" t="str">
        <f t="shared" si="8"/>
        <v>公共部分装修</v>
      </c>
      <c r="R26" s="1234" t="s">
        <v>5</v>
      </c>
      <c r="S26" s="1235">
        <f t="shared" ref="S26:S34" si="9">F26</f>
        <v>100</v>
      </c>
      <c r="T26" s="1234" t="s">
        <v>5</v>
      </c>
      <c r="U26" s="1235">
        <f t="shared" ref="U26:U34" si="10">H26</f>
        <v>100</v>
      </c>
      <c r="V26" s="1234" t="s">
        <v>5</v>
      </c>
      <c r="W26" s="1235">
        <f t="shared" ref="W26:W34" si="11">J26</f>
        <v>100</v>
      </c>
      <c r="X26" s="1228"/>
      <c r="Y26" s="4231" t="s">
        <v>761</v>
      </c>
      <c r="Z26" s="1236" t="str">
        <f t="shared" ref="Z26:Z34" si="12">Q26</f>
        <v>公共部分装修</v>
      </c>
      <c r="AA26" s="1237">
        <f t="shared" si="3"/>
        <v>1</v>
      </c>
      <c r="AB26" s="1237">
        <f t="shared" si="4"/>
        <v>1</v>
      </c>
      <c r="AC26" s="1237">
        <f t="shared" si="5"/>
        <v>1</v>
      </c>
    </row>
    <row r="27" spans="1:29" s="1063" customFormat="1" ht="15">
      <c r="A27" s="461"/>
      <c r="B27" s="385" t="s">
        <v>749</v>
      </c>
      <c r="C27" s="727"/>
      <c r="D27" s="145">
        <v>100</v>
      </c>
      <c r="E27" s="728"/>
      <c r="F27" s="433" t="e">
        <f>LOOKUP(E27,80:80,81:81)-LOOKUP(C27,80:80,81:81)+100</f>
        <v>#N/A</v>
      </c>
      <c r="G27" s="729"/>
      <c r="H27" s="398" t="e">
        <f>LOOKUP(G27,80:80,81:81)-LOOKUP(C27,80:80,81:81)+100</f>
        <v>#N/A</v>
      </c>
      <c r="I27" s="729"/>
      <c r="J27" s="398" t="e">
        <f>LOOKUP(I27,80:80,81:81)-LOOKUP(C27,80:80,81:81)+100</f>
        <v>#N/A</v>
      </c>
      <c r="K27" s="442"/>
      <c r="L27" s="1660"/>
      <c r="M27" s="1690"/>
      <c r="N27" s="1690"/>
      <c r="O27" s="1663"/>
      <c r="P27" s="4231"/>
      <c r="Q27" s="1260" t="str">
        <f t="shared" si="8"/>
        <v>成新率</v>
      </c>
      <c r="R27" s="1238" t="s">
        <v>5</v>
      </c>
      <c r="S27" s="1239" t="e">
        <f t="shared" si="9"/>
        <v>#N/A</v>
      </c>
      <c r="T27" s="1238" t="s">
        <v>5</v>
      </c>
      <c r="U27" s="1239" t="e">
        <f t="shared" si="10"/>
        <v>#N/A</v>
      </c>
      <c r="V27" s="1238" t="s">
        <v>5</v>
      </c>
      <c r="W27" s="1239" t="e">
        <f t="shared" si="11"/>
        <v>#N/A</v>
      </c>
      <c r="X27" s="1240"/>
      <c r="Y27" s="4231"/>
      <c r="Z27" s="1241" t="str">
        <f t="shared" si="12"/>
        <v>成新率</v>
      </c>
      <c r="AA27" s="1237" t="e">
        <f t="shared" si="3"/>
        <v>#N/A</v>
      </c>
      <c r="AB27" s="1237" t="e">
        <f t="shared" si="4"/>
        <v>#N/A</v>
      </c>
      <c r="AC27" s="1237"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231"/>
      <c r="Q28" s="1233" t="str">
        <f t="shared" si="8"/>
        <v>物业等级</v>
      </c>
      <c r="R28" s="1234" t="s">
        <v>5</v>
      </c>
      <c r="S28" s="1235">
        <f t="shared" si="9"/>
        <v>100</v>
      </c>
      <c r="T28" s="1234" t="s">
        <v>5</v>
      </c>
      <c r="U28" s="1235">
        <f t="shared" si="10"/>
        <v>100</v>
      </c>
      <c r="V28" s="1234" t="s">
        <v>5</v>
      </c>
      <c r="W28" s="1235">
        <f t="shared" si="11"/>
        <v>100</v>
      </c>
      <c r="X28" s="1228"/>
      <c r="Y28" s="4231"/>
      <c r="Z28" s="1236" t="str">
        <f t="shared" si="12"/>
        <v>物业等级</v>
      </c>
      <c r="AA28" s="1237">
        <f t="shared" si="3"/>
        <v>1</v>
      </c>
      <c r="AB28" s="1237">
        <f t="shared" si="4"/>
        <v>1</v>
      </c>
      <c r="AC28" s="1237">
        <f t="shared" si="5"/>
        <v>1</v>
      </c>
    </row>
    <row r="29" spans="1:29" ht="15">
      <c r="A29" s="452"/>
      <c r="B29" s="385" t="s">
        <v>762</v>
      </c>
      <c r="C29" s="776"/>
      <c r="D29" s="398">
        <v>100</v>
      </c>
      <c r="E29" s="776"/>
      <c r="F29" s="433">
        <f>SUMIF(84:84,E29,85:85)-SUMIF(84:84,C29,85:85)+100</f>
        <v>100</v>
      </c>
      <c r="G29" s="776"/>
      <c r="H29" s="398">
        <f>SUMIF(84:84,G29,85:85)-SUMIF(84:84,C29,85:85)+100</f>
        <v>100</v>
      </c>
      <c r="I29" s="776"/>
      <c r="J29" s="398">
        <f>SUMIF(84:84,I29,85:85)-SUMIF(84:84,C29,85:85)+100</f>
        <v>100</v>
      </c>
      <c r="K29" s="442"/>
      <c r="L29" s="1662"/>
      <c r="M29" s="1654"/>
      <c r="N29" s="1654"/>
      <c r="O29" s="1661"/>
      <c r="P29" s="4231"/>
      <c r="Q29" s="1233" t="str">
        <f t="shared" si="8"/>
        <v>有无电梯</v>
      </c>
      <c r="R29" s="1234" t="s">
        <v>5</v>
      </c>
      <c r="S29" s="1235">
        <f t="shared" si="9"/>
        <v>100</v>
      </c>
      <c r="T29" s="1234" t="s">
        <v>5</v>
      </c>
      <c r="U29" s="1235">
        <f t="shared" si="10"/>
        <v>100</v>
      </c>
      <c r="V29" s="1234" t="s">
        <v>5</v>
      </c>
      <c r="W29" s="1235">
        <f t="shared" si="11"/>
        <v>100</v>
      </c>
      <c r="X29" s="1228"/>
      <c r="Y29" s="4231"/>
      <c r="Z29" s="1236" t="str">
        <f t="shared" si="12"/>
        <v>有无电梯</v>
      </c>
      <c r="AA29" s="1237">
        <f t="shared" si="3"/>
        <v>1</v>
      </c>
      <c r="AB29" s="1237">
        <f t="shared" si="4"/>
        <v>1</v>
      </c>
      <c r="AC29" s="1237">
        <f t="shared" si="5"/>
        <v>1</v>
      </c>
    </row>
    <row r="30" spans="1:29" ht="15">
      <c r="A30" s="452"/>
      <c r="B30" s="385" t="s">
        <v>763</v>
      </c>
      <c r="C30" s="724"/>
      <c r="D30" s="398">
        <v>100</v>
      </c>
      <c r="E30" s="724"/>
      <c r="F30" s="433" t="e">
        <f>LOOKUP(E30,87:87,88:88)-LOOKUP(C30,87:87,88:88)+100</f>
        <v>#N/A</v>
      </c>
      <c r="G30" s="724"/>
      <c r="H30" s="398" t="e">
        <f>LOOKUP(G30,87:87,88:88)-LOOKUP(C30,87:87,88:88)+100</f>
        <v>#N/A</v>
      </c>
      <c r="I30" s="724"/>
      <c r="J30" s="398" t="e">
        <f>LOOKUP(I30,87:87,88:88)-LOOKUP(C30,87:87,88:88)+100</f>
        <v>#N/A</v>
      </c>
      <c r="K30" s="439"/>
      <c r="L30" s="1662"/>
      <c r="M30" s="1654"/>
      <c r="N30" s="1654"/>
      <c r="O30" s="1661"/>
      <c r="P30" s="4231"/>
      <c r="Q30" s="1233" t="str">
        <f t="shared" si="8"/>
        <v>建筑面积</v>
      </c>
      <c r="R30" s="1234" t="s">
        <v>5</v>
      </c>
      <c r="S30" s="1235" t="e">
        <f t="shared" si="9"/>
        <v>#N/A</v>
      </c>
      <c r="T30" s="1234" t="s">
        <v>5</v>
      </c>
      <c r="U30" s="1235" t="e">
        <f t="shared" si="10"/>
        <v>#N/A</v>
      </c>
      <c r="V30" s="1234" t="s">
        <v>5</v>
      </c>
      <c r="W30" s="1235" t="e">
        <f t="shared" si="11"/>
        <v>#N/A</v>
      </c>
      <c r="X30" s="1228"/>
      <c r="Y30" s="4231"/>
      <c r="Z30" s="1236" t="str">
        <f t="shared" si="12"/>
        <v>建筑面积</v>
      </c>
      <c r="AA30" s="1237" t="e">
        <f t="shared" si="3"/>
        <v>#N/A</v>
      </c>
      <c r="AB30" s="1237" t="e">
        <f t="shared" si="4"/>
        <v>#N/A</v>
      </c>
      <c r="AC30" s="1237" t="e">
        <f t="shared" si="5"/>
        <v>#N/A</v>
      </c>
    </row>
    <row r="31" spans="1:29" s="981" customFormat="1" ht="15">
      <c r="A31" s="458"/>
      <c r="B31" s="385" t="s">
        <v>764</v>
      </c>
      <c r="C31" s="776"/>
      <c r="D31" s="145">
        <v>100</v>
      </c>
      <c r="E31" s="776"/>
      <c r="F31" s="433">
        <f>SUMIF(89:89,E31,90:90)-SUMIF(89:89,C31,90:90)+100</f>
        <v>100</v>
      </c>
      <c r="G31" s="776"/>
      <c r="H31" s="398">
        <f>SUMIF(89:89,G31,90:90)-SUMIF(89:89,C31,90:90)+100</f>
        <v>100</v>
      </c>
      <c r="I31" s="776"/>
      <c r="J31" s="398">
        <f>SUMIF(89:89,I31,90:90)-SUMIF(89:89,C31,90:90)+100</f>
        <v>100</v>
      </c>
      <c r="K31" s="442"/>
      <c r="L31" s="1655"/>
      <c r="M31" s="1656"/>
      <c r="N31" s="1656"/>
      <c r="O31" s="1657"/>
      <c r="P31" s="4231"/>
      <c r="Q31" s="929" t="str">
        <f t="shared" si="8"/>
        <v>是否封闭</v>
      </c>
      <c r="R31" s="1229" t="s">
        <v>5</v>
      </c>
      <c r="S31" s="1230">
        <f t="shared" si="9"/>
        <v>100</v>
      </c>
      <c r="T31" s="1229" t="s">
        <v>5</v>
      </c>
      <c r="U31" s="1230">
        <f t="shared" si="10"/>
        <v>100</v>
      </c>
      <c r="V31" s="1229" t="s">
        <v>5</v>
      </c>
      <c r="W31" s="1230">
        <f t="shared" si="11"/>
        <v>100</v>
      </c>
      <c r="X31" s="1231"/>
      <c r="Y31" s="4231"/>
      <c r="Z31" s="928" t="str">
        <f t="shared" si="12"/>
        <v>是否封闭</v>
      </c>
      <c r="AA31" s="1232">
        <f t="shared" si="3"/>
        <v>1</v>
      </c>
      <c r="AB31" s="1232">
        <f t="shared" si="4"/>
        <v>1</v>
      </c>
      <c r="AC31" s="1232">
        <f t="shared" si="5"/>
        <v>1</v>
      </c>
    </row>
    <row r="32" spans="1:29" ht="15">
      <c r="A32" s="452"/>
      <c r="B32" s="395">
        <v>111</v>
      </c>
      <c r="C32" s="386"/>
      <c r="D32" s="398">
        <v>100</v>
      </c>
      <c r="E32" s="724"/>
      <c r="F32" s="433">
        <f>SUMIF(91:91,E32,92:92)-SUMIF(91:91,C32,92:92)+100</f>
        <v>100</v>
      </c>
      <c r="G32" s="724"/>
      <c r="H32" s="398">
        <f>SUMIF(91:91,G32,92:92)-SUMIF(91:91,C32,92:92)+100</f>
        <v>100</v>
      </c>
      <c r="I32" s="724"/>
      <c r="J32" s="398">
        <f>SUMIF(91:91,I32,92:92)-SUMIF(91:91,C32,92:92)+100</f>
        <v>100</v>
      </c>
      <c r="K32" s="439"/>
      <c r="L32" s="1662"/>
      <c r="M32" s="1654"/>
      <c r="N32" s="1654"/>
      <c r="O32" s="1661"/>
      <c r="P32" s="4231" t="s">
        <v>499</v>
      </c>
      <c r="Q32" s="1233">
        <f t="shared" si="8"/>
        <v>111</v>
      </c>
      <c r="R32" s="1234" t="s">
        <v>5</v>
      </c>
      <c r="S32" s="1235">
        <f t="shared" si="9"/>
        <v>100</v>
      </c>
      <c r="T32" s="1234" t="s">
        <v>5</v>
      </c>
      <c r="U32" s="1235">
        <f t="shared" si="10"/>
        <v>100</v>
      </c>
      <c r="V32" s="1234" t="s">
        <v>5</v>
      </c>
      <c r="W32" s="1235">
        <f t="shared" si="11"/>
        <v>100</v>
      </c>
      <c r="X32" s="1228"/>
      <c r="Y32" s="4231" t="s">
        <v>499</v>
      </c>
      <c r="Z32" s="1236">
        <f t="shared" si="12"/>
        <v>111</v>
      </c>
      <c r="AA32" s="1237">
        <f t="shared" si="3"/>
        <v>1</v>
      </c>
      <c r="AB32" s="1237">
        <f t="shared" si="4"/>
        <v>1</v>
      </c>
      <c r="AC32" s="1237">
        <f t="shared" si="5"/>
        <v>1</v>
      </c>
    </row>
    <row r="33" spans="1:29" ht="15">
      <c r="A33" s="452"/>
      <c r="B33" s="395">
        <v>111</v>
      </c>
      <c r="C33" s="386"/>
      <c r="D33" s="398">
        <v>100</v>
      </c>
      <c r="E33" s="724"/>
      <c r="F33" s="433">
        <f>SUMIF(93:93,E33,94:94)-SUMIF(93:93,C33,94:94)+100</f>
        <v>100</v>
      </c>
      <c r="G33" s="724"/>
      <c r="H33" s="398">
        <f>SUMIF(93:93,G33,94:94)-SUMIF(93:93,C33,94:94)+100</f>
        <v>100</v>
      </c>
      <c r="I33" s="724"/>
      <c r="J33" s="398">
        <f>SUMIF(93:93,I33,94:94)-SUMIF(93:93,C33,94:94)+100</f>
        <v>100</v>
      </c>
      <c r="K33" s="439"/>
      <c r="L33" s="1662"/>
      <c r="M33" s="1654"/>
      <c r="N33" s="1654"/>
      <c r="O33" s="1661"/>
      <c r="P33" s="4231"/>
      <c r="Q33" s="1233">
        <f t="shared" si="8"/>
        <v>111</v>
      </c>
      <c r="R33" s="1234" t="s">
        <v>5</v>
      </c>
      <c r="S33" s="1235">
        <f t="shared" si="9"/>
        <v>100</v>
      </c>
      <c r="T33" s="1234" t="s">
        <v>5</v>
      </c>
      <c r="U33" s="1235">
        <f t="shared" si="10"/>
        <v>100</v>
      </c>
      <c r="V33" s="1234" t="s">
        <v>5</v>
      </c>
      <c r="W33" s="1235">
        <f t="shared" si="11"/>
        <v>100</v>
      </c>
      <c r="X33" s="1228"/>
      <c r="Y33" s="4231"/>
      <c r="Z33" s="1236">
        <f t="shared" si="12"/>
        <v>111</v>
      </c>
      <c r="AA33" s="1237">
        <f t="shared" si="3"/>
        <v>1</v>
      </c>
      <c r="AB33" s="1237">
        <f t="shared" si="4"/>
        <v>1</v>
      </c>
      <c r="AC33" s="1237">
        <f t="shared" si="5"/>
        <v>1</v>
      </c>
    </row>
    <row r="34" spans="1:29" ht="15.75" thickBot="1">
      <c r="A34" s="730"/>
      <c r="B34" s="402">
        <v>111</v>
      </c>
      <c r="C34" s="403"/>
      <c r="D34" s="404">
        <v>100</v>
      </c>
      <c r="E34" s="788"/>
      <c r="F34" s="710">
        <f>SUMIF(95:95,E34,96:96)-SUMIF(95:95,C34,96:96)+100</f>
        <v>100</v>
      </c>
      <c r="G34" s="788"/>
      <c r="H34" s="404">
        <f>SUMIF(95:95,G34,96:96)-SUMIF(95:95,C34,96:96)+100</f>
        <v>100</v>
      </c>
      <c r="I34" s="788"/>
      <c r="J34" s="404">
        <f>SUMIF(95:95,I34,96:96)-SUMIF(95:95,C34,96:96)+100</f>
        <v>100</v>
      </c>
      <c r="K34" s="439"/>
      <c r="L34" s="1662"/>
      <c r="M34" s="1654"/>
      <c r="N34" s="1654"/>
      <c r="O34" s="1661"/>
      <c r="P34" s="4231"/>
      <c r="Q34" s="1233">
        <f t="shared" si="8"/>
        <v>111</v>
      </c>
      <c r="R34" s="1234" t="s">
        <v>5</v>
      </c>
      <c r="S34" s="1235">
        <f t="shared" si="9"/>
        <v>100</v>
      </c>
      <c r="T34" s="1234" t="s">
        <v>5</v>
      </c>
      <c r="U34" s="1235">
        <f t="shared" si="10"/>
        <v>100</v>
      </c>
      <c r="V34" s="1234" t="s">
        <v>5</v>
      </c>
      <c r="W34" s="1235">
        <f t="shared" si="11"/>
        <v>100</v>
      </c>
      <c r="X34" s="1228"/>
      <c r="Y34" s="4231"/>
      <c r="Z34" s="1236">
        <f t="shared" si="12"/>
        <v>111</v>
      </c>
      <c r="AA34" s="1237">
        <f t="shared" si="3"/>
        <v>1</v>
      </c>
      <c r="AB34" s="1237">
        <f t="shared" si="4"/>
        <v>1</v>
      </c>
      <c r="AC34" s="1237">
        <f t="shared" si="5"/>
        <v>1</v>
      </c>
    </row>
    <row r="35" spans="1:29" ht="15">
      <c r="A35" s="465" t="s">
        <v>683</v>
      </c>
      <c r="B35" s="731"/>
      <c r="C35" s="1998" t="s">
        <v>0</v>
      </c>
      <c r="D35" s="1999"/>
      <c r="E35" s="2000"/>
      <c r="F35" s="2001"/>
      <c r="G35" s="2002"/>
      <c r="H35" s="2003"/>
      <c r="I35" s="2000"/>
      <c r="J35" s="2003"/>
      <c r="K35" s="1265"/>
      <c r="L35" s="1664"/>
      <c r="M35" s="1665"/>
      <c r="N35" s="1654"/>
      <c r="O35" s="1665"/>
      <c r="P35" s="4195" t="str">
        <f>A35</f>
        <v>成交单价（元/平方米）</v>
      </c>
      <c r="Q35" s="4195"/>
      <c r="R35" s="4287">
        <f>E35</f>
        <v>0</v>
      </c>
      <c r="S35" s="4287"/>
      <c r="T35" s="4287">
        <f>G35</f>
        <v>0</v>
      </c>
      <c r="U35" s="4287"/>
      <c r="V35" s="4287">
        <f>I35</f>
        <v>0</v>
      </c>
      <c r="W35" s="4287"/>
      <c r="X35" s="1223"/>
      <c r="Y35" s="1242"/>
      <c r="Z35" s="1223"/>
      <c r="AA35" s="1223"/>
      <c r="AB35" s="1223"/>
      <c r="AC35" s="1223"/>
    </row>
    <row r="36" spans="1:29" ht="15.75" thickBot="1">
      <c r="A36" s="473" t="s">
        <v>1951</v>
      </c>
      <c r="B36" s="732"/>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195" t="str">
        <f>A36</f>
        <v>比较价格（元/平方米）</v>
      </c>
      <c r="Q36" s="4195"/>
      <c r="R36" s="4287" t="e">
        <f>IF(F1="售价",ROUND(PRODUCT(R35,AA7:AA34),0),ROUND(PRODUCT(R35,AA7:AA34),1))</f>
        <v>#DIV/0!</v>
      </c>
      <c r="S36" s="4287"/>
      <c r="T36" s="4287" t="e">
        <f>IF(F1="售价",ROUND(PRODUCT(T35,AB7:AB34),0),ROUND(PRODUCT(T35,AB7:AB34),1))</f>
        <v>#DIV/0!</v>
      </c>
      <c r="U36" s="4287"/>
      <c r="V36" s="4287" t="e">
        <f>IF(F1="售价",ROUND(PRODUCT(V35,AC7:AC34),0),ROUND(PRODUCT(V35,AC7:AC34),1))</f>
        <v>#DIV/0!</v>
      </c>
      <c r="W36" s="4287"/>
      <c r="X36" s="1223"/>
      <c r="Y36" s="1223"/>
      <c r="Z36" s="1223"/>
      <c r="AA36" s="1223"/>
      <c r="AB36" s="1223"/>
      <c r="AC36" s="1223"/>
    </row>
    <row r="37" spans="1:29" ht="15.75" thickBot="1">
      <c r="A37" s="477" t="s">
        <v>2106</v>
      </c>
      <c r="B37" s="478"/>
      <c r="C37" s="2006" t="e">
        <f>R37</f>
        <v>#DIV/0!</v>
      </c>
      <c r="D37" s="2006"/>
      <c r="E37" s="2006"/>
      <c r="F37" s="2006"/>
      <c r="G37" s="2006"/>
      <c r="H37" s="2006"/>
      <c r="I37" s="2006"/>
      <c r="J37" s="2006"/>
      <c r="K37" s="1266"/>
      <c r="L37" s="1664"/>
      <c r="M37" s="1665"/>
      <c r="N37" s="1665"/>
      <c r="O37" s="1665"/>
      <c r="P37" s="4232" t="str">
        <f>A37</f>
        <v>估价对象XX用房的比较价格（楼面单价，元/平方米）</v>
      </c>
      <c r="Q37" s="4233"/>
      <c r="R37" s="4288" t="e">
        <f>IF(F1="售价",ROUND(IF(D36="简单平均",AVERAGE(R36:W36),R36*F36+T36*H36+V36*J36),0),ROUND(IF(D36="简单平均",AVERAGE(R36:V36),R36*F36+T36*H36+V36*J36),1))</f>
        <v>#DIV/0!</v>
      </c>
      <c r="S37" s="4288"/>
      <c r="T37" s="4288"/>
      <c r="U37" s="4288"/>
      <c r="V37" s="4288"/>
      <c r="W37" s="4288"/>
      <c r="X37" s="1223"/>
      <c r="Y37" s="1223"/>
      <c r="Z37" s="1223"/>
      <c r="AA37" s="1223"/>
      <c r="AB37" s="1223"/>
      <c r="AC37" s="1223"/>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8"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8"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5" t="s">
        <v>522</v>
      </c>
      <c r="B45" s="1223"/>
      <c r="C45" s="1244"/>
      <c r="D45" s="1244"/>
      <c r="E45" s="1244"/>
      <c r="F45" s="1246"/>
      <c r="G45" s="1246"/>
      <c r="H45" s="1244"/>
      <c r="I45" s="1244"/>
      <c r="J45" s="1244"/>
      <c r="K45" s="1247"/>
      <c r="L45" s="1243"/>
      <c r="M45" s="1244"/>
      <c r="N45" s="1676"/>
      <c r="O45" s="1676"/>
      <c r="P45" s="1676"/>
      <c r="Q45" s="1677"/>
      <c r="R45" s="1665"/>
      <c r="S45" s="1665"/>
      <c r="T45" s="1665"/>
      <c r="U45" s="1665"/>
      <c r="V45" s="1665"/>
      <c r="W45" s="1665"/>
      <c r="X45" s="1665"/>
      <c r="Y45" s="1665"/>
      <c r="Z45" s="1665"/>
      <c r="AA45" s="1665"/>
      <c r="AB45" s="1665"/>
      <c r="AC45" s="1665"/>
    </row>
    <row r="46" spans="1:29" s="1070"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1"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1"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1"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1"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9">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3"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3"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3"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3"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9"/>
      <c r="I66" s="779"/>
      <c r="J66" s="779"/>
      <c r="K66" s="779"/>
      <c r="L66" s="779"/>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1" customFormat="1" ht="15.75" thickTop="1">
      <c r="A71" s="565"/>
      <c r="B71" s="529">
        <f>B23</f>
        <v>111</v>
      </c>
      <c r="C71" s="399"/>
      <c r="D71" s="399"/>
      <c r="E71" s="399"/>
      <c r="F71" s="399"/>
      <c r="G71" s="544"/>
      <c r="H71" s="544"/>
      <c r="I71" s="544"/>
      <c r="J71" s="544"/>
      <c r="K71" s="544"/>
      <c r="L71" s="734"/>
      <c r="M71" s="735"/>
      <c r="N71" s="1681"/>
      <c r="O71" s="1681"/>
      <c r="P71" s="1684"/>
      <c r="Q71" s="1677"/>
      <c r="R71" s="1566"/>
      <c r="S71" s="1566"/>
      <c r="T71" s="1566"/>
      <c r="U71" s="1566"/>
      <c r="V71" s="1566"/>
      <c r="W71" s="1566"/>
      <c r="X71" s="1566"/>
      <c r="Y71" s="1566"/>
      <c r="Z71" s="1566"/>
      <c r="AA71" s="1566"/>
      <c r="AB71" s="1566"/>
      <c r="AC71" s="1566"/>
    </row>
    <row r="72" spans="1:29" s="981"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1" customFormat="1" ht="15.75" thickTop="1">
      <c r="A73" s="565"/>
      <c r="B73" s="529">
        <f>B24</f>
        <v>111</v>
      </c>
      <c r="C73" s="399"/>
      <c r="D73" s="399"/>
      <c r="E73" s="399"/>
      <c r="F73" s="399"/>
      <c r="G73" s="544"/>
      <c r="H73" s="544"/>
      <c r="I73" s="544"/>
      <c r="J73" s="544"/>
      <c r="K73" s="544"/>
      <c r="L73" s="54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3"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3"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8">
        <v>0.5</v>
      </c>
      <c r="D80" s="738">
        <v>0.6</v>
      </c>
      <c r="E80" s="738">
        <v>0.7</v>
      </c>
      <c r="F80" s="738">
        <v>0.8</v>
      </c>
      <c r="G80" s="738">
        <v>0.9</v>
      </c>
      <c r="H80" s="738">
        <v>1.0001</v>
      </c>
      <c r="I80" s="779"/>
      <c r="J80" s="779"/>
      <c r="K80" s="789"/>
      <c r="L80" s="790"/>
      <c r="M80" s="791"/>
      <c r="N80" s="1681"/>
      <c r="O80" s="1681"/>
      <c r="P80" s="1684"/>
      <c r="Q80" s="1677"/>
      <c r="R80" s="1665"/>
      <c r="S80" s="1665"/>
      <c r="T80" s="1665"/>
      <c r="U80" s="1665"/>
      <c r="V80" s="1665"/>
      <c r="W80" s="1665"/>
      <c r="X80" s="1665"/>
      <c r="Y80" s="1665"/>
      <c r="Z80" s="1665"/>
      <c r="AA80" s="1665"/>
      <c r="AB80" s="1665"/>
      <c r="AC80" s="1665"/>
    </row>
    <row r="81" spans="1:29" s="1063"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3" customFormat="1" ht="15" thickTop="1">
      <c r="A89" s="584"/>
      <c r="B89" s="529" t="s">
        <v>767</v>
      </c>
      <c r="C89" s="544"/>
      <c r="D89" s="544"/>
      <c r="E89" s="544"/>
      <c r="F89" s="544"/>
      <c r="G89" s="544"/>
      <c r="H89" s="544"/>
      <c r="I89" s="544"/>
      <c r="J89" s="544"/>
      <c r="K89" s="544"/>
      <c r="L89" s="544"/>
      <c r="M89" s="735"/>
      <c r="N89" s="1686"/>
      <c r="O89" s="1686"/>
      <c r="P89" s="1687"/>
      <c r="Q89" s="1688"/>
      <c r="R89" s="1689"/>
      <c r="S89" s="1689"/>
      <c r="T89" s="1689"/>
      <c r="U89" s="1689"/>
      <c r="V89" s="1689"/>
      <c r="W89" s="1689"/>
      <c r="X89" s="1689"/>
      <c r="Y89" s="1689"/>
      <c r="Z89" s="1689"/>
      <c r="AA89" s="1689"/>
      <c r="AB89" s="1689"/>
      <c r="AC89" s="1689"/>
    </row>
    <row r="90" spans="1:29" s="1063"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1">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3200-000000000000}">
      <formula1>交通便捷度</formula1>
    </dataValidation>
    <dataValidation type="list" allowBlank="1" showInputMessage="1" showErrorMessage="1" sqref="G17 C17 I17 E17" xr:uid="{00000000-0002-0000-3200-000001000000}">
      <formula1>公共配套设施</formula1>
    </dataValidation>
    <dataValidation type="list" allowBlank="1" showInputMessage="1" showErrorMessage="1" sqref="D1" xr:uid="{00000000-0002-0000-3200-000002000000}">
      <formula1>项目类型</formula1>
    </dataValidation>
    <dataValidation type="list" allowBlank="1" showInputMessage="1" showErrorMessage="1" sqref="C8 E8 G8 I8" xr:uid="{00000000-0002-0000-3200-000003000000}">
      <formula1>仓储交易情况</formula1>
    </dataValidation>
    <dataValidation type="list" allowBlank="1" showInputMessage="1" showErrorMessage="1" sqref="E9 G9 I9" xr:uid="{00000000-0002-0000-3200-000004000000}">
      <formula1>仓储用途</formula1>
    </dataValidation>
    <dataValidation type="list" allowBlank="1" showInputMessage="1" showErrorMessage="1" sqref="C21 E21 G21 I21" xr:uid="{00000000-0002-0000-3200-000005000000}">
      <formula1>环境</formula1>
    </dataValidation>
    <dataValidation type="list" allowBlank="1" showInputMessage="1" showErrorMessage="1" sqref="C22 E22 G22 I22" xr:uid="{00000000-0002-0000-3200-000006000000}">
      <formula1>仓储楼层</formula1>
    </dataValidation>
    <dataValidation type="list" allowBlank="1" showInputMessage="1" showErrorMessage="1" sqref="C26 E26 G26 I26" xr:uid="{00000000-0002-0000-3200-000007000000}">
      <formula1>仓储公共部分装修</formula1>
    </dataValidation>
    <dataValidation type="list" allowBlank="1" showInputMessage="1" showErrorMessage="1" sqref="C29 E29 G29 I29" xr:uid="{00000000-0002-0000-3200-000008000000}">
      <formula1>有无电梯</formula1>
    </dataValidation>
    <dataValidation type="list" allowBlank="1" showInputMessage="1" showErrorMessage="1" sqref="C31 E31 G31 I31" xr:uid="{00000000-0002-0000-3200-000009000000}">
      <formula1>是否封闭</formula1>
    </dataValidation>
    <dataValidation type="list" allowBlank="1" showInputMessage="1" showErrorMessage="1" sqref="B1" xr:uid="{00000000-0002-0000-3200-00000A000000}">
      <formula1>地类判定</formula1>
    </dataValidation>
    <dataValidation type="list" allowBlank="1" showInputMessage="1" showErrorMessage="1" sqref="C28 E28 G28 I28" xr:uid="{00000000-0002-0000-3200-00000B000000}">
      <formula1>仓储物业等级</formula1>
    </dataValidation>
    <dataValidation type="list" allowBlank="1" showInputMessage="1" showErrorMessage="1" sqref="C19 E19 G19 I19" xr:uid="{00000000-0002-0000-3200-00000C000000}">
      <formula1>基础设施水平</formula1>
    </dataValidation>
    <dataValidation type="list" allowBlank="1" showInputMessage="1" showErrorMessage="1" sqref="F1" xr:uid="{00000000-0002-0000-3200-00000D000000}">
      <formula1>"售价,租金"</formula1>
    </dataValidation>
    <dataValidation type="list" allowBlank="1" showInputMessage="1" showErrorMessage="1" sqref="D36" xr:uid="{00000000-0002-0000-32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2" customWidth="1"/>
    <col min="2" max="2" width="9.25" style="980" customWidth="1"/>
    <col min="3" max="3" width="5" style="980" customWidth="1"/>
    <col min="4" max="4" width="9" style="980"/>
    <col min="5" max="5" width="5" style="980" customWidth="1"/>
    <col min="6" max="6" width="9" style="980"/>
    <col min="7" max="7" width="5" style="980" customWidth="1"/>
    <col min="8" max="8" width="9" style="980"/>
    <col min="9" max="9" width="5" style="980" customWidth="1"/>
    <col min="10" max="10" width="9" style="980"/>
    <col min="11" max="11" width="5" style="980" customWidth="1"/>
    <col min="12" max="12" width="9" style="980"/>
    <col min="13" max="13" width="5" style="980" customWidth="1"/>
    <col min="14" max="14" width="9" style="980"/>
    <col min="15" max="15" width="5" style="980" customWidth="1"/>
    <col min="16" max="16" width="9" style="980"/>
    <col min="17" max="17" width="5" style="980" customWidth="1"/>
    <col min="18" max="18" width="9" style="1269"/>
    <col min="19" max="19" width="9" style="982"/>
    <col min="20" max="35" width="9" style="147"/>
    <col min="36" max="16384" width="9" style="982"/>
  </cols>
  <sheetData>
    <row r="1" spans="1:45" s="147" customFormat="1" ht="14.25" customHeight="1" thickBot="1">
      <c r="A1" s="255"/>
      <c r="B1" s="1749" t="s">
        <v>1577</v>
      </c>
      <c r="C1" s="4325" t="s">
        <v>1578</v>
      </c>
      <c r="D1" s="4326"/>
      <c r="E1" s="4326"/>
      <c r="F1" s="4326"/>
      <c r="G1" s="4326"/>
      <c r="H1" s="4326"/>
      <c r="I1" s="4326"/>
      <c r="J1" s="4326"/>
      <c r="K1" s="4326"/>
      <c r="L1" s="4326"/>
      <c r="M1" s="4326"/>
      <c r="N1" s="4326"/>
      <c r="O1" s="4326"/>
      <c r="P1" s="4326"/>
      <c r="Q1" s="4326"/>
      <c r="R1" s="4326"/>
      <c r="S1" s="4327"/>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3" t="str">
        <f t="shared" ref="C2:L2" si="0">C3&amp;"(含)"&amp;"-"&amp;D3</f>
        <v>(含)-</v>
      </c>
      <c r="D2" s="794" t="str">
        <f t="shared" si="0"/>
        <v>(含)-</v>
      </c>
      <c r="E2" s="794" t="str">
        <f t="shared" si="0"/>
        <v>(含)-</v>
      </c>
      <c r="F2" s="794" t="str">
        <f t="shared" si="0"/>
        <v>(含)-</v>
      </c>
      <c r="G2" s="794" t="str">
        <f t="shared" si="0"/>
        <v>(含)-</v>
      </c>
      <c r="H2" s="794" t="str">
        <f t="shared" si="0"/>
        <v>(含)-</v>
      </c>
      <c r="I2" s="794" t="str">
        <f t="shared" si="0"/>
        <v>(含)-</v>
      </c>
      <c r="J2" s="794" t="str">
        <f t="shared" si="0"/>
        <v>(含)-</v>
      </c>
      <c r="K2" s="794" t="str">
        <f t="shared" si="0"/>
        <v>(含)-</v>
      </c>
      <c r="L2" s="794" t="str">
        <f t="shared" si="0"/>
        <v>(含)-</v>
      </c>
      <c r="M2" s="794" t="str">
        <f t="shared" ref="M2:R2" si="1">M3&amp;"(含)"&amp;"-"&amp;N3</f>
        <v>(含)-</v>
      </c>
      <c r="N2" s="794" t="str">
        <f t="shared" si="1"/>
        <v>(含)-</v>
      </c>
      <c r="O2" s="794" t="str">
        <f t="shared" si="1"/>
        <v>(含)-</v>
      </c>
      <c r="P2" s="794" t="str">
        <f t="shared" si="1"/>
        <v>(含)-</v>
      </c>
      <c r="Q2" s="794" t="str">
        <f t="shared" si="1"/>
        <v>(含)-</v>
      </c>
      <c r="R2" s="794" t="str">
        <f t="shared" si="1"/>
        <v>(含)-</v>
      </c>
      <c r="S2" s="1751" t="str">
        <f>S3&amp;"(含)"&amp;"-"</f>
        <v>(含)-</v>
      </c>
      <c r="T2" s="795"/>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6"/>
      <c r="C3" s="797"/>
      <c r="D3" s="798"/>
      <c r="E3" s="798"/>
      <c r="F3" s="798"/>
      <c r="G3" s="798"/>
      <c r="H3" s="798"/>
      <c r="I3" s="798"/>
      <c r="J3" s="799"/>
      <c r="K3" s="799"/>
      <c r="L3" s="800"/>
      <c r="M3" s="1754"/>
      <c r="N3" s="1755"/>
      <c r="O3" s="798"/>
      <c r="P3" s="798"/>
      <c r="Q3" s="798"/>
      <c r="R3" s="798"/>
      <c r="S3" s="1756"/>
      <c r="T3" s="801"/>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2"/>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2"/>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2"/>
      <c r="C19" s="1565"/>
      <c r="D19" s="1565"/>
      <c r="E19" s="1565"/>
      <c r="F19" s="1565"/>
      <c r="G19" s="1565"/>
      <c r="H19" s="1565"/>
      <c r="I19" s="1565"/>
      <c r="J19" s="1565"/>
      <c r="K19" s="1565"/>
      <c r="L19" s="1565"/>
      <c r="M19" s="1565"/>
      <c r="N19" s="1565"/>
      <c r="O19" s="1565"/>
      <c r="P19" s="1565"/>
      <c r="Q19" s="1565"/>
      <c r="R19" s="1741"/>
      <c r="S19" s="1567"/>
    </row>
    <row r="20" spans="1:45" ht="15.75">
      <c r="A20" s="803"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3"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322" t="s">
        <v>14</v>
      </c>
      <c r="D22" s="4323"/>
      <c r="E22" s="4323"/>
      <c r="F22" s="4323"/>
      <c r="G22" s="4323"/>
      <c r="H22" s="4323"/>
      <c r="I22" s="4323"/>
      <c r="J22" s="4323"/>
      <c r="K22" s="4323"/>
      <c r="L22" s="4323"/>
      <c r="M22" s="4323"/>
      <c r="N22" s="4323"/>
      <c r="O22" s="4323"/>
      <c r="P22" s="4323"/>
      <c r="Q22" s="4324"/>
      <c r="R22" s="355" t="e">
        <f>ROUND(S22*10000/B22,0)</f>
        <v>#DIV/0!</v>
      </c>
      <c r="S22" s="50">
        <f>SUM(S24:S10000)</f>
        <v>0</v>
      </c>
    </row>
    <row r="23" spans="1:45" s="1267"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8" customFormat="1">
      <c r="A24" s="804" t="s">
        <v>774</v>
      </c>
      <c r="B24" s="804"/>
      <c r="C24" s="2687">
        <v>1</v>
      </c>
      <c r="D24" s="2688"/>
      <c r="E24" s="2687">
        <v>1</v>
      </c>
      <c r="F24" s="2688"/>
      <c r="G24" s="2687">
        <v>1</v>
      </c>
      <c r="H24" s="2688"/>
      <c r="I24" s="2687">
        <v>1</v>
      </c>
      <c r="J24" s="2688"/>
      <c r="K24" s="2687">
        <v>1</v>
      </c>
      <c r="L24" s="2688"/>
      <c r="M24" s="2687">
        <v>1</v>
      </c>
      <c r="N24" s="2688"/>
      <c r="O24" s="2687">
        <v>1</v>
      </c>
      <c r="P24" s="2688"/>
      <c r="Q24" s="2687">
        <v>1</v>
      </c>
      <c r="R24" s="807"/>
      <c r="S24" s="805">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8"/>
      <c r="B25" s="129"/>
      <c r="C25" s="50">
        <f>IF(B25="",1,(LOOKUP(B25,$3:$3,$4:$4)-LOOKUP($B$24,$3:$3,$4:$4)+100)/100)</f>
        <v>1</v>
      </c>
      <c r="D25" s="806"/>
      <c r="E25" s="50">
        <f>(SUMIF($5:$5,D25,$6:$6)-SUMIF($5:$5,$D$24,$6:$6)+100)/100</f>
        <v>1</v>
      </c>
      <c r="F25" s="806"/>
      <c r="G25" s="50">
        <f>(SUMIF($7:$7,F25,$8:$8)-SUMIF($7:$7,$F$24,$8:$8)+100)/100</f>
        <v>1</v>
      </c>
      <c r="H25" s="806"/>
      <c r="I25" s="50">
        <f>(SUMIF($9:$9,H25,$10:$10)-SUMIF($9:$9,$H$24,$10:$10)+100)/100</f>
        <v>1</v>
      </c>
      <c r="J25" s="806"/>
      <c r="K25" s="50">
        <f>(SUMIF($11:$11,J25,$12:$12)-SUMIF($11:$11,$J$24,$12:$12)+100)/100</f>
        <v>1</v>
      </c>
      <c r="L25" s="806"/>
      <c r="M25" s="50">
        <f>(SUMIF($13:$13,L25,$14:$14)-SUMIF($13:$13,$L$24,$14:$14)+100)/100</f>
        <v>1</v>
      </c>
      <c r="N25" s="806"/>
      <c r="O25" s="50">
        <f>(SUMIF($15:$15,N25,$16:$16)-SUMIF($15:$15,$N$24,$16:$16)+100)/100</f>
        <v>1</v>
      </c>
      <c r="P25" s="806"/>
      <c r="Q25" s="50">
        <f>(SUMIF($17:$17,P25,$18:$18)-SUMIF($17:$17,$P$24,$18:$18)+100)/100</f>
        <v>1</v>
      </c>
      <c r="R25" s="355">
        <f>IF(B25="",0,ROUND($R$24*C25*E25*G25*I25*K25*M25*O25*Q25,0))</f>
        <v>0</v>
      </c>
      <c r="S25" s="651">
        <f t="shared" si="6"/>
        <v>0</v>
      </c>
    </row>
    <row r="26" spans="1:45">
      <c r="A26" s="808"/>
      <c r="B26" s="129"/>
      <c r="C26" s="50">
        <f t="shared" ref="C26:C89" si="7">IF(B26="",1,(LOOKUP(B26,$3:$3,$4:$4)-LOOKUP($B$24,$3:$3,$4:$4)+100)/100)</f>
        <v>1</v>
      </c>
      <c r="D26" s="806"/>
      <c r="E26" s="50">
        <f t="shared" ref="E26:E89" si="8">(SUMIF($5:$5,D26,$6:$6)-SUMIF($5:$5,$D$24,$6:$6)+100)/100</f>
        <v>1</v>
      </c>
      <c r="F26" s="806"/>
      <c r="G26" s="50">
        <f t="shared" ref="G26:G89" si="9">(SUMIF($7:$7,F26,$8:$8)-SUMIF($7:$7,$F$24,$8:$8)+100)/100</f>
        <v>1</v>
      </c>
      <c r="H26" s="806"/>
      <c r="I26" s="50">
        <f t="shared" ref="I26:I89" si="10">(SUMIF($9:$9,H26,$10:$10)-SUMIF($9:$9,$H$24,$10:$10)+100)/100</f>
        <v>1</v>
      </c>
      <c r="J26" s="806"/>
      <c r="K26" s="50">
        <f t="shared" ref="K26:K89" si="11">(SUMIF($11:$11,J26,$12:$12)-SUMIF($11:$11,$J$24,$12:$12)+100)/100</f>
        <v>1</v>
      </c>
      <c r="L26" s="806"/>
      <c r="M26" s="50">
        <f t="shared" ref="M26:M89" si="12">(SUMIF($13:$13,L26,$14:$14)-SUMIF($13:$13,$L$24,$14:$14)+100)/100</f>
        <v>1</v>
      </c>
      <c r="N26" s="806"/>
      <c r="O26" s="50">
        <f t="shared" ref="O26:O89" si="13">(SUMIF($15:$15,N26,$16:$16)-SUMIF($15:$15,$N$24,$16:$16)+100)/100</f>
        <v>1</v>
      </c>
      <c r="P26" s="806"/>
      <c r="Q26" s="50">
        <f t="shared" ref="Q26:Q89" si="14">(SUMIF($17:$17,P26,$18:$18)-SUMIF($17:$17,$P$24,$18:$18)+100)/100</f>
        <v>1</v>
      </c>
      <c r="R26" s="355">
        <f t="shared" ref="R26:R89" si="15">IF(B26="",0,ROUND($R$24*C26*E26*G26*I26*K26*M26*O26*Q26,0))</f>
        <v>0</v>
      </c>
      <c r="S26" s="651">
        <f t="shared" si="6"/>
        <v>0</v>
      </c>
    </row>
    <row r="27" spans="1:45">
      <c r="A27" s="808"/>
      <c r="B27" s="129"/>
      <c r="C27" s="50">
        <f t="shared" si="7"/>
        <v>1</v>
      </c>
      <c r="D27" s="806"/>
      <c r="E27" s="50">
        <f t="shared" si="8"/>
        <v>1</v>
      </c>
      <c r="F27" s="806"/>
      <c r="G27" s="50">
        <f t="shared" si="9"/>
        <v>1</v>
      </c>
      <c r="H27" s="806"/>
      <c r="I27" s="50">
        <f t="shared" si="10"/>
        <v>1</v>
      </c>
      <c r="J27" s="806"/>
      <c r="K27" s="50">
        <f t="shared" si="11"/>
        <v>1</v>
      </c>
      <c r="L27" s="806"/>
      <c r="M27" s="50">
        <f t="shared" si="12"/>
        <v>1</v>
      </c>
      <c r="N27" s="806"/>
      <c r="O27" s="50">
        <f t="shared" si="13"/>
        <v>1</v>
      </c>
      <c r="P27" s="806"/>
      <c r="Q27" s="50">
        <f t="shared" si="14"/>
        <v>1</v>
      </c>
      <c r="R27" s="355">
        <f t="shared" si="15"/>
        <v>0</v>
      </c>
      <c r="S27" s="651">
        <f t="shared" si="6"/>
        <v>0</v>
      </c>
    </row>
    <row r="28" spans="1:45">
      <c r="A28" s="808"/>
      <c r="B28" s="129"/>
      <c r="C28" s="50">
        <f t="shared" si="7"/>
        <v>1</v>
      </c>
      <c r="D28" s="806"/>
      <c r="E28" s="50">
        <f t="shared" si="8"/>
        <v>1</v>
      </c>
      <c r="F28" s="806"/>
      <c r="G28" s="50">
        <f t="shared" si="9"/>
        <v>1</v>
      </c>
      <c r="H28" s="806"/>
      <c r="I28" s="50">
        <f t="shared" si="10"/>
        <v>1</v>
      </c>
      <c r="J28" s="806"/>
      <c r="K28" s="50">
        <f t="shared" si="11"/>
        <v>1</v>
      </c>
      <c r="L28" s="806"/>
      <c r="M28" s="50">
        <f t="shared" si="12"/>
        <v>1</v>
      </c>
      <c r="N28" s="806"/>
      <c r="O28" s="50">
        <f t="shared" si="13"/>
        <v>1</v>
      </c>
      <c r="P28" s="806"/>
      <c r="Q28" s="50">
        <f t="shared" si="14"/>
        <v>1</v>
      </c>
      <c r="R28" s="355">
        <f t="shared" si="15"/>
        <v>0</v>
      </c>
      <c r="S28" s="651">
        <f t="shared" si="6"/>
        <v>0</v>
      </c>
    </row>
    <row r="29" spans="1:45">
      <c r="A29" s="808"/>
      <c r="B29" s="129"/>
      <c r="C29" s="50">
        <f t="shared" si="7"/>
        <v>1</v>
      </c>
      <c r="D29" s="806"/>
      <c r="E29" s="50">
        <f t="shared" si="8"/>
        <v>1</v>
      </c>
      <c r="F29" s="806"/>
      <c r="G29" s="50">
        <f t="shared" si="9"/>
        <v>1</v>
      </c>
      <c r="H29" s="806"/>
      <c r="I29" s="50">
        <f t="shared" si="10"/>
        <v>1</v>
      </c>
      <c r="J29" s="806"/>
      <c r="K29" s="50">
        <f t="shared" si="11"/>
        <v>1</v>
      </c>
      <c r="L29" s="806"/>
      <c r="M29" s="50">
        <f t="shared" si="12"/>
        <v>1</v>
      </c>
      <c r="N29" s="806"/>
      <c r="O29" s="50">
        <f t="shared" si="13"/>
        <v>1</v>
      </c>
      <c r="P29" s="806"/>
      <c r="Q29" s="50">
        <f t="shared" si="14"/>
        <v>1</v>
      </c>
      <c r="R29" s="355">
        <f t="shared" si="15"/>
        <v>0</v>
      </c>
      <c r="S29" s="651">
        <f t="shared" si="6"/>
        <v>0</v>
      </c>
    </row>
    <row r="30" spans="1:45">
      <c r="A30" s="808"/>
      <c r="B30" s="129"/>
      <c r="C30" s="50">
        <f t="shared" si="7"/>
        <v>1</v>
      </c>
      <c r="D30" s="806"/>
      <c r="E30" s="50">
        <f t="shared" si="8"/>
        <v>1</v>
      </c>
      <c r="F30" s="806"/>
      <c r="G30" s="50">
        <f t="shared" si="9"/>
        <v>1</v>
      </c>
      <c r="H30" s="806"/>
      <c r="I30" s="50">
        <f t="shared" si="10"/>
        <v>1</v>
      </c>
      <c r="J30" s="806"/>
      <c r="K30" s="50">
        <f t="shared" si="11"/>
        <v>1</v>
      </c>
      <c r="L30" s="806"/>
      <c r="M30" s="50">
        <f t="shared" si="12"/>
        <v>1</v>
      </c>
      <c r="N30" s="806"/>
      <c r="O30" s="50">
        <f t="shared" si="13"/>
        <v>1</v>
      </c>
      <c r="P30" s="806"/>
      <c r="Q30" s="50">
        <f t="shared" si="14"/>
        <v>1</v>
      </c>
      <c r="R30" s="355">
        <f t="shared" si="15"/>
        <v>0</v>
      </c>
      <c r="S30" s="651">
        <f t="shared" si="6"/>
        <v>0</v>
      </c>
    </row>
    <row r="31" spans="1:45">
      <c r="A31" s="808"/>
      <c r="B31" s="129"/>
      <c r="C31" s="50">
        <f t="shared" si="7"/>
        <v>1</v>
      </c>
      <c r="D31" s="806"/>
      <c r="E31" s="50">
        <f t="shared" si="8"/>
        <v>1</v>
      </c>
      <c r="F31" s="806"/>
      <c r="G31" s="50">
        <f t="shared" si="9"/>
        <v>1</v>
      </c>
      <c r="H31" s="806"/>
      <c r="I31" s="50">
        <f t="shared" si="10"/>
        <v>1</v>
      </c>
      <c r="J31" s="806"/>
      <c r="K31" s="50">
        <f t="shared" si="11"/>
        <v>1</v>
      </c>
      <c r="L31" s="806"/>
      <c r="M31" s="50">
        <f t="shared" si="12"/>
        <v>1</v>
      </c>
      <c r="N31" s="806"/>
      <c r="O31" s="50">
        <f t="shared" si="13"/>
        <v>1</v>
      </c>
      <c r="P31" s="806"/>
      <c r="Q31" s="50">
        <f t="shared" si="14"/>
        <v>1</v>
      </c>
      <c r="R31" s="355">
        <f t="shared" si="15"/>
        <v>0</v>
      </c>
      <c r="S31" s="651">
        <f t="shared" si="6"/>
        <v>0</v>
      </c>
    </row>
    <row r="32" spans="1:45">
      <c r="A32" s="808"/>
      <c r="B32" s="129"/>
      <c r="C32" s="50">
        <f t="shared" si="7"/>
        <v>1</v>
      </c>
      <c r="D32" s="806"/>
      <c r="E32" s="50">
        <f t="shared" si="8"/>
        <v>1</v>
      </c>
      <c r="F32" s="806"/>
      <c r="G32" s="50">
        <f t="shared" si="9"/>
        <v>1</v>
      </c>
      <c r="H32" s="806"/>
      <c r="I32" s="50">
        <f t="shared" si="10"/>
        <v>1</v>
      </c>
      <c r="J32" s="806"/>
      <c r="K32" s="50">
        <f t="shared" si="11"/>
        <v>1</v>
      </c>
      <c r="L32" s="806"/>
      <c r="M32" s="50">
        <f t="shared" si="12"/>
        <v>1</v>
      </c>
      <c r="N32" s="806"/>
      <c r="O32" s="50">
        <f t="shared" si="13"/>
        <v>1</v>
      </c>
      <c r="P32" s="806"/>
      <c r="Q32" s="50">
        <f t="shared" si="14"/>
        <v>1</v>
      </c>
      <c r="R32" s="355">
        <f t="shared" si="15"/>
        <v>0</v>
      </c>
      <c r="S32" s="651">
        <f t="shared" si="6"/>
        <v>0</v>
      </c>
    </row>
    <row r="33" spans="1:19">
      <c r="A33" s="808"/>
      <c r="B33" s="129"/>
      <c r="C33" s="50">
        <f t="shared" si="7"/>
        <v>1</v>
      </c>
      <c r="D33" s="806"/>
      <c r="E33" s="50">
        <f t="shared" si="8"/>
        <v>1</v>
      </c>
      <c r="F33" s="806"/>
      <c r="G33" s="50">
        <f t="shared" si="9"/>
        <v>1</v>
      </c>
      <c r="H33" s="806"/>
      <c r="I33" s="50">
        <f t="shared" si="10"/>
        <v>1</v>
      </c>
      <c r="J33" s="806"/>
      <c r="K33" s="50">
        <f t="shared" si="11"/>
        <v>1</v>
      </c>
      <c r="L33" s="806"/>
      <c r="M33" s="50">
        <f t="shared" si="12"/>
        <v>1</v>
      </c>
      <c r="N33" s="806"/>
      <c r="O33" s="50">
        <f t="shared" si="13"/>
        <v>1</v>
      </c>
      <c r="P33" s="806"/>
      <c r="Q33" s="50">
        <f t="shared" si="14"/>
        <v>1</v>
      </c>
      <c r="R33" s="355">
        <f t="shared" si="15"/>
        <v>0</v>
      </c>
      <c r="S33" s="651">
        <f t="shared" si="6"/>
        <v>0</v>
      </c>
    </row>
    <row r="34" spans="1:19">
      <c r="A34" s="808"/>
      <c r="B34" s="129"/>
      <c r="C34" s="50">
        <f t="shared" si="7"/>
        <v>1</v>
      </c>
      <c r="D34" s="806"/>
      <c r="E34" s="50">
        <f t="shared" si="8"/>
        <v>1</v>
      </c>
      <c r="F34" s="806"/>
      <c r="G34" s="50">
        <f t="shared" si="9"/>
        <v>1</v>
      </c>
      <c r="H34" s="806"/>
      <c r="I34" s="50">
        <f t="shared" si="10"/>
        <v>1</v>
      </c>
      <c r="J34" s="806"/>
      <c r="K34" s="50">
        <f t="shared" si="11"/>
        <v>1</v>
      </c>
      <c r="L34" s="806"/>
      <c r="M34" s="50">
        <f t="shared" si="12"/>
        <v>1</v>
      </c>
      <c r="N34" s="806"/>
      <c r="O34" s="50">
        <f t="shared" si="13"/>
        <v>1</v>
      </c>
      <c r="P34" s="806"/>
      <c r="Q34" s="50">
        <f t="shared" si="14"/>
        <v>1</v>
      </c>
      <c r="R34" s="355">
        <f t="shared" si="15"/>
        <v>0</v>
      </c>
      <c r="S34" s="651">
        <f t="shared" si="6"/>
        <v>0</v>
      </c>
    </row>
    <row r="35" spans="1:19">
      <c r="A35" s="808"/>
      <c r="B35" s="129"/>
      <c r="C35" s="50">
        <f t="shared" si="7"/>
        <v>1</v>
      </c>
      <c r="D35" s="806"/>
      <c r="E35" s="50">
        <f t="shared" si="8"/>
        <v>1</v>
      </c>
      <c r="F35" s="806"/>
      <c r="G35" s="50">
        <f t="shared" si="9"/>
        <v>1</v>
      </c>
      <c r="H35" s="806"/>
      <c r="I35" s="50">
        <f t="shared" si="10"/>
        <v>1</v>
      </c>
      <c r="J35" s="806"/>
      <c r="K35" s="50">
        <f t="shared" si="11"/>
        <v>1</v>
      </c>
      <c r="L35" s="806"/>
      <c r="M35" s="50">
        <f t="shared" si="12"/>
        <v>1</v>
      </c>
      <c r="N35" s="806"/>
      <c r="O35" s="50">
        <f t="shared" si="13"/>
        <v>1</v>
      </c>
      <c r="P35" s="806"/>
      <c r="Q35" s="50">
        <f t="shared" si="14"/>
        <v>1</v>
      </c>
      <c r="R35" s="355">
        <f t="shared" si="15"/>
        <v>0</v>
      </c>
      <c r="S35" s="651">
        <f t="shared" si="6"/>
        <v>0</v>
      </c>
    </row>
    <row r="36" spans="1:19">
      <c r="A36" s="808"/>
      <c r="B36" s="129"/>
      <c r="C36" s="50">
        <f t="shared" si="7"/>
        <v>1</v>
      </c>
      <c r="D36" s="806"/>
      <c r="E36" s="50">
        <f t="shared" si="8"/>
        <v>1</v>
      </c>
      <c r="F36" s="806"/>
      <c r="G36" s="50">
        <f t="shared" si="9"/>
        <v>1</v>
      </c>
      <c r="H36" s="806"/>
      <c r="I36" s="50">
        <f t="shared" si="10"/>
        <v>1</v>
      </c>
      <c r="J36" s="806"/>
      <c r="K36" s="50">
        <f t="shared" si="11"/>
        <v>1</v>
      </c>
      <c r="L36" s="806"/>
      <c r="M36" s="50">
        <f t="shared" si="12"/>
        <v>1</v>
      </c>
      <c r="N36" s="806"/>
      <c r="O36" s="50">
        <f t="shared" si="13"/>
        <v>1</v>
      </c>
      <c r="P36" s="806"/>
      <c r="Q36" s="50">
        <f t="shared" si="14"/>
        <v>1</v>
      </c>
      <c r="R36" s="355">
        <f t="shared" si="15"/>
        <v>0</v>
      </c>
      <c r="S36" s="651">
        <f t="shared" si="6"/>
        <v>0</v>
      </c>
    </row>
    <row r="37" spans="1:19">
      <c r="A37" s="808"/>
      <c r="B37" s="129"/>
      <c r="C37" s="50">
        <f t="shared" si="7"/>
        <v>1</v>
      </c>
      <c r="D37" s="806"/>
      <c r="E37" s="50">
        <f t="shared" si="8"/>
        <v>1</v>
      </c>
      <c r="F37" s="806"/>
      <c r="G37" s="50">
        <f t="shared" si="9"/>
        <v>1</v>
      </c>
      <c r="H37" s="806"/>
      <c r="I37" s="50">
        <f t="shared" si="10"/>
        <v>1</v>
      </c>
      <c r="J37" s="806"/>
      <c r="K37" s="50">
        <f t="shared" si="11"/>
        <v>1</v>
      </c>
      <c r="L37" s="806"/>
      <c r="M37" s="50">
        <f t="shared" si="12"/>
        <v>1</v>
      </c>
      <c r="N37" s="806"/>
      <c r="O37" s="50">
        <f t="shared" si="13"/>
        <v>1</v>
      </c>
      <c r="P37" s="806"/>
      <c r="Q37" s="50">
        <f t="shared" si="14"/>
        <v>1</v>
      </c>
      <c r="R37" s="355">
        <f t="shared" si="15"/>
        <v>0</v>
      </c>
      <c r="S37" s="651">
        <f t="shared" si="6"/>
        <v>0</v>
      </c>
    </row>
    <row r="38" spans="1:19">
      <c r="A38" s="808"/>
      <c r="B38" s="129"/>
      <c r="C38" s="50">
        <f t="shared" si="7"/>
        <v>1</v>
      </c>
      <c r="D38" s="806"/>
      <c r="E38" s="50">
        <f t="shared" si="8"/>
        <v>1</v>
      </c>
      <c r="F38" s="806"/>
      <c r="G38" s="50">
        <f t="shared" si="9"/>
        <v>1</v>
      </c>
      <c r="H38" s="806"/>
      <c r="I38" s="50">
        <f t="shared" si="10"/>
        <v>1</v>
      </c>
      <c r="J38" s="806"/>
      <c r="K38" s="50">
        <f t="shared" si="11"/>
        <v>1</v>
      </c>
      <c r="L38" s="806"/>
      <c r="M38" s="50">
        <f t="shared" si="12"/>
        <v>1</v>
      </c>
      <c r="N38" s="806"/>
      <c r="O38" s="50">
        <f t="shared" si="13"/>
        <v>1</v>
      </c>
      <c r="P38" s="806"/>
      <c r="Q38" s="50">
        <f t="shared" si="14"/>
        <v>1</v>
      </c>
      <c r="R38" s="355">
        <f t="shared" si="15"/>
        <v>0</v>
      </c>
      <c r="S38" s="651">
        <f t="shared" si="6"/>
        <v>0</v>
      </c>
    </row>
    <row r="39" spans="1:19">
      <c r="A39" s="808"/>
      <c r="B39" s="129"/>
      <c r="C39" s="50">
        <f t="shared" si="7"/>
        <v>1</v>
      </c>
      <c r="D39" s="806"/>
      <c r="E39" s="50">
        <f t="shared" si="8"/>
        <v>1</v>
      </c>
      <c r="F39" s="806"/>
      <c r="G39" s="50">
        <f t="shared" si="9"/>
        <v>1</v>
      </c>
      <c r="H39" s="806"/>
      <c r="I39" s="50">
        <f t="shared" si="10"/>
        <v>1</v>
      </c>
      <c r="J39" s="806"/>
      <c r="K39" s="50">
        <f t="shared" si="11"/>
        <v>1</v>
      </c>
      <c r="L39" s="806"/>
      <c r="M39" s="50">
        <f t="shared" si="12"/>
        <v>1</v>
      </c>
      <c r="N39" s="806"/>
      <c r="O39" s="50">
        <f t="shared" si="13"/>
        <v>1</v>
      </c>
      <c r="P39" s="806"/>
      <c r="Q39" s="50">
        <f t="shared" si="14"/>
        <v>1</v>
      </c>
      <c r="R39" s="355">
        <f t="shared" si="15"/>
        <v>0</v>
      </c>
      <c r="S39" s="651">
        <f t="shared" si="6"/>
        <v>0</v>
      </c>
    </row>
    <row r="40" spans="1:19">
      <c r="A40" s="808"/>
      <c r="B40" s="129"/>
      <c r="C40" s="50">
        <f t="shared" si="7"/>
        <v>1</v>
      </c>
      <c r="D40" s="806"/>
      <c r="E40" s="50">
        <f t="shared" si="8"/>
        <v>1</v>
      </c>
      <c r="F40" s="806"/>
      <c r="G40" s="50">
        <f t="shared" si="9"/>
        <v>1</v>
      </c>
      <c r="H40" s="806"/>
      <c r="I40" s="50">
        <f t="shared" si="10"/>
        <v>1</v>
      </c>
      <c r="J40" s="806"/>
      <c r="K40" s="50">
        <f t="shared" si="11"/>
        <v>1</v>
      </c>
      <c r="L40" s="806"/>
      <c r="M40" s="50">
        <f t="shared" si="12"/>
        <v>1</v>
      </c>
      <c r="N40" s="806"/>
      <c r="O40" s="50">
        <f t="shared" si="13"/>
        <v>1</v>
      </c>
      <c r="P40" s="806"/>
      <c r="Q40" s="50">
        <f t="shared" si="14"/>
        <v>1</v>
      </c>
      <c r="R40" s="355">
        <f t="shared" si="15"/>
        <v>0</v>
      </c>
      <c r="S40" s="651">
        <f t="shared" si="6"/>
        <v>0</v>
      </c>
    </row>
    <row r="41" spans="1:19">
      <c r="A41" s="808"/>
      <c r="B41" s="129"/>
      <c r="C41" s="50">
        <f t="shared" si="7"/>
        <v>1</v>
      </c>
      <c r="D41" s="806"/>
      <c r="E41" s="50">
        <f t="shared" si="8"/>
        <v>1</v>
      </c>
      <c r="F41" s="806"/>
      <c r="G41" s="50">
        <f t="shared" si="9"/>
        <v>1</v>
      </c>
      <c r="H41" s="806"/>
      <c r="I41" s="50">
        <f t="shared" si="10"/>
        <v>1</v>
      </c>
      <c r="J41" s="806"/>
      <c r="K41" s="50">
        <f t="shared" si="11"/>
        <v>1</v>
      </c>
      <c r="L41" s="806"/>
      <c r="M41" s="50">
        <f t="shared" si="12"/>
        <v>1</v>
      </c>
      <c r="N41" s="806"/>
      <c r="O41" s="50">
        <f t="shared" si="13"/>
        <v>1</v>
      </c>
      <c r="P41" s="806"/>
      <c r="Q41" s="50">
        <f t="shared" si="14"/>
        <v>1</v>
      </c>
      <c r="R41" s="355">
        <f t="shared" si="15"/>
        <v>0</v>
      </c>
      <c r="S41" s="651">
        <f t="shared" si="6"/>
        <v>0</v>
      </c>
    </row>
    <row r="42" spans="1:19">
      <c r="A42" s="808"/>
      <c r="B42" s="129"/>
      <c r="C42" s="50">
        <f t="shared" si="7"/>
        <v>1</v>
      </c>
      <c r="D42" s="806"/>
      <c r="E42" s="50">
        <f t="shared" si="8"/>
        <v>1</v>
      </c>
      <c r="F42" s="806"/>
      <c r="G42" s="50">
        <f t="shared" si="9"/>
        <v>1</v>
      </c>
      <c r="H42" s="806"/>
      <c r="I42" s="50">
        <f t="shared" si="10"/>
        <v>1</v>
      </c>
      <c r="J42" s="806"/>
      <c r="K42" s="50">
        <f t="shared" si="11"/>
        <v>1</v>
      </c>
      <c r="L42" s="806"/>
      <c r="M42" s="50">
        <f t="shared" si="12"/>
        <v>1</v>
      </c>
      <c r="N42" s="806"/>
      <c r="O42" s="50">
        <f t="shared" si="13"/>
        <v>1</v>
      </c>
      <c r="P42" s="806"/>
      <c r="Q42" s="50">
        <f t="shared" si="14"/>
        <v>1</v>
      </c>
      <c r="R42" s="355">
        <f t="shared" si="15"/>
        <v>0</v>
      </c>
      <c r="S42" s="651">
        <f t="shared" si="6"/>
        <v>0</v>
      </c>
    </row>
    <row r="43" spans="1:19">
      <c r="A43" s="808"/>
      <c r="B43" s="129"/>
      <c r="C43" s="50">
        <f t="shared" si="7"/>
        <v>1</v>
      </c>
      <c r="D43" s="806"/>
      <c r="E43" s="50">
        <f t="shared" si="8"/>
        <v>1</v>
      </c>
      <c r="F43" s="806"/>
      <c r="G43" s="50">
        <f t="shared" si="9"/>
        <v>1</v>
      </c>
      <c r="H43" s="806"/>
      <c r="I43" s="50">
        <f t="shared" si="10"/>
        <v>1</v>
      </c>
      <c r="J43" s="806"/>
      <c r="K43" s="50">
        <f t="shared" si="11"/>
        <v>1</v>
      </c>
      <c r="L43" s="806"/>
      <c r="M43" s="50">
        <f t="shared" si="12"/>
        <v>1</v>
      </c>
      <c r="N43" s="806"/>
      <c r="O43" s="50">
        <f t="shared" si="13"/>
        <v>1</v>
      </c>
      <c r="P43" s="806"/>
      <c r="Q43" s="50">
        <f t="shared" si="14"/>
        <v>1</v>
      </c>
      <c r="R43" s="355">
        <f t="shared" si="15"/>
        <v>0</v>
      </c>
      <c r="S43" s="651">
        <f t="shared" si="6"/>
        <v>0</v>
      </c>
    </row>
    <row r="44" spans="1:19">
      <c r="A44" s="808"/>
      <c r="B44" s="129"/>
      <c r="C44" s="50">
        <f t="shared" si="7"/>
        <v>1</v>
      </c>
      <c r="D44" s="806"/>
      <c r="E44" s="50">
        <f t="shared" si="8"/>
        <v>1</v>
      </c>
      <c r="F44" s="806"/>
      <c r="G44" s="50">
        <f t="shared" si="9"/>
        <v>1</v>
      </c>
      <c r="H44" s="806"/>
      <c r="I44" s="50">
        <f t="shared" si="10"/>
        <v>1</v>
      </c>
      <c r="J44" s="806"/>
      <c r="K44" s="50">
        <f t="shared" si="11"/>
        <v>1</v>
      </c>
      <c r="L44" s="806"/>
      <c r="M44" s="50">
        <f t="shared" si="12"/>
        <v>1</v>
      </c>
      <c r="N44" s="806"/>
      <c r="O44" s="50">
        <f t="shared" si="13"/>
        <v>1</v>
      </c>
      <c r="P44" s="806"/>
      <c r="Q44" s="50">
        <f t="shared" si="14"/>
        <v>1</v>
      </c>
      <c r="R44" s="355">
        <f t="shared" si="15"/>
        <v>0</v>
      </c>
      <c r="S44" s="651">
        <f t="shared" si="6"/>
        <v>0</v>
      </c>
    </row>
    <row r="45" spans="1:19">
      <c r="A45" s="808"/>
      <c r="B45" s="129"/>
      <c r="C45" s="50">
        <f t="shared" si="7"/>
        <v>1</v>
      </c>
      <c r="D45" s="806"/>
      <c r="E45" s="50">
        <f t="shared" si="8"/>
        <v>1</v>
      </c>
      <c r="F45" s="806"/>
      <c r="G45" s="50">
        <f t="shared" si="9"/>
        <v>1</v>
      </c>
      <c r="H45" s="806"/>
      <c r="I45" s="50">
        <f t="shared" si="10"/>
        <v>1</v>
      </c>
      <c r="J45" s="806"/>
      <c r="K45" s="50">
        <f t="shared" si="11"/>
        <v>1</v>
      </c>
      <c r="L45" s="806"/>
      <c r="M45" s="50">
        <f t="shared" si="12"/>
        <v>1</v>
      </c>
      <c r="N45" s="806"/>
      <c r="O45" s="50">
        <f t="shared" si="13"/>
        <v>1</v>
      </c>
      <c r="P45" s="806"/>
      <c r="Q45" s="50">
        <f t="shared" si="14"/>
        <v>1</v>
      </c>
      <c r="R45" s="355">
        <f t="shared" si="15"/>
        <v>0</v>
      </c>
      <c r="S45" s="651">
        <f t="shared" si="6"/>
        <v>0</v>
      </c>
    </row>
    <row r="46" spans="1:19">
      <c r="A46" s="808"/>
      <c r="B46" s="129"/>
      <c r="C46" s="50">
        <f t="shared" si="7"/>
        <v>1</v>
      </c>
      <c r="D46" s="806"/>
      <c r="E46" s="50">
        <f t="shared" si="8"/>
        <v>1</v>
      </c>
      <c r="F46" s="806"/>
      <c r="G46" s="50">
        <f t="shared" si="9"/>
        <v>1</v>
      </c>
      <c r="H46" s="806"/>
      <c r="I46" s="50">
        <f t="shared" si="10"/>
        <v>1</v>
      </c>
      <c r="J46" s="806"/>
      <c r="K46" s="50">
        <f t="shared" si="11"/>
        <v>1</v>
      </c>
      <c r="L46" s="806"/>
      <c r="M46" s="50">
        <f t="shared" si="12"/>
        <v>1</v>
      </c>
      <c r="N46" s="806"/>
      <c r="O46" s="50">
        <f t="shared" si="13"/>
        <v>1</v>
      </c>
      <c r="P46" s="806"/>
      <c r="Q46" s="50">
        <f t="shared" si="14"/>
        <v>1</v>
      </c>
      <c r="R46" s="355">
        <f t="shared" si="15"/>
        <v>0</v>
      </c>
      <c r="S46" s="651">
        <f t="shared" si="6"/>
        <v>0</v>
      </c>
    </row>
    <row r="47" spans="1:19">
      <c r="A47" s="808"/>
      <c r="B47" s="129"/>
      <c r="C47" s="50">
        <f t="shared" si="7"/>
        <v>1</v>
      </c>
      <c r="D47" s="806"/>
      <c r="E47" s="50">
        <f t="shared" si="8"/>
        <v>1</v>
      </c>
      <c r="F47" s="806"/>
      <c r="G47" s="50">
        <f t="shared" si="9"/>
        <v>1</v>
      </c>
      <c r="H47" s="806"/>
      <c r="I47" s="50">
        <f t="shared" si="10"/>
        <v>1</v>
      </c>
      <c r="J47" s="806"/>
      <c r="K47" s="50">
        <f t="shared" si="11"/>
        <v>1</v>
      </c>
      <c r="L47" s="806"/>
      <c r="M47" s="50">
        <f t="shared" si="12"/>
        <v>1</v>
      </c>
      <c r="N47" s="806"/>
      <c r="O47" s="50">
        <f t="shared" si="13"/>
        <v>1</v>
      </c>
      <c r="P47" s="806"/>
      <c r="Q47" s="50">
        <f t="shared" si="14"/>
        <v>1</v>
      </c>
      <c r="R47" s="355">
        <f t="shared" si="15"/>
        <v>0</v>
      </c>
      <c r="S47" s="651">
        <f t="shared" si="6"/>
        <v>0</v>
      </c>
    </row>
    <row r="48" spans="1:19">
      <c r="A48" s="808"/>
      <c r="B48" s="129"/>
      <c r="C48" s="50">
        <f t="shared" si="7"/>
        <v>1</v>
      </c>
      <c r="D48" s="806"/>
      <c r="E48" s="50">
        <f t="shared" si="8"/>
        <v>1</v>
      </c>
      <c r="F48" s="806"/>
      <c r="G48" s="50">
        <f t="shared" si="9"/>
        <v>1</v>
      </c>
      <c r="H48" s="806"/>
      <c r="I48" s="50">
        <f t="shared" si="10"/>
        <v>1</v>
      </c>
      <c r="J48" s="806"/>
      <c r="K48" s="50">
        <f t="shared" si="11"/>
        <v>1</v>
      </c>
      <c r="L48" s="806"/>
      <c r="M48" s="50">
        <f t="shared" si="12"/>
        <v>1</v>
      </c>
      <c r="N48" s="806"/>
      <c r="O48" s="50">
        <f t="shared" si="13"/>
        <v>1</v>
      </c>
      <c r="P48" s="806"/>
      <c r="Q48" s="50">
        <f t="shared" si="14"/>
        <v>1</v>
      </c>
      <c r="R48" s="355">
        <f t="shared" si="15"/>
        <v>0</v>
      </c>
      <c r="S48" s="651">
        <f t="shared" si="6"/>
        <v>0</v>
      </c>
    </row>
    <row r="49" spans="1:19">
      <c r="A49" s="808"/>
      <c r="B49" s="129"/>
      <c r="C49" s="50">
        <f t="shared" si="7"/>
        <v>1</v>
      </c>
      <c r="D49" s="806"/>
      <c r="E49" s="50">
        <f t="shared" si="8"/>
        <v>1</v>
      </c>
      <c r="F49" s="806"/>
      <c r="G49" s="50">
        <f t="shared" si="9"/>
        <v>1</v>
      </c>
      <c r="H49" s="806"/>
      <c r="I49" s="50">
        <f t="shared" si="10"/>
        <v>1</v>
      </c>
      <c r="J49" s="806"/>
      <c r="K49" s="50">
        <f t="shared" si="11"/>
        <v>1</v>
      </c>
      <c r="L49" s="806"/>
      <c r="M49" s="50">
        <f t="shared" si="12"/>
        <v>1</v>
      </c>
      <c r="N49" s="806"/>
      <c r="O49" s="50">
        <f t="shared" si="13"/>
        <v>1</v>
      </c>
      <c r="P49" s="806"/>
      <c r="Q49" s="50">
        <f t="shared" si="14"/>
        <v>1</v>
      </c>
      <c r="R49" s="355">
        <f t="shared" si="15"/>
        <v>0</v>
      </c>
      <c r="S49" s="651">
        <f t="shared" si="6"/>
        <v>0</v>
      </c>
    </row>
    <row r="50" spans="1:19">
      <c r="A50" s="808"/>
      <c r="B50" s="129"/>
      <c r="C50" s="50">
        <f t="shared" si="7"/>
        <v>1</v>
      </c>
      <c r="D50" s="806"/>
      <c r="E50" s="50">
        <f t="shared" si="8"/>
        <v>1</v>
      </c>
      <c r="F50" s="806"/>
      <c r="G50" s="50">
        <f t="shared" si="9"/>
        <v>1</v>
      </c>
      <c r="H50" s="806"/>
      <c r="I50" s="50">
        <f t="shared" si="10"/>
        <v>1</v>
      </c>
      <c r="J50" s="806"/>
      <c r="K50" s="50">
        <f t="shared" si="11"/>
        <v>1</v>
      </c>
      <c r="L50" s="806"/>
      <c r="M50" s="50">
        <f t="shared" si="12"/>
        <v>1</v>
      </c>
      <c r="N50" s="806"/>
      <c r="O50" s="50">
        <f t="shared" si="13"/>
        <v>1</v>
      </c>
      <c r="P50" s="806"/>
      <c r="Q50" s="50">
        <f t="shared" si="14"/>
        <v>1</v>
      </c>
      <c r="R50" s="355">
        <f t="shared" si="15"/>
        <v>0</v>
      </c>
      <c r="S50" s="651">
        <f t="shared" si="6"/>
        <v>0</v>
      </c>
    </row>
    <row r="51" spans="1:19">
      <c r="A51" s="808"/>
      <c r="B51" s="129"/>
      <c r="C51" s="50">
        <f t="shared" si="7"/>
        <v>1</v>
      </c>
      <c r="D51" s="806"/>
      <c r="E51" s="50">
        <f t="shared" si="8"/>
        <v>1</v>
      </c>
      <c r="F51" s="806"/>
      <c r="G51" s="50">
        <f t="shared" si="9"/>
        <v>1</v>
      </c>
      <c r="H51" s="806"/>
      <c r="I51" s="50">
        <f t="shared" si="10"/>
        <v>1</v>
      </c>
      <c r="J51" s="806"/>
      <c r="K51" s="50">
        <f t="shared" si="11"/>
        <v>1</v>
      </c>
      <c r="L51" s="806"/>
      <c r="M51" s="50">
        <f t="shared" si="12"/>
        <v>1</v>
      </c>
      <c r="N51" s="806"/>
      <c r="O51" s="50">
        <f t="shared" si="13"/>
        <v>1</v>
      </c>
      <c r="P51" s="806"/>
      <c r="Q51" s="50">
        <f t="shared" si="14"/>
        <v>1</v>
      </c>
      <c r="R51" s="355">
        <f t="shared" si="15"/>
        <v>0</v>
      </c>
      <c r="S51" s="651">
        <f t="shared" si="6"/>
        <v>0</v>
      </c>
    </row>
    <row r="52" spans="1:19">
      <c r="A52" s="808"/>
      <c r="B52" s="129"/>
      <c r="C52" s="50">
        <f t="shared" si="7"/>
        <v>1</v>
      </c>
      <c r="D52" s="806"/>
      <c r="E52" s="50">
        <f t="shared" si="8"/>
        <v>1</v>
      </c>
      <c r="F52" s="806"/>
      <c r="G52" s="50">
        <f t="shared" si="9"/>
        <v>1</v>
      </c>
      <c r="H52" s="806"/>
      <c r="I52" s="50">
        <f t="shared" si="10"/>
        <v>1</v>
      </c>
      <c r="J52" s="806"/>
      <c r="K52" s="50">
        <f t="shared" si="11"/>
        <v>1</v>
      </c>
      <c r="L52" s="806"/>
      <c r="M52" s="50">
        <f t="shared" si="12"/>
        <v>1</v>
      </c>
      <c r="N52" s="806"/>
      <c r="O52" s="50">
        <f t="shared" si="13"/>
        <v>1</v>
      </c>
      <c r="P52" s="806"/>
      <c r="Q52" s="50">
        <f t="shared" si="14"/>
        <v>1</v>
      </c>
      <c r="R52" s="355">
        <f t="shared" si="15"/>
        <v>0</v>
      </c>
      <c r="S52" s="651">
        <f t="shared" si="6"/>
        <v>0</v>
      </c>
    </row>
    <row r="53" spans="1:19">
      <c r="A53" s="808"/>
      <c r="B53" s="129"/>
      <c r="C53" s="50">
        <f t="shared" si="7"/>
        <v>1</v>
      </c>
      <c r="D53" s="806"/>
      <c r="E53" s="50">
        <f t="shared" si="8"/>
        <v>1</v>
      </c>
      <c r="F53" s="806"/>
      <c r="G53" s="50">
        <f t="shared" si="9"/>
        <v>1</v>
      </c>
      <c r="H53" s="806"/>
      <c r="I53" s="50">
        <f t="shared" si="10"/>
        <v>1</v>
      </c>
      <c r="J53" s="806"/>
      <c r="K53" s="50">
        <f t="shared" si="11"/>
        <v>1</v>
      </c>
      <c r="L53" s="806"/>
      <c r="M53" s="50">
        <f t="shared" si="12"/>
        <v>1</v>
      </c>
      <c r="N53" s="806"/>
      <c r="O53" s="50">
        <f t="shared" si="13"/>
        <v>1</v>
      </c>
      <c r="P53" s="806"/>
      <c r="Q53" s="50">
        <f t="shared" si="14"/>
        <v>1</v>
      </c>
      <c r="R53" s="355">
        <f t="shared" si="15"/>
        <v>0</v>
      </c>
      <c r="S53" s="651">
        <f t="shared" si="6"/>
        <v>0</v>
      </c>
    </row>
    <row r="54" spans="1:19">
      <c r="A54" s="808"/>
      <c r="B54" s="129"/>
      <c r="C54" s="50">
        <f t="shared" si="7"/>
        <v>1</v>
      </c>
      <c r="D54" s="806"/>
      <c r="E54" s="50">
        <f t="shared" si="8"/>
        <v>1</v>
      </c>
      <c r="F54" s="806"/>
      <c r="G54" s="50">
        <f t="shared" si="9"/>
        <v>1</v>
      </c>
      <c r="H54" s="806"/>
      <c r="I54" s="50">
        <f t="shared" si="10"/>
        <v>1</v>
      </c>
      <c r="J54" s="806"/>
      <c r="K54" s="50">
        <f t="shared" si="11"/>
        <v>1</v>
      </c>
      <c r="L54" s="806"/>
      <c r="M54" s="50">
        <f t="shared" si="12"/>
        <v>1</v>
      </c>
      <c r="N54" s="806"/>
      <c r="O54" s="50">
        <f t="shared" si="13"/>
        <v>1</v>
      </c>
      <c r="P54" s="806"/>
      <c r="Q54" s="50">
        <f t="shared" si="14"/>
        <v>1</v>
      </c>
      <c r="R54" s="355">
        <f t="shared" si="15"/>
        <v>0</v>
      </c>
      <c r="S54" s="651">
        <f t="shared" si="6"/>
        <v>0</v>
      </c>
    </row>
    <row r="55" spans="1:19">
      <c r="A55" s="808"/>
      <c r="B55" s="129"/>
      <c r="C55" s="50">
        <f t="shared" si="7"/>
        <v>1</v>
      </c>
      <c r="D55" s="806"/>
      <c r="E55" s="50">
        <f t="shared" si="8"/>
        <v>1</v>
      </c>
      <c r="F55" s="806"/>
      <c r="G55" s="50">
        <f t="shared" si="9"/>
        <v>1</v>
      </c>
      <c r="H55" s="806"/>
      <c r="I55" s="50">
        <f t="shared" si="10"/>
        <v>1</v>
      </c>
      <c r="J55" s="806"/>
      <c r="K55" s="50">
        <f t="shared" si="11"/>
        <v>1</v>
      </c>
      <c r="L55" s="806"/>
      <c r="M55" s="50">
        <f t="shared" si="12"/>
        <v>1</v>
      </c>
      <c r="N55" s="806"/>
      <c r="O55" s="50">
        <f t="shared" si="13"/>
        <v>1</v>
      </c>
      <c r="P55" s="806"/>
      <c r="Q55" s="50">
        <f t="shared" si="14"/>
        <v>1</v>
      </c>
      <c r="R55" s="355">
        <f t="shared" si="15"/>
        <v>0</v>
      </c>
      <c r="S55" s="651">
        <f t="shared" ref="S55:S77" si="16">ROUND(R55*B55/10000,0)</f>
        <v>0</v>
      </c>
    </row>
    <row r="56" spans="1:19">
      <c r="A56" s="808"/>
      <c r="B56" s="129"/>
      <c r="C56" s="50">
        <f t="shared" si="7"/>
        <v>1</v>
      </c>
      <c r="D56" s="806"/>
      <c r="E56" s="50">
        <f t="shared" si="8"/>
        <v>1</v>
      </c>
      <c r="F56" s="806"/>
      <c r="G56" s="50">
        <f t="shared" si="9"/>
        <v>1</v>
      </c>
      <c r="H56" s="806"/>
      <c r="I56" s="50">
        <f t="shared" si="10"/>
        <v>1</v>
      </c>
      <c r="J56" s="806"/>
      <c r="K56" s="50">
        <f t="shared" si="11"/>
        <v>1</v>
      </c>
      <c r="L56" s="806"/>
      <c r="M56" s="50">
        <f t="shared" si="12"/>
        <v>1</v>
      </c>
      <c r="N56" s="806"/>
      <c r="O56" s="50">
        <f t="shared" si="13"/>
        <v>1</v>
      </c>
      <c r="P56" s="806"/>
      <c r="Q56" s="50">
        <f t="shared" si="14"/>
        <v>1</v>
      </c>
      <c r="R56" s="355">
        <f t="shared" si="15"/>
        <v>0</v>
      </c>
      <c r="S56" s="651">
        <f t="shared" si="16"/>
        <v>0</v>
      </c>
    </row>
    <row r="57" spans="1:19">
      <c r="A57" s="808"/>
      <c r="B57" s="129"/>
      <c r="C57" s="50">
        <f t="shared" si="7"/>
        <v>1</v>
      </c>
      <c r="D57" s="806"/>
      <c r="E57" s="50">
        <f t="shared" si="8"/>
        <v>1</v>
      </c>
      <c r="F57" s="806"/>
      <c r="G57" s="50">
        <f t="shared" si="9"/>
        <v>1</v>
      </c>
      <c r="H57" s="806"/>
      <c r="I57" s="50">
        <f t="shared" si="10"/>
        <v>1</v>
      </c>
      <c r="J57" s="806"/>
      <c r="K57" s="50">
        <f t="shared" si="11"/>
        <v>1</v>
      </c>
      <c r="L57" s="806"/>
      <c r="M57" s="50">
        <f t="shared" si="12"/>
        <v>1</v>
      </c>
      <c r="N57" s="806"/>
      <c r="O57" s="50">
        <f t="shared" si="13"/>
        <v>1</v>
      </c>
      <c r="P57" s="806"/>
      <c r="Q57" s="50">
        <f t="shared" si="14"/>
        <v>1</v>
      </c>
      <c r="R57" s="355">
        <f t="shared" si="15"/>
        <v>0</v>
      </c>
      <c r="S57" s="651">
        <f t="shared" si="16"/>
        <v>0</v>
      </c>
    </row>
    <row r="58" spans="1:19">
      <c r="A58" s="808"/>
      <c r="B58" s="129"/>
      <c r="C58" s="50">
        <f t="shared" si="7"/>
        <v>1</v>
      </c>
      <c r="D58" s="806"/>
      <c r="E58" s="50">
        <f t="shared" si="8"/>
        <v>1</v>
      </c>
      <c r="F58" s="806"/>
      <c r="G58" s="50">
        <f t="shared" si="9"/>
        <v>1</v>
      </c>
      <c r="H58" s="806"/>
      <c r="I58" s="50">
        <f t="shared" si="10"/>
        <v>1</v>
      </c>
      <c r="J58" s="806"/>
      <c r="K58" s="50">
        <f t="shared" si="11"/>
        <v>1</v>
      </c>
      <c r="L58" s="806"/>
      <c r="M58" s="50">
        <f t="shared" si="12"/>
        <v>1</v>
      </c>
      <c r="N58" s="806"/>
      <c r="O58" s="50">
        <f t="shared" si="13"/>
        <v>1</v>
      </c>
      <c r="P58" s="806"/>
      <c r="Q58" s="50">
        <f t="shared" si="14"/>
        <v>1</v>
      </c>
      <c r="R58" s="355">
        <f t="shared" si="15"/>
        <v>0</v>
      </c>
      <c r="S58" s="651">
        <f t="shared" si="16"/>
        <v>0</v>
      </c>
    </row>
    <row r="59" spans="1:19">
      <c r="A59" s="808"/>
      <c r="B59" s="129"/>
      <c r="C59" s="50">
        <f t="shared" si="7"/>
        <v>1</v>
      </c>
      <c r="D59" s="806"/>
      <c r="E59" s="50">
        <f t="shared" si="8"/>
        <v>1</v>
      </c>
      <c r="F59" s="806"/>
      <c r="G59" s="50">
        <f t="shared" si="9"/>
        <v>1</v>
      </c>
      <c r="H59" s="806"/>
      <c r="I59" s="50">
        <f t="shared" si="10"/>
        <v>1</v>
      </c>
      <c r="J59" s="806"/>
      <c r="K59" s="50">
        <f t="shared" si="11"/>
        <v>1</v>
      </c>
      <c r="L59" s="806"/>
      <c r="M59" s="50">
        <f t="shared" si="12"/>
        <v>1</v>
      </c>
      <c r="N59" s="806"/>
      <c r="O59" s="50">
        <f t="shared" si="13"/>
        <v>1</v>
      </c>
      <c r="P59" s="806"/>
      <c r="Q59" s="50">
        <f t="shared" si="14"/>
        <v>1</v>
      </c>
      <c r="R59" s="355">
        <f t="shared" si="15"/>
        <v>0</v>
      </c>
      <c r="S59" s="651">
        <f t="shared" si="16"/>
        <v>0</v>
      </c>
    </row>
    <row r="60" spans="1:19">
      <c r="A60" s="808"/>
      <c r="B60" s="129"/>
      <c r="C60" s="50">
        <f t="shared" si="7"/>
        <v>1</v>
      </c>
      <c r="D60" s="806"/>
      <c r="E60" s="50">
        <f t="shared" si="8"/>
        <v>1</v>
      </c>
      <c r="F60" s="806"/>
      <c r="G60" s="50">
        <f t="shared" si="9"/>
        <v>1</v>
      </c>
      <c r="H60" s="806"/>
      <c r="I60" s="50">
        <f t="shared" si="10"/>
        <v>1</v>
      </c>
      <c r="J60" s="806"/>
      <c r="K60" s="50">
        <f t="shared" si="11"/>
        <v>1</v>
      </c>
      <c r="L60" s="806"/>
      <c r="M60" s="50">
        <f t="shared" si="12"/>
        <v>1</v>
      </c>
      <c r="N60" s="806"/>
      <c r="O60" s="50">
        <f t="shared" si="13"/>
        <v>1</v>
      </c>
      <c r="P60" s="806"/>
      <c r="Q60" s="50">
        <f t="shared" si="14"/>
        <v>1</v>
      </c>
      <c r="R60" s="355">
        <f t="shared" si="15"/>
        <v>0</v>
      </c>
      <c r="S60" s="651">
        <f t="shared" si="16"/>
        <v>0</v>
      </c>
    </row>
    <row r="61" spans="1:19">
      <c r="A61" s="808"/>
      <c r="B61" s="129"/>
      <c r="C61" s="50">
        <f t="shared" si="7"/>
        <v>1</v>
      </c>
      <c r="D61" s="806"/>
      <c r="E61" s="50">
        <f t="shared" si="8"/>
        <v>1</v>
      </c>
      <c r="F61" s="806"/>
      <c r="G61" s="50">
        <f t="shared" si="9"/>
        <v>1</v>
      </c>
      <c r="H61" s="806"/>
      <c r="I61" s="50">
        <f t="shared" si="10"/>
        <v>1</v>
      </c>
      <c r="J61" s="806"/>
      <c r="K61" s="50">
        <f t="shared" si="11"/>
        <v>1</v>
      </c>
      <c r="L61" s="806"/>
      <c r="M61" s="50">
        <f t="shared" si="12"/>
        <v>1</v>
      </c>
      <c r="N61" s="806"/>
      <c r="O61" s="50">
        <f t="shared" si="13"/>
        <v>1</v>
      </c>
      <c r="P61" s="806"/>
      <c r="Q61" s="50">
        <f t="shared" si="14"/>
        <v>1</v>
      </c>
      <c r="R61" s="355">
        <f t="shared" si="15"/>
        <v>0</v>
      </c>
      <c r="S61" s="651">
        <f t="shared" si="16"/>
        <v>0</v>
      </c>
    </row>
    <row r="62" spans="1:19">
      <c r="A62" s="808"/>
      <c r="B62" s="129"/>
      <c r="C62" s="50">
        <f t="shared" si="7"/>
        <v>1</v>
      </c>
      <c r="D62" s="806"/>
      <c r="E62" s="50">
        <f t="shared" si="8"/>
        <v>1</v>
      </c>
      <c r="F62" s="806"/>
      <c r="G62" s="50">
        <f t="shared" si="9"/>
        <v>1</v>
      </c>
      <c r="H62" s="806"/>
      <c r="I62" s="50">
        <f t="shared" si="10"/>
        <v>1</v>
      </c>
      <c r="J62" s="806"/>
      <c r="K62" s="50">
        <f t="shared" si="11"/>
        <v>1</v>
      </c>
      <c r="L62" s="806"/>
      <c r="M62" s="50">
        <f t="shared" si="12"/>
        <v>1</v>
      </c>
      <c r="N62" s="806"/>
      <c r="O62" s="50">
        <f t="shared" si="13"/>
        <v>1</v>
      </c>
      <c r="P62" s="806"/>
      <c r="Q62" s="50">
        <f t="shared" si="14"/>
        <v>1</v>
      </c>
      <c r="R62" s="355">
        <f t="shared" si="15"/>
        <v>0</v>
      </c>
      <c r="S62" s="651">
        <f t="shared" si="16"/>
        <v>0</v>
      </c>
    </row>
    <row r="63" spans="1:19">
      <c r="A63" s="808"/>
      <c r="B63" s="129"/>
      <c r="C63" s="50">
        <f t="shared" si="7"/>
        <v>1</v>
      </c>
      <c r="D63" s="806"/>
      <c r="E63" s="50">
        <f t="shared" si="8"/>
        <v>1</v>
      </c>
      <c r="F63" s="806"/>
      <c r="G63" s="50">
        <f t="shared" si="9"/>
        <v>1</v>
      </c>
      <c r="H63" s="806"/>
      <c r="I63" s="50">
        <f t="shared" si="10"/>
        <v>1</v>
      </c>
      <c r="J63" s="806"/>
      <c r="K63" s="50">
        <f t="shared" si="11"/>
        <v>1</v>
      </c>
      <c r="L63" s="806"/>
      <c r="M63" s="50">
        <f t="shared" si="12"/>
        <v>1</v>
      </c>
      <c r="N63" s="806"/>
      <c r="O63" s="50">
        <f t="shared" si="13"/>
        <v>1</v>
      </c>
      <c r="P63" s="806"/>
      <c r="Q63" s="50">
        <f t="shared" si="14"/>
        <v>1</v>
      </c>
      <c r="R63" s="355">
        <f t="shared" si="15"/>
        <v>0</v>
      </c>
      <c r="S63" s="651">
        <f t="shared" si="16"/>
        <v>0</v>
      </c>
    </row>
    <row r="64" spans="1:19">
      <c r="A64" s="808"/>
      <c r="B64" s="129"/>
      <c r="C64" s="50">
        <f t="shared" si="7"/>
        <v>1</v>
      </c>
      <c r="D64" s="806"/>
      <c r="E64" s="50">
        <f t="shared" si="8"/>
        <v>1</v>
      </c>
      <c r="F64" s="806"/>
      <c r="G64" s="50">
        <f t="shared" si="9"/>
        <v>1</v>
      </c>
      <c r="H64" s="806"/>
      <c r="I64" s="50">
        <f t="shared" si="10"/>
        <v>1</v>
      </c>
      <c r="J64" s="806"/>
      <c r="K64" s="50">
        <f t="shared" si="11"/>
        <v>1</v>
      </c>
      <c r="L64" s="806"/>
      <c r="M64" s="50">
        <f t="shared" si="12"/>
        <v>1</v>
      </c>
      <c r="N64" s="806"/>
      <c r="O64" s="50">
        <f t="shared" si="13"/>
        <v>1</v>
      </c>
      <c r="P64" s="806"/>
      <c r="Q64" s="50">
        <f t="shared" si="14"/>
        <v>1</v>
      </c>
      <c r="R64" s="355">
        <f t="shared" si="15"/>
        <v>0</v>
      </c>
      <c r="S64" s="651">
        <f t="shared" si="16"/>
        <v>0</v>
      </c>
    </row>
    <row r="65" spans="1:19">
      <c r="A65" s="808"/>
      <c r="B65" s="129"/>
      <c r="C65" s="50">
        <f t="shared" si="7"/>
        <v>1</v>
      </c>
      <c r="D65" s="806"/>
      <c r="E65" s="50">
        <f t="shared" si="8"/>
        <v>1</v>
      </c>
      <c r="F65" s="806"/>
      <c r="G65" s="50">
        <f t="shared" si="9"/>
        <v>1</v>
      </c>
      <c r="H65" s="806"/>
      <c r="I65" s="50">
        <f t="shared" si="10"/>
        <v>1</v>
      </c>
      <c r="J65" s="806"/>
      <c r="K65" s="50">
        <f t="shared" si="11"/>
        <v>1</v>
      </c>
      <c r="L65" s="806"/>
      <c r="M65" s="50">
        <f t="shared" si="12"/>
        <v>1</v>
      </c>
      <c r="N65" s="806"/>
      <c r="O65" s="50">
        <f t="shared" si="13"/>
        <v>1</v>
      </c>
      <c r="P65" s="806"/>
      <c r="Q65" s="50">
        <f t="shared" si="14"/>
        <v>1</v>
      </c>
      <c r="R65" s="355">
        <f t="shared" si="15"/>
        <v>0</v>
      </c>
      <c r="S65" s="651">
        <f t="shared" si="16"/>
        <v>0</v>
      </c>
    </row>
    <row r="66" spans="1:19">
      <c r="A66" s="808"/>
      <c r="B66" s="129"/>
      <c r="C66" s="50">
        <f t="shared" si="7"/>
        <v>1</v>
      </c>
      <c r="D66" s="806"/>
      <c r="E66" s="50">
        <f t="shared" si="8"/>
        <v>1</v>
      </c>
      <c r="F66" s="806"/>
      <c r="G66" s="50">
        <f t="shared" si="9"/>
        <v>1</v>
      </c>
      <c r="H66" s="806"/>
      <c r="I66" s="50">
        <f t="shared" si="10"/>
        <v>1</v>
      </c>
      <c r="J66" s="806"/>
      <c r="K66" s="50">
        <f t="shared" si="11"/>
        <v>1</v>
      </c>
      <c r="L66" s="806"/>
      <c r="M66" s="50">
        <f t="shared" si="12"/>
        <v>1</v>
      </c>
      <c r="N66" s="806"/>
      <c r="O66" s="50">
        <f t="shared" si="13"/>
        <v>1</v>
      </c>
      <c r="P66" s="806"/>
      <c r="Q66" s="50">
        <f t="shared" si="14"/>
        <v>1</v>
      </c>
      <c r="R66" s="355">
        <f t="shared" si="15"/>
        <v>0</v>
      </c>
      <c r="S66" s="651">
        <f t="shared" si="16"/>
        <v>0</v>
      </c>
    </row>
    <row r="67" spans="1:19">
      <c r="A67" s="808"/>
      <c r="B67" s="129"/>
      <c r="C67" s="50">
        <f t="shared" si="7"/>
        <v>1</v>
      </c>
      <c r="D67" s="806"/>
      <c r="E67" s="50">
        <f t="shared" si="8"/>
        <v>1</v>
      </c>
      <c r="F67" s="806"/>
      <c r="G67" s="50">
        <f t="shared" si="9"/>
        <v>1</v>
      </c>
      <c r="H67" s="806"/>
      <c r="I67" s="50">
        <f t="shared" si="10"/>
        <v>1</v>
      </c>
      <c r="J67" s="806"/>
      <c r="K67" s="50">
        <f t="shared" si="11"/>
        <v>1</v>
      </c>
      <c r="L67" s="806"/>
      <c r="M67" s="50">
        <f t="shared" si="12"/>
        <v>1</v>
      </c>
      <c r="N67" s="806"/>
      <c r="O67" s="50">
        <f t="shared" si="13"/>
        <v>1</v>
      </c>
      <c r="P67" s="806"/>
      <c r="Q67" s="50">
        <f t="shared" si="14"/>
        <v>1</v>
      </c>
      <c r="R67" s="355">
        <f t="shared" si="15"/>
        <v>0</v>
      </c>
      <c r="S67" s="651">
        <f t="shared" si="16"/>
        <v>0</v>
      </c>
    </row>
    <row r="68" spans="1:19">
      <c r="A68" s="808"/>
      <c r="B68" s="129"/>
      <c r="C68" s="50">
        <f t="shared" si="7"/>
        <v>1</v>
      </c>
      <c r="D68" s="806"/>
      <c r="E68" s="50">
        <f t="shared" si="8"/>
        <v>1</v>
      </c>
      <c r="F68" s="806"/>
      <c r="G68" s="50">
        <f t="shared" si="9"/>
        <v>1</v>
      </c>
      <c r="H68" s="806"/>
      <c r="I68" s="50">
        <f t="shared" si="10"/>
        <v>1</v>
      </c>
      <c r="J68" s="806"/>
      <c r="K68" s="50">
        <f t="shared" si="11"/>
        <v>1</v>
      </c>
      <c r="L68" s="806"/>
      <c r="M68" s="50">
        <f t="shared" si="12"/>
        <v>1</v>
      </c>
      <c r="N68" s="806"/>
      <c r="O68" s="50">
        <f t="shared" si="13"/>
        <v>1</v>
      </c>
      <c r="P68" s="806"/>
      <c r="Q68" s="50">
        <f t="shared" si="14"/>
        <v>1</v>
      </c>
      <c r="R68" s="355">
        <f t="shared" si="15"/>
        <v>0</v>
      </c>
      <c r="S68" s="651">
        <f t="shared" si="16"/>
        <v>0</v>
      </c>
    </row>
    <row r="69" spans="1:19">
      <c r="A69" s="808"/>
      <c r="B69" s="129"/>
      <c r="C69" s="50">
        <f t="shared" si="7"/>
        <v>1</v>
      </c>
      <c r="D69" s="806"/>
      <c r="E69" s="50">
        <f t="shared" si="8"/>
        <v>1</v>
      </c>
      <c r="F69" s="806"/>
      <c r="G69" s="50">
        <f t="shared" si="9"/>
        <v>1</v>
      </c>
      <c r="H69" s="806"/>
      <c r="I69" s="50">
        <f t="shared" si="10"/>
        <v>1</v>
      </c>
      <c r="J69" s="806"/>
      <c r="K69" s="50">
        <f t="shared" si="11"/>
        <v>1</v>
      </c>
      <c r="L69" s="806"/>
      <c r="M69" s="50">
        <f t="shared" si="12"/>
        <v>1</v>
      </c>
      <c r="N69" s="806"/>
      <c r="O69" s="50">
        <f t="shared" si="13"/>
        <v>1</v>
      </c>
      <c r="P69" s="806"/>
      <c r="Q69" s="50">
        <f t="shared" si="14"/>
        <v>1</v>
      </c>
      <c r="R69" s="355">
        <f t="shared" si="15"/>
        <v>0</v>
      </c>
      <c r="S69" s="651">
        <f t="shared" si="16"/>
        <v>0</v>
      </c>
    </row>
    <row r="70" spans="1:19">
      <c r="A70" s="808"/>
      <c r="B70" s="129"/>
      <c r="C70" s="50">
        <f t="shared" si="7"/>
        <v>1</v>
      </c>
      <c r="D70" s="806"/>
      <c r="E70" s="50">
        <f t="shared" si="8"/>
        <v>1</v>
      </c>
      <c r="F70" s="806"/>
      <c r="G70" s="50">
        <f t="shared" si="9"/>
        <v>1</v>
      </c>
      <c r="H70" s="806"/>
      <c r="I70" s="50">
        <f t="shared" si="10"/>
        <v>1</v>
      </c>
      <c r="J70" s="806"/>
      <c r="K70" s="50">
        <f t="shared" si="11"/>
        <v>1</v>
      </c>
      <c r="L70" s="806"/>
      <c r="M70" s="50">
        <f t="shared" si="12"/>
        <v>1</v>
      </c>
      <c r="N70" s="806"/>
      <c r="O70" s="50">
        <f t="shared" si="13"/>
        <v>1</v>
      </c>
      <c r="P70" s="806"/>
      <c r="Q70" s="50">
        <f t="shared" si="14"/>
        <v>1</v>
      </c>
      <c r="R70" s="355">
        <f t="shared" si="15"/>
        <v>0</v>
      </c>
      <c r="S70" s="651">
        <f t="shared" si="16"/>
        <v>0</v>
      </c>
    </row>
    <row r="71" spans="1:19">
      <c r="A71" s="808"/>
      <c r="B71" s="129"/>
      <c r="C71" s="50">
        <f t="shared" si="7"/>
        <v>1</v>
      </c>
      <c r="D71" s="806"/>
      <c r="E71" s="50">
        <f t="shared" si="8"/>
        <v>1</v>
      </c>
      <c r="F71" s="806"/>
      <c r="G71" s="50">
        <f t="shared" si="9"/>
        <v>1</v>
      </c>
      <c r="H71" s="806"/>
      <c r="I71" s="50">
        <f t="shared" si="10"/>
        <v>1</v>
      </c>
      <c r="J71" s="806"/>
      <c r="K71" s="50">
        <f t="shared" si="11"/>
        <v>1</v>
      </c>
      <c r="L71" s="806"/>
      <c r="M71" s="50">
        <f t="shared" si="12"/>
        <v>1</v>
      </c>
      <c r="N71" s="806"/>
      <c r="O71" s="50">
        <f t="shared" si="13"/>
        <v>1</v>
      </c>
      <c r="P71" s="806"/>
      <c r="Q71" s="50">
        <f t="shared" si="14"/>
        <v>1</v>
      </c>
      <c r="R71" s="355">
        <f t="shared" si="15"/>
        <v>0</v>
      </c>
      <c r="S71" s="651">
        <f t="shared" si="16"/>
        <v>0</v>
      </c>
    </row>
    <row r="72" spans="1:19">
      <c r="A72" s="808"/>
      <c r="B72" s="129"/>
      <c r="C72" s="50">
        <f t="shared" si="7"/>
        <v>1</v>
      </c>
      <c r="D72" s="806"/>
      <c r="E72" s="50">
        <f t="shared" si="8"/>
        <v>1</v>
      </c>
      <c r="F72" s="806"/>
      <c r="G72" s="50">
        <f t="shared" si="9"/>
        <v>1</v>
      </c>
      <c r="H72" s="806"/>
      <c r="I72" s="50">
        <f t="shared" si="10"/>
        <v>1</v>
      </c>
      <c r="J72" s="806"/>
      <c r="K72" s="50">
        <f t="shared" si="11"/>
        <v>1</v>
      </c>
      <c r="L72" s="806"/>
      <c r="M72" s="50">
        <f t="shared" si="12"/>
        <v>1</v>
      </c>
      <c r="N72" s="806"/>
      <c r="O72" s="50">
        <f t="shared" si="13"/>
        <v>1</v>
      </c>
      <c r="P72" s="806"/>
      <c r="Q72" s="50">
        <f t="shared" si="14"/>
        <v>1</v>
      </c>
      <c r="R72" s="355">
        <f t="shared" si="15"/>
        <v>0</v>
      </c>
      <c r="S72" s="651">
        <f t="shared" si="16"/>
        <v>0</v>
      </c>
    </row>
    <row r="73" spans="1:19">
      <c r="A73" s="808"/>
      <c r="B73" s="129"/>
      <c r="C73" s="50">
        <f t="shared" si="7"/>
        <v>1</v>
      </c>
      <c r="D73" s="806"/>
      <c r="E73" s="50">
        <f t="shared" si="8"/>
        <v>1</v>
      </c>
      <c r="F73" s="806"/>
      <c r="G73" s="50">
        <f t="shared" si="9"/>
        <v>1</v>
      </c>
      <c r="H73" s="806"/>
      <c r="I73" s="50">
        <f t="shared" si="10"/>
        <v>1</v>
      </c>
      <c r="J73" s="806"/>
      <c r="K73" s="50">
        <f t="shared" si="11"/>
        <v>1</v>
      </c>
      <c r="L73" s="806"/>
      <c r="M73" s="50">
        <f t="shared" si="12"/>
        <v>1</v>
      </c>
      <c r="N73" s="806"/>
      <c r="O73" s="50">
        <f t="shared" si="13"/>
        <v>1</v>
      </c>
      <c r="P73" s="806"/>
      <c r="Q73" s="50">
        <f t="shared" si="14"/>
        <v>1</v>
      </c>
      <c r="R73" s="355">
        <f t="shared" si="15"/>
        <v>0</v>
      </c>
      <c r="S73" s="651">
        <f t="shared" si="16"/>
        <v>0</v>
      </c>
    </row>
    <row r="74" spans="1:19">
      <c r="A74" s="808"/>
      <c r="B74" s="129"/>
      <c r="C74" s="50">
        <f t="shared" si="7"/>
        <v>1</v>
      </c>
      <c r="D74" s="806"/>
      <c r="E74" s="50">
        <f t="shared" si="8"/>
        <v>1</v>
      </c>
      <c r="F74" s="806"/>
      <c r="G74" s="50">
        <f t="shared" si="9"/>
        <v>1</v>
      </c>
      <c r="H74" s="806"/>
      <c r="I74" s="50">
        <f t="shared" si="10"/>
        <v>1</v>
      </c>
      <c r="J74" s="806"/>
      <c r="K74" s="50">
        <f t="shared" si="11"/>
        <v>1</v>
      </c>
      <c r="L74" s="806"/>
      <c r="M74" s="50">
        <f t="shared" si="12"/>
        <v>1</v>
      </c>
      <c r="N74" s="806"/>
      <c r="O74" s="50">
        <f t="shared" si="13"/>
        <v>1</v>
      </c>
      <c r="P74" s="806"/>
      <c r="Q74" s="50">
        <f t="shared" si="14"/>
        <v>1</v>
      </c>
      <c r="R74" s="355">
        <f t="shared" si="15"/>
        <v>0</v>
      </c>
      <c r="S74" s="651">
        <f t="shared" si="16"/>
        <v>0</v>
      </c>
    </row>
    <row r="75" spans="1:19">
      <c r="A75" s="808"/>
      <c r="B75" s="129"/>
      <c r="C75" s="50">
        <f t="shared" si="7"/>
        <v>1</v>
      </c>
      <c r="D75" s="806"/>
      <c r="E75" s="50">
        <f t="shared" si="8"/>
        <v>1</v>
      </c>
      <c r="F75" s="806"/>
      <c r="G75" s="50">
        <f t="shared" si="9"/>
        <v>1</v>
      </c>
      <c r="H75" s="806"/>
      <c r="I75" s="50">
        <f t="shared" si="10"/>
        <v>1</v>
      </c>
      <c r="J75" s="806"/>
      <c r="K75" s="50">
        <f t="shared" si="11"/>
        <v>1</v>
      </c>
      <c r="L75" s="806"/>
      <c r="M75" s="50">
        <f t="shared" si="12"/>
        <v>1</v>
      </c>
      <c r="N75" s="806"/>
      <c r="O75" s="50">
        <f t="shared" si="13"/>
        <v>1</v>
      </c>
      <c r="P75" s="806"/>
      <c r="Q75" s="50">
        <f t="shared" si="14"/>
        <v>1</v>
      </c>
      <c r="R75" s="355">
        <f t="shared" si="15"/>
        <v>0</v>
      </c>
      <c r="S75" s="651">
        <f t="shared" si="16"/>
        <v>0</v>
      </c>
    </row>
    <row r="76" spans="1:19">
      <c r="A76" s="808"/>
      <c r="B76" s="129"/>
      <c r="C76" s="50">
        <f t="shared" si="7"/>
        <v>1</v>
      </c>
      <c r="D76" s="806"/>
      <c r="E76" s="50">
        <f t="shared" si="8"/>
        <v>1</v>
      </c>
      <c r="F76" s="806"/>
      <c r="G76" s="50">
        <f t="shared" si="9"/>
        <v>1</v>
      </c>
      <c r="H76" s="806"/>
      <c r="I76" s="50">
        <f t="shared" si="10"/>
        <v>1</v>
      </c>
      <c r="J76" s="806"/>
      <c r="K76" s="50">
        <f t="shared" si="11"/>
        <v>1</v>
      </c>
      <c r="L76" s="806"/>
      <c r="M76" s="50">
        <f t="shared" si="12"/>
        <v>1</v>
      </c>
      <c r="N76" s="806"/>
      <c r="O76" s="50">
        <f t="shared" si="13"/>
        <v>1</v>
      </c>
      <c r="P76" s="806"/>
      <c r="Q76" s="50">
        <f t="shared" si="14"/>
        <v>1</v>
      </c>
      <c r="R76" s="355">
        <f t="shared" si="15"/>
        <v>0</v>
      </c>
      <c r="S76" s="651">
        <f t="shared" si="16"/>
        <v>0</v>
      </c>
    </row>
    <row r="77" spans="1:19">
      <c r="A77" s="808"/>
      <c r="B77" s="129"/>
      <c r="C77" s="50">
        <f t="shared" si="7"/>
        <v>1</v>
      </c>
      <c r="D77" s="806"/>
      <c r="E77" s="50">
        <f t="shared" si="8"/>
        <v>1</v>
      </c>
      <c r="F77" s="806"/>
      <c r="G77" s="50">
        <f t="shared" si="9"/>
        <v>1</v>
      </c>
      <c r="H77" s="806"/>
      <c r="I77" s="50">
        <f t="shared" si="10"/>
        <v>1</v>
      </c>
      <c r="J77" s="806"/>
      <c r="K77" s="50">
        <f t="shared" si="11"/>
        <v>1</v>
      </c>
      <c r="L77" s="806"/>
      <c r="M77" s="50">
        <f t="shared" si="12"/>
        <v>1</v>
      </c>
      <c r="N77" s="806"/>
      <c r="O77" s="50">
        <f t="shared" si="13"/>
        <v>1</v>
      </c>
      <c r="P77" s="806"/>
      <c r="Q77" s="50">
        <f t="shared" si="14"/>
        <v>1</v>
      </c>
      <c r="R77" s="355">
        <f t="shared" si="15"/>
        <v>0</v>
      </c>
      <c r="S77" s="651">
        <f t="shared" si="16"/>
        <v>0</v>
      </c>
    </row>
    <row r="78" spans="1:19">
      <c r="A78" s="808"/>
      <c r="B78" s="129"/>
      <c r="C78" s="50">
        <f t="shared" si="7"/>
        <v>1</v>
      </c>
      <c r="D78" s="806"/>
      <c r="E78" s="50">
        <f t="shared" si="8"/>
        <v>1</v>
      </c>
      <c r="F78" s="806"/>
      <c r="G78" s="50">
        <f t="shared" si="9"/>
        <v>1</v>
      </c>
      <c r="H78" s="806"/>
      <c r="I78" s="50">
        <f t="shared" si="10"/>
        <v>1</v>
      </c>
      <c r="J78" s="806"/>
      <c r="K78" s="50">
        <f t="shared" si="11"/>
        <v>1</v>
      </c>
      <c r="L78" s="806"/>
      <c r="M78" s="50">
        <f t="shared" si="12"/>
        <v>1</v>
      </c>
      <c r="N78" s="806"/>
      <c r="O78" s="50">
        <f t="shared" si="13"/>
        <v>1</v>
      </c>
      <c r="P78" s="806"/>
      <c r="Q78" s="50">
        <f t="shared" si="14"/>
        <v>1</v>
      </c>
      <c r="R78" s="355">
        <f t="shared" si="15"/>
        <v>0</v>
      </c>
      <c r="S78" s="651">
        <f t="shared" ref="S78:S122" si="17">ROUND(R78*B78/10000,0)</f>
        <v>0</v>
      </c>
    </row>
    <row r="79" spans="1:19">
      <c r="A79" s="808"/>
      <c r="B79" s="129"/>
      <c r="C79" s="50">
        <f t="shared" si="7"/>
        <v>1</v>
      </c>
      <c r="D79" s="806"/>
      <c r="E79" s="50">
        <f t="shared" si="8"/>
        <v>1</v>
      </c>
      <c r="F79" s="806"/>
      <c r="G79" s="50">
        <f t="shared" si="9"/>
        <v>1</v>
      </c>
      <c r="H79" s="806"/>
      <c r="I79" s="50">
        <f t="shared" si="10"/>
        <v>1</v>
      </c>
      <c r="J79" s="806"/>
      <c r="K79" s="50">
        <f t="shared" si="11"/>
        <v>1</v>
      </c>
      <c r="L79" s="806"/>
      <c r="M79" s="50">
        <f t="shared" si="12"/>
        <v>1</v>
      </c>
      <c r="N79" s="806"/>
      <c r="O79" s="50">
        <f t="shared" si="13"/>
        <v>1</v>
      </c>
      <c r="P79" s="806"/>
      <c r="Q79" s="50">
        <f t="shared" si="14"/>
        <v>1</v>
      </c>
      <c r="R79" s="355">
        <f t="shared" si="15"/>
        <v>0</v>
      </c>
      <c r="S79" s="651">
        <f t="shared" si="17"/>
        <v>0</v>
      </c>
    </row>
    <row r="80" spans="1:19">
      <c r="A80" s="808"/>
      <c r="B80" s="129"/>
      <c r="C80" s="50">
        <f t="shared" si="7"/>
        <v>1</v>
      </c>
      <c r="D80" s="806"/>
      <c r="E80" s="50">
        <f t="shared" si="8"/>
        <v>1</v>
      </c>
      <c r="F80" s="806"/>
      <c r="G80" s="50">
        <f t="shared" si="9"/>
        <v>1</v>
      </c>
      <c r="H80" s="806"/>
      <c r="I80" s="50">
        <f t="shared" si="10"/>
        <v>1</v>
      </c>
      <c r="J80" s="806"/>
      <c r="K80" s="50">
        <f t="shared" si="11"/>
        <v>1</v>
      </c>
      <c r="L80" s="806"/>
      <c r="M80" s="50">
        <f t="shared" si="12"/>
        <v>1</v>
      </c>
      <c r="N80" s="806"/>
      <c r="O80" s="50">
        <f t="shared" si="13"/>
        <v>1</v>
      </c>
      <c r="P80" s="806"/>
      <c r="Q80" s="50">
        <f t="shared" si="14"/>
        <v>1</v>
      </c>
      <c r="R80" s="355">
        <f t="shared" si="15"/>
        <v>0</v>
      </c>
      <c r="S80" s="651">
        <f t="shared" si="17"/>
        <v>0</v>
      </c>
    </row>
    <row r="81" spans="1:19">
      <c r="A81" s="808"/>
      <c r="B81" s="129"/>
      <c r="C81" s="50">
        <f t="shared" si="7"/>
        <v>1</v>
      </c>
      <c r="D81" s="806"/>
      <c r="E81" s="50">
        <f t="shared" si="8"/>
        <v>1</v>
      </c>
      <c r="F81" s="806"/>
      <c r="G81" s="50">
        <f t="shared" si="9"/>
        <v>1</v>
      </c>
      <c r="H81" s="806"/>
      <c r="I81" s="50">
        <f t="shared" si="10"/>
        <v>1</v>
      </c>
      <c r="J81" s="806"/>
      <c r="K81" s="50">
        <f t="shared" si="11"/>
        <v>1</v>
      </c>
      <c r="L81" s="806"/>
      <c r="M81" s="50">
        <f t="shared" si="12"/>
        <v>1</v>
      </c>
      <c r="N81" s="806"/>
      <c r="O81" s="50">
        <f t="shared" si="13"/>
        <v>1</v>
      </c>
      <c r="P81" s="806"/>
      <c r="Q81" s="50">
        <f t="shared" si="14"/>
        <v>1</v>
      </c>
      <c r="R81" s="355">
        <f t="shared" si="15"/>
        <v>0</v>
      </c>
      <c r="S81" s="651">
        <f t="shared" si="17"/>
        <v>0</v>
      </c>
    </row>
    <row r="82" spans="1:19">
      <c r="A82" s="808"/>
      <c r="B82" s="129"/>
      <c r="C82" s="50">
        <f t="shared" si="7"/>
        <v>1</v>
      </c>
      <c r="D82" s="806"/>
      <c r="E82" s="50">
        <f t="shared" si="8"/>
        <v>1</v>
      </c>
      <c r="F82" s="806"/>
      <c r="G82" s="50">
        <f t="shared" si="9"/>
        <v>1</v>
      </c>
      <c r="H82" s="806"/>
      <c r="I82" s="50">
        <f t="shared" si="10"/>
        <v>1</v>
      </c>
      <c r="J82" s="806"/>
      <c r="K82" s="50">
        <f t="shared" si="11"/>
        <v>1</v>
      </c>
      <c r="L82" s="806"/>
      <c r="M82" s="50">
        <f t="shared" si="12"/>
        <v>1</v>
      </c>
      <c r="N82" s="806"/>
      <c r="O82" s="50">
        <f t="shared" si="13"/>
        <v>1</v>
      </c>
      <c r="P82" s="806"/>
      <c r="Q82" s="50">
        <f t="shared" si="14"/>
        <v>1</v>
      </c>
      <c r="R82" s="355">
        <f t="shared" si="15"/>
        <v>0</v>
      </c>
      <c r="S82" s="651">
        <f t="shared" si="17"/>
        <v>0</v>
      </c>
    </row>
    <row r="83" spans="1:19">
      <c r="A83" s="808"/>
      <c r="B83" s="129"/>
      <c r="C83" s="50">
        <f t="shared" si="7"/>
        <v>1</v>
      </c>
      <c r="D83" s="806"/>
      <c r="E83" s="50">
        <f t="shared" si="8"/>
        <v>1</v>
      </c>
      <c r="F83" s="806"/>
      <c r="G83" s="50">
        <f t="shared" si="9"/>
        <v>1</v>
      </c>
      <c r="H83" s="806"/>
      <c r="I83" s="50">
        <f t="shared" si="10"/>
        <v>1</v>
      </c>
      <c r="J83" s="806"/>
      <c r="K83" s="50">
        <f t="shared" si="11"/>
        <v>1</v>
      </c>
      <c r="L83" s="806"/>
      <c r="M83" s="50">
        <f t="shared" si="12"/>
        <v>1</v>
      </c>
      <c r="N83" s="806"/>
      <c r="O83" s="50">
        <f t="shared" si="13"/>
        <v>1</v>
      </c>
      <c r="P83" s="806"/>
      <c r="Q83" s="50">
        <f t="shared" si="14"/>
        <v>1</v>
      </c>
      <c r="R83" s="355">
        <f t="shared" si="15"/>
        <v>0</v>
      </c>
      <c r="S83" s="651">
        <f t="shared" si="17"/>
        <v>0</v>
      </c>
    </row>
    <row r="84" spans="1:19">
      <c r="A84" s="808"/>
      <c r="B84" s="129"/>
      <c r="C84" s="50">
        <f t="shared" si="7"/>
        <v>1</v>
      </c>
      <c r="D84" s="806"/>
      <c r="E84" s="50">
        <f t="shared" si="8"/>
        <v>1</v>
      </c>
      <c r="F84" s="806"/>
      <c r="G84" s="50">
        <f t="shared" si="9"/>
        <v>1</v>
      </c>
      <c r="H84" s="806"/>
      <c r="I84" s="50">
        <f t="shared" si="10"/>
        <v>1</v>
      </c>
      <c r="J84" s="806"/>
      <c r="K84" s="50">
        <f t="shared" si="11"/>
        <v>1</v>
      </c>
      <c r="L84" s="806"/>
      <c r="M84" s="50">
        <f t="shared" si="12"/>
        <v>1</v>
      </c>
      <c r="N84" s="806"/>
      <c r="O84" s="50">
        <f t="shared" si="13"/>
        <v>1</v>
      </c>
      <c r="P84" s="806"/>
      <c r="Q84" s="50">
        <f t="shared" si="14"/>
        <v>1</v>
      </c>
      <c r="R84" s="355">
        <f t="shared" si="15"/>
        <v>0</v>
      </c>
      <c r="S84" s="651">
        <f t="shared" si="17"/>
        <v>0</v>
      </c>
    </row>
    <row r="85" spans="1:19">
      <c r="A85" s="808"/>
      <c r="B85" s="129"/>
      <c r="C85" s="50">
        <f t="shared" si="7"/>
        <v>1</v>
      </c>
      <c r="D85" s="806"/>
      <c r="E85" s="50">
        <f t="shared" si="8"/>
        <v>1</v>
      </c>
      <c r="F85" s="806"/>
      <c r="G85" s="50">
        <f t="shared" si="9"/>
        <v>1</v>
      </c>
      <c r="H85" s="806"/>
      <c r="I85" s="50">
        <f t="shared" si="10"/>
        <v>1</v>
      </c>
      <c r="J85" s="806"/>
      <c r="K85" s="50">
        <f t="shared" si="11"/>
        <v>1</v>
      </c>
      <c r="L85" s="806"/>
      <c r="M85" s="50">
        <f t="shared" si="12"/>
        <v>1</v>
      </c>
      <c r="N85" s="806"/>
      <c r="O85" s="50">
        <f t="shared" si="13"/>
        <v>1</v>
      </c>
      <c r="P85" s="806"/>
      <c r="Q85" s="50">
        <f t="shared" si="14"/>
        <v>1</v>
      </c>
      <c r="R85" s="355">
        <f t="shared" si="15"/>
        <v>0</v>
      </c>
      <c r="S85" s="651">
        <f t="shared" si="17"/>
        <v>0</v>
      </c>
    </row>
    <row r="86" spans="1:19">
      <c r="A86" s="808"/>
      <c r="B86" s="129"/>
      <c r="C86" s="50">
        <f t="shared" si="7"/>
        <v>1</v>
      </c>
      <c r="D86" s="806"/>
      <c r="E86" s="50">
        <f t="shared" si="8"/>
        <v>1</v>
      </c>
      <c r="F86" s="806"/>
      <c r="G86" s="50">
        <f t="shared" si="9"/>
        <v>1</v>
      </c>
      <c r="H86" s="806"/>
      <c r="I86" s="50">
        <f t="shared" si="10"/>
        <v>1</v>
      </c>
      <c r="J86" s="806"/>
      <c r="K86" s="50">
        <f t="shared" si="11"/>
        <v>1</v>
      </c>
      <c r="L86" s="806"/>
      <c r="M86" s="50">
        <f t="shared" si="12"/>
        <v>1</v>
      </c>
      <c r="N86" s="806"/>
      <c r="O86" s="50">
        <f t="shared" si="13"/>
        <v>1</v>
      </c>
      <c r="P86" s="806"/>
      <c r="Q86" s="50">
        <f t="shared" si="14"/>
        <v>1</v>
      </c>
      <c r="R86" s="355">
        <f t="shared" si="15"/>
        <v>0</v>
      </c>
      <c r="S86" s="651">
        <f t="shared" si="17"/>
        <v>0</v>
      </c>
    </row>
    <row r="87" spans="1:19">
      <c r="A87" s="808"/>
      <c r="B87" s="129"/>
      <c r="C87" s="50">
        <f t="shared" si="7"/>
        <v>1</v>
      </c>
      <c r="D87" s="806"/>
      <c r="E87" s="50">
        <f t="shared" si="8"/>
        <v>1</v>
      </c>
      <c r="F87" s="806"/>
      <c r="G87" s="50">
        <f t="shared" si="9"/>
        <v>1</v>
      </c>
      <c r="H87" s="806"/>
      <c r="I87" s="50">
        <f t="shared" si="10"/>
        <v>1</v>
      </c>
      <c r="J87" s="806"/>
      <c r="K87" s="50">
        <f t="shared" si="11"/>
        <v>1</v>
      </c>
      <c r="L87" s="806"/>
      <c r="M87" s="50">
        <f t="shared" si="12"/>
        <v>1</v>
      </c>
      <c r="N87" s="806"/>
      <c r="O87" s="50">
        <f t="shared" si="13"/>
        <v>1</v>
      </c>
      <c r="P87" s="806"/>
      <c r="Q87" s="50">
        <f t="shared" si="14"/>
        <v>1</v>
      </c>
      <c r="R87" s="355">
        <f t="shared" si="15"/>
        <v>0</v>
      </c>
      <c r="S87" s="651">
        <f t="shared" si="17"/>
        <v>0</v>
      </c>
    </row>
    <row r="88" spans="1:19">
      <c r="A88" s="808"/>
      <c r="B88" s="129"/>
      <c r="C88" s="50">
        <f t="shared" si="7"/>
        <v>1</v>
      </c>
      <c r="D88" s="806"/>
      <c r="E88" s="50">
        <f t="shared" si="8"/>
        <v>1</v>
      </c>
      <c r="F88" s="806"/>
      <c r="G88" s="50">
        <f t="shared" si="9"/>
        <v>1</v>
      </c>
      <c r="H88" s="806"/>
      <c r="I88" s="50">
        <f t="shared" si="10"/>
        <v>1</v>
      </c>
      <c r="J88" s="806"/>
      <c r="K88" s="50">
        <f t="shared" si="11"/>
        <v>1</v>
      </c>
      <c r="L88" s="806"/>
      <c r="M88" s="50">
        <f t="shared" si="12"/>
        <v>1</v>
      </c>
      <c r="N88" s="806"/>
      <c r="O88" s="50">
        <f t="shared" si="13"/>
        <v>1</v>
      </c>
      <c r="P88" s="806"/>
      <c r="Q88" s="50">
        <f t="shared" si="14"/>
        <v>1</v>
      </c>
      <c r="R88" s="355">
        <f t="shared" si="15"/>
        <v>0</v>
      </c>
      <c r="S88" s="651">
        <f t="shared" si="17"/>
        <v>0</v>
      </c>
    </row>
    <row r="89" spans="1:19">
      <c r="A89" s="808"/>
      <c r="B89" s="129"/>
      <c r="C89" s="50">
        <f t="shared" si="7"/>
        <v>1</v>
      </c>
      <c r="D89" s="806"/>
      <c r="E89" s="50">
        <f t="shared" si="8"/>
        <v>1</v>
      </c>
      <c r="F89" s="806"/>
      <c r="G89" s="50">
        <f t="shared" si="9"/>
        <v>1</v>
      </c>
      <c r="H89" s="806"/>
      <c r="I89" s="50">
        <f t="shared" si="10"/>
        <v>1</v>
      </c>
      <c r="J89" s="806"/>
      <c r="K89" s="50">
        <f t="shared" si="11"/>
        <v>1</v>
      </c>
      <c r="L89" s="806"/>
      <c r="M89" s="50">
        <f t="shared" si="12"/>
        <v>1</v>
      </c>
      <c r="N89" s="806"/>
      <c r="O89" s="50">
        <f t="shared" si="13"/>
        <v>1</v>
      </c>
      <c r="P89" s="806"/>
      <c r="Q89" s="50">
        <f t="shared" si="14"/>
        <v>1</v>
      </c>
      <c r="R89" s="355">
        <f t="shared" si="15"/>
        <v>0</v>
      </c>
      <c r="S89" s="651">
        <f t="shared" si="17"/>
        <v>0</v>
      </c>
    </row>
    <row r="90" spans="1:19">
      <c r="A90" s="808"/>
      <c r="B90" s="129"/>
      <c r="C90" s="50">
        <f t="shared" ref="C90:C153" si="18">IF(B90="",1,(LOOKUP(B90,$3:$3,$4:$4)-LOOKUP($B$24,$3:$3,$4:$4)+100)/100)</f>
        <v>1</v>
      </c>
      <c r="D90" s="806"/>
      <c r="E90" s="50">
        <f t="shared" ref="E90:E153" si="19">(SUMIF($5:$5,D90,$6:$6)-SUMIF($5:$5,$D$24,$6:$6)+100)/100</f>
        <v>1</v>
      </c>
      <c r="F90" s="806"/>
      <c r="G90" s="50">
        <f t="shared" ref="G90:G153" si="20">(SUMIF($7:$7,F90,$8:$8)-SUMIF($7:$7,$F$24,$8:$8)+100)/100</f>
        <v>1</v>
      </c>
      <c r="H90" s="806"/>
      <c r="I90" s="50">
        <f t="shared" ref="I90:I153" si="21">(SUMIF($9:$9,H90,$10:$10)-SUMIF($9:$9,$H$24,$10:$10)+100)/100</f>
        <v>1</v>
      </c>
      <c r="J90" s="806"/>
      <c r="K90" s="50">
        <f t="shared" ref="K90:K153" si="22">(SUMIF($11:$11,J90,$12:$12)-SUMIF($11:$11,$J$24,$12:$12)+100)/100</f>
        <v>1</v>
      </c>
      <c r="L90" s="806"/>
      <c r="M90" s="50">
        <f t="shared" ref="M90:M153" si="23">(SUMIF($13:$13,L90,$14:$14)-SUMIF($13:$13,$L$24,$14:$14)+100)/100</f>
        <v>1</v>
      </c>
      <c r="N90" s="806"/>
      <c r="O90" s="50">
        <f t="shared" ref="O90:O153" si="24">(SUMIF($15:$15,N90,$16:$16)-SUMIF($15:$15,$N$24,$16:$16)+100)/100</f>
        <v>1</v>
      </c>
      <c r="P90" s="806"/>
      <c r="Q90" s="50">
        <f t="shared" ref="Q90:Q153" si="25">(SUMIF($17:$17,P90,$18:$18)-SUMIF($17:$17,$P$24,$18:$18)+100)/100</f>
        <v>1</v>
      </c>
      <c r="R90" s="355">
        <f t="shared" ref="R90:R153" si="26">IF(B90="",0,ROUND($R$24*C90*E90*G90*I90*K90*M90*O90*Q90,0))</f>
        <v>0</v>
      </c>
      <c r="S90" s="651">
        <f t="shared" si="17"/>
        <v>0</v>
      </c>
    </row>
    <row r="91" spans="1:19">
      <c r="A91" s="808"/>
      <c r="B91" s="129"/>
      <c r="C91" s="50">
        <f t="shared" si="18"/>
        <v>1</v>
      </c>
      <c r="D91" s="806"/>
      <c r="E91" s="50">
        <f t="shared" si="19"/>
        <v>1</v>
      </c>
      <c r="F91" s="806"/>
      <c r="G91" s="50">
        <f t="shared" si="20"/>
        <v>1</v>
      </c>
      <c r="H91" s="806"/>
      <c r="I91" s="50">
        <f t="shared" si="21"/>
        <v>1</v>
      </c>
      <c r="J91" s="806"/>
      <c r="K91" s="50">
        <f t="shared" si="22"/>
        <v>1</v>
      </c>
      <c r="L91" s="806"/>
      <c r="M91" s="50">
        <f t="shared" si="23"/>
        <v>1</v>
      </c>
      <c r="N91" s="806"/>
      <c r="O91" s="50">
        <f t="shared" si="24"/>
        <v>1</v>
      </c>
      <c r="P91" s="806"/>
      <c r="Q91" s="50">
        <f t="shared" si="25"/>
        <v>1</v>
      </c>
      <c r="R91" s="355">
        <f t="shared" si="26"/>
        <v>0</v>
      </c>
      <c r="S91" s="651">
        <f t="shared" si="17"/>
        <v>0</v>
      </c>
    </row>
    <row r="92" spans="1:19">
      <c r="A92" s="808"/>
      <c r="B92" s="129"/>
      <c r="C92" s="50">
        <f t="shared" si="18"/>
        <v>1</v>
      </c>
      <c r="D92" s="806"/>
      <c r="E92" s="50">
        <f t="shared" si="19"/>
        <v>1</v>
      </c>
      <c r="F92" s="806"/>
      <c r="G92" s="50">
        <f t="shared" si="20"/>
        <v>1</v>
      </c>
      <c r="H92" s="806"/>
      <c r="I92" s="50">
        <f t="shared" si="21"/>
        <v>1</v>
      </c>
      <c r="J92" s="806"/>
      <c r="K92" s="50">
        <f t="shared" si="22"/>
        <v>1</v>
      </c>
      <c r="L92" s="806"/>
      <c r="M92" s="50">
        <f t="shared" si="23"/>
        <v>1</v>
      </c>
      <c r="N92" s="806"/>
      <c r="O92" s="50">
        <f t="shared" si="24"/>
        <v>1</v>
      </c>
      <c r="P92" s="806"/>
      <c r="Q92" s="50">
        <f t="shared" si="25"/>
        <v>1</v>
      </c>
      <c r="R92" s="355">
        <f t="shared" si="26"/>
        <v>0</v>
      </c>
      <c r="S92" s="651">
        <f t="shared" si="17"/>
        <v>0</v>
      </c>
    </row>
    <row r="93" spans="1:19">
      <c r="A93" s="808"/>
      <c r="B93" s="129"/>
      <c r="C93" s="50">
        <f t="shared" si="18"/>
        <v>1</v>
      </c>
      <c r="D93" s="806"/>
      <c r="E93" s="50">
        <f t="shared" si="19"/>
        <v>1</v>
      </c>
      <c r="F93" s="806"/>
      <c r="G93" s="50">
        <f t="shared" si="20"/>
        <v>1</v>
      </c>
      <c r="H93" s="806"/>
      <c r="I93" s="50">
        <f t="shared" si="21"/>
        <v>1</v>
      </c>
      <c r="J93" s="806"/>
      <c r="K93" s="50">
        <f t="shared" si="22"/>
        <v>1</v>
      </c>
      <c r="L93" s="806"/>
      <c r="M93" s="50">
        <f t="shared" si="23"/>
        <v>1</v>
      </c>
      <c r="N93" s="806"/>
      <c r="O93" s="50">
        <f t="shared" si="24"/>
        <v>1</v>
      </c>
      <c r="P93" s="806"/>
      <c r="Q93" s="50">
        <f t="shared" si="25"/>
        <v>1</v>
      </c>
      <c r="R93" s="355">
        <f t="shared" si="26"/>
        <v>0</v>
      </c>
      <c r="S93" s="651">
        <f t="shared" si="17"/>
        <v>0</v>
      </c>
    </row>
    <row r="94" spans="1:19">
      <c r="A94" s="808"/>
      <c r="B94" s="129"/>
      <c r="C94" s="50">
        <f t="shared" si="18"/>
        <v>1</v>
      </c>
      <c r="D94" s="806"/>
      <c r="E94" s="50">
        <f t="shared" si="19"/>
        <v>1</v>
      </c>
      <c r="F94" s="806"/>
      <c r="G94" s="50">
        <f t="shared" si="20"/>
        <v>1</v>
      </c>
      <c r="H94" s="806"/>
      <c r="I94" s="50">
        <f t="shared" si="21"/>
        <v>1</v>
      </c>
      <c r="J94" s="806"/>
      <c r="K94" s="50">
        <f t="shared" si="22"/>
        <v>1</v>
      </c>
      <c r="L94" s="806"/>
      <c r="M94" s="50">
        <f t="shared" si="23"/>
        <v>1</v>
      </c>
      <c r="N94" s="806"/>
      <c r="O94" s="50">
        <f t="shared" si="24"/>
        <v>1</v>
      </c>
      <c r="P94" s="806"/>
      <c r="Q94" s="50">
        <f t="shared" si="25"/>
        <v>1</v>
      </c>
      <c r="R94" s="355">
        <f t="shared" si="26"/>
        <v>0</v>
      </c>
      <c r="S94" s="651">
        <f t="shared" si="17"/>
        <v>0</v>
      </c>
    </row>
    <row r="95" spans="1:19">
      <c r="A95" s="808"/>
      <c r="B95" s="129"/>
      <c r="C95" s="50">
        <f t="shared" si="18"/>
        <v>1</v>
      </c>
      <c r="D95" s="806"/>
      <c r="E95" s="50">
        <f t="shared" si="19"/>
        <v>1</v>
      </c>
      <c r="F95" s="806"/>
      <c r="G95" s="50">
        <f t="shared" si="20"/>
        <v>1</v>
      </c>
      <c r="H95" s="806"/>
      <c r="I95" s="50">
        <f t="shared" si="21"/>
        <v>1</v>
      </c>
      <c r="J95" s="806"/>
      <c r="K95" s="50">
        <f t="shared" si="22"/>
        <v>1</v>
      </c>
      <c r="L95" s="806"/>
      <c r="M95" s="50">
        <f t="shared" si="23"/>
        <v>1</v>
      </c>
      <c r="N95" s="806"/>
      <c r="O95" s="50">
        <f t="shared" si="24"/>
        <v>1</v>
      </c>
      <c r="P95" s="806"/>
      <c r="Q95" s="50">
        <f t="shared" si="25"/>
        <v>1</v>
      </c>
      <c r="R95" s="355">
        <f t="shared" si="26"/>
        <v>0</v>
      </c>
      <c r="S95" s="651">
        <f t="shared" si="17"/>
        <v>0</v>
      </c>
    </row>
    <row r="96" spans="1:19">
      <c r="A96" s="808"/>
      <c r="B96" s="129"/>
      <c r="C96" s="50">
        <f t="shared" si="18"/>
        <v>1</v>
      </c>
      <c r="D96" s="806"/>
      <c r="E96" s="50">
        <f t="shared" si="19"/>
        <v>1</v>
      </c>
      <c r="F96" s="806"/>
      <c r="G96" s="50">
        <f t="shared" si="20"/>
        <v>1</v>
      </c>
      <c r="H96" s="806"/>
      <c r="I96" s="50">
        <f t="shared" si="21"/>
        <v>1</v>
      </c>
      <c r="J96" s="806"/>
      <c r="K96" s="50">
        <f t="shared" si="22"/>
        <v>1</v>
      </c>
      <c r="L96" s="806"/>
      <c r="M96" s="50">
        <f t="shared" si="23"/>
        <v>1</v>
      </c>
      <c r="N96" s="806"/>
      <c r="O96" s="50">
        <f t="shared" si="24"/>
        <v>1</v>
      </c>
      <c r="P96" s="806"/>
      <c r="Q96" s="50">
        <f t="shared" si="25"/>
        <v>1</v>
      </c>
      <c r="R96" s="355">
        <f t="shared" si="26"/>
        <v>0</v>
      </c>
      <c r="S96" s="651">
        <f t="shared" si="17"/>
        <v>0</v>
      </c>
    </row>
    <row r="97" spans="1:19">
      <c r="A97" s="808"/>
      <c r="B97" s="129"/>
      <c r="C97" s="50">
        <f t="shared" si="18"/>
        <v>1</v>
      </c>
      <c r="D97" s="806"/>
      <c r="E97" s="50">
        <f t="shared" si="19"/>
        <v>1</v>
      </c>
      <c r="F97" s="806"/>
      <c r="G97" s="50">
        <f t="shared" si="20"/>
        <v>1</v>
      </c>
      <c r="H97" s="806"/>
      <c r="I97" s="50">
        <f t="shared" si="21"/>
        <v>1</v>
      </c>
      <c r="J97" s="806"/>
      <c r="K97" s="50">
        <f t="shared" si="22"/>
        <v>1</v>
      </c>
      <c r="L97" s="806"/>
      <c r="M97" s="50">
        <f t="shared" si="23"/>
        <v>1</v>
      </c>
      <c r="N97" s="806"/>
      <c r="O97" s="50">
        <f t="shared" si="24"/>
        <v>1</v>
      </c>
      <c r="P97" s="806"/>
      <c r="Q97" s="50">
        <f t="shared" si="25"/>
        <v>1</v>
      </c>
      <c r="R97" s="355">
        <f t="shared" si="26"/>
        <v>0</v>
      </c>
      <c r="S97" s="651">
        <f t="shared" si="17"/>
        <v>0</v>
      </c>
    </row>
    <row r="98" spans="1:19">
      <c r="A98" s="808"/>
      <c r="B98" s="129"/>
      <c r="C98" s="50">
        <f t="shared" si="18"/>
        <v>1</v>
      </c>
      <c r="D98" s="806"/>
      <c r="E98" s="50">
        <f t="shared" si="19"/>
        <v>1</v>
      </c>
      <c r="F98" s="806"/>
      <c r="G98" s="50">
        <f t="shared" si="20"/>
        <v>1</v>
      </c>
      <c r="H98" s="806"/>
      <c r="I98" s="50">
        <f t="shared" si="21"/>
        <v>1</v>
      </c>
      <c r="J98" s="806"/>
      <c r="K98" s="50">
        <f t="shared" si="22"/>
        <v>1</v>
      </c>
      <c r="L98" s="806"/>
      <c r="M98" s="50">
        <f t="shared" si="23"/>
        <v>1</v>
      </c>
      <c r="N98" s="806"/>
      <c r="O98" s="50">
        <f t="shared" si="24"/>
        <v>1</v>
      </c>
      <c r="P98" s="806"/>
      <c r="Q98" s="50">
        <f t="shared" si="25"/>
        <v>1</v>
      </c>
      <c r="R98" s="355">
        <f t="shared" si="26"/>
        <v>0</v>
      </c>
      <c r="S98" s="651">
        <f t="shared" si="17"/>
        <v>0</v>
      </c>
    </row>
    <row r="99" spans="1:19">
      <c r="A99" s="808"/>
      <c r="B99" s="129"/>
      <c r="C99" s="50">
        <f t="shared" si="18"/>
        <v>1</v>
      </c>
      <c r="D99" s="806"/>
      <c r="E99" s="50">
        <f t="shared" si="19"/>
        <v>1</v>
      </c>
      <c r="F99" s="806"/>
      <c r="G99" s="50">
        <f t="shared" si="20"/>
        <v>1</v>
      </c>
      <c r="H99" s="806"/>
      <c r="I99" s="50">
        <f t="shared" si="21"/>
        <v>1</v>
      </c>
      <c r="J99" s="806"/>
      <c r="K99" s="50">
        <f t="shared" si="22"/>
        <v>1</v>
      </c>
      <c r="L99" s="806"/>
      <c r="M99" s="50">
        <f t="shared" si="23"/>
        <v>1</v>
      </c>
      <c r="N99" s="806"/>
      <c r="O99" s="50">
        <f t="shared" si="24"/>
        <v>1</v>
      </c>
      <c r="P99" s="806"/>
      <c r="Q99" s="50">
        <f t="shared" si="25"/>
        <v>1</v>
      </c>
      <c r="R99" s="355">
        <f t="shared" si="26"/>
        <v>0</v>
      </c>
      <c r="S99" s="651">
        <f t="shared" si="17"/>
        <v>0</v>
      </c>
    </row>
    <row r="100" spans="1:19">
      <c r="A100" s="808"/>
      <c r="B100" s="129"/>
      <c r="C100" s="50">
        <f t="shared" si="18"/>
        <v>1</v>
      </c>
      <c r="D100" s="806"/>
      <c r="E100" s="50">
        <f t="shared" si="19"/>
        <v>1</v>
      </c>
      <c r="F100" s="806"/>
      <c r="G100" s="50">
        <f t="shared" si="20"/>
        <v>1</v>
      </c>
      <c r="H100" s="806"/>
      <c r="I100" s="50">
        <f t="shared" si="21"/>
        <v>1</v>
      </c>
      <c r="J100" s="806"/>
      <c r="K100" s="50">
        <f t="shared" si="22"/>
        <v>1</v>
      </c>
      <c r="L100" s="806"/>
      <c r="M100" s="50">
        <f t="shared" si="23"/>
        <v>1</v>
      </c>
      <c r="N100" s="806"/>
      <c r="O100" s="50">
        <f t="shared" si="24"/>
        <v>1</v>
      </c>
      <c r="P100" s="806"/>
      <c r="Q100" s="50">
        <f t="shared" si="25"/>
        <v>1</v>
      </c>
      <c r="R100" s="355">
        <f t="shared" si="26"/>
        <v>0</v>
      </c>
      <c r="S100" s="651">
        <f t="shared" si="17"/>
        <v>0</v>
      </c>
    </row>
    <row r="101" spans="1:19">
      <c r="A101" s="808"/>
      <c r="B101" s="129"/>
      <c r="C101" s="50">
        <f t="shared" si="18"/>
        <v>1</v>
      </c>
      <c r="D101" s="806"/>
      <c r="E101" s="50">
        <f t="shared" si="19"/>
        <v>1</v>
      </c>
      <c r="F101" s="806"/>
      <c r="G101" s="50">
        <f t="shared" si="20"/>
        <v>1</v>
      </c>
      <c r="H101" s="806"/>
      <c r="I101" s="50">
        <f t="shared" si="21"/>
        <v>1</v>
      </c>
      <c r="J101" s="806"/>
      <c r="K101" s="50">
        <f t="shared" si="22"/>
        <v>1</v>
      </c>
      <c r="L101" s="806"/>
      <c r="M101" s="50">
        <f t="shared" si="23"/>
        <v>1</v>
      </c>
      <c r="N101" s="806"/>
      <c r="O101" s="50">
        <f t="shared" si="24"/>
        <v>1</v>
      </c>
      <c r="P101" s="806"/>
      <c r="Q101" s="50">
        <f t="shared" si="25"/>
        <v>1</v>
      </c>
      <c r="R101" s="355">
        <f t="shared" si="26"/>
        <v>0</v>
      </c>
      <c r="S101" s="651">
        <f t="shared" si="17"/>
        <v>0</v>
      </c>
    </row>
    <row r="102" spans="1:19">
      <c r="A102" s="808"/>
      <c r="B102" s="129"/>
      <c r="C102" s="50">
        <f t="shared" si="18"/>
        <v>1</v>
      </c>
      <c r="D102" s="806"/>
      <c r="E102" s="50">
        <f t="shared" si="19"/>
        <v>1</v>
      </c>
      <c r="F102" s="806"/>
      <c r="G102" s="50">
        <f t="shared" si="20"/>
        <v>1</v>
      </c>
      <c r="H102" s="806"/>
      <c r="I102" s="50">
        <f t="shared" si="21"/>
        <v>1</v>
      </c>
      <c r="J102" s="806"/>
      <c r="K102" s="50">
        <f t="shared" si="22"/>
        <v>1</v>
      </c>
      <c r="L102" s="806"/>
      <c r="M102" s="50">
        <f t="shared" si="23"/>
        <v>1</v>
      </c>
      <c r="N102" s="806"/>
      <c r="O102" s="50">
        <f t="shared" si="24"/>
        <v>1</v>
      </c>
      <c r="P102" s="806"/>
      <c r="Q102" s="50">
        <f t="shared" si="25"/>
        <v>1</v>
      </c>
      <c r="R102" s="355">
        <f t="shared" si="26"/>
        <v>0</v>
      </c>
      <c r="S102" s="651">
        <f t="shared" si="17"/>
        <v>0</v>
      </c>
    </row>
    <row r="103" spans="1:19">
      <c r="A103" s="808"/>
      <c r="B103" s="129"/>
      <c r="C103" s="50">
        <f t="shared" si="18"/>
        <v>1</v>
      </c>
      <c r="D103" s="806"/>
      <c r="E103" s="50">
        <f t="shared" si="19"/>
        <v>1</v>
      </c>
      <c r="F103" s="806"/>
      <c r="G103" s="50">
        <f t="shared" si="20"/>
        <v>1</v>
      </c>
      <c r="H103" s="806"/>
      <c r="I103" s="50">
        <f t="shared" si="21"/>
        <v>1</v>
      </c>
      <c r="J103" s="806"/>
      <c r="K103" s="50">
        <f t="shared" si="22"/>
        <v>1</v>
      </c>
      <c r="L103" s="806"/>
      <c r="M103" s="50">
        <f t="shared" si="23"/>
        <v>1</v>
      </c>
      <c r="N103" s="806"/>
      <c r="O103" s="50">
        <f t="shared" si="24"/>
        <v>1</v>
      </c>
      <c r="P103" s="806"/>
      <c r="Q103" s="50">
        <f t="shared" si="25"/>
        <v>1</v>
      </c>
      <c r="R103" s="355">
        <f t="shared" si="26"/>
        <v>0</v>
      </c>
      <c r="S103" s="651">
        <f t="shared" si="17"/>
        <v>0</v>
      </c>
    </row>
    <row r="104" spans="1:19">
      <c r="A104" s="808"/>
      <c r="B104" s="129"/>
      <c r="C104" s="50">
        <f t="shared" si="18"/>
        <v>1</v>
      </c>
      <c r="D104" s="806"/>
      <c r="E104" s="50">
        <f t="shared" si="19"/>
        <v>1</v>
      </c>
      <c r="F104" s="806"/>
      <c r="G104" s="50">
        <f t="shared" si="20"/>
        <v>1</v>
      </c>
      <c r="H104" s="806"/>
      <c r="I104" s="50">
        <f t="shared" si="21"/>
        <v>1</v>
      </c>
      <c r="J104" s="806"/>
      <c r="K104" s="50">
        <f t="shared" si="22"/>
        <v>1</v>
      </c>
      <c r="L104" s="806"/>
      <c r="M104" s="50">
        <f t="shared" si="23"/>
        <v>1</v>
      </c>
      <c r="N104" s="806"/>
      <c r="O104" s="50">
        <f t="shared" si="24"/>
        <v>1</v>
      </c>
      <c r="P104" s="806"/>
      <c r="Q104" s="50">
        <f t="shared" si="25"/>
        <v>1</v>
      </c>
      <c r="R104" s="355">
        <f t="shared" si="26"/>
        <v>0</v>
      </c>
      <c r="S104" s="651">
        <f t="shared" si="17"/>
        <v>0</v>
      </c>
    </row>
    <row r="105" spans="1:19">
      <c r="A105" s="808"/>
      <c r="B105" s="129"/>
      <c r="C105" s="50">
        <f t="shared" si="18"/>
        <v>1</v>
      </c>
      <c r="D105" s="806"/>
      <c r="E105" s="50">
        <f t="shared" si="19"/>
        <v>1</v>
      </c>
      <c r="F105" s="806"/>
      <c r="G105" s="50">
        <f t="shared" si="20"/>
        <v>1</v>
      </c>
      <c r="H105" s="806"/>
      <c r="I105" s="50">
        <f t="shared" si="21"/>
        <v>1</v>
      </c>
      <c r="J105" s="806"/>
      <c r="K105" s="50">
        <f t="shared" si="22"/>
        <v>1</v>
      </c>
      <c r="L105" s="806"/>
      <c r="M105" s="50">
        <f t="shared" si="23"/>
        <v>1</v>
      </c>
      <c r="N105" s="806"/>
      <c r="O105" s="50">
        <f t="shared" si="24"/>
        <v>1</v>
      </c>
      <c r="P105" s="806"/>
      <c r="Q105" s="50">
        <f t="shared" si="25"/>
        <v>1</v>
      </c>
      <c r="R105" s="355">
        <f t="shared" si="26"/>
        <v>0</v>
      </c>
      <c r="S105" s="651">
        <f t="shared" si="17"/>
        <v>0</v>
      </c>
    </row>
    <row r="106" spans="1:19">
      <c r="A106" s="808"/>
      <c r="B106" s="129"/>
      <c r="C106" s="50">
        <f t="shared" si="18"/>
        <v>1</v>
      </c>
      <c r="D106" s="806"/>
      <c r="E106" s="50">
        <f t="shared" si="19"/>
        <v>1</v>
      </c>
      <c r="F106" s="806"/>
      <c r="G106" s="50">
        <f t="shared" si="20"/>
        <v>1</v>
      </c>
      <c r="H106" s="806"/>
      <c r="I106" s="50">
        <f t="shared" si="21"/>
        <v>1</v>
      </c>
      <c r="J106" s="806"/>
      <c r="K106" s="50">
        <f t="shared" si="22"/>
        <v>1</v>
      </c>
      <c r="L106" s="806"/>
      <c r="M106" s="50">
        <f t="shared" si="23"/>
        <v>1</v>
      </c>
      <c r="N106" s="806"/>
      <c r="O106" s="50">
        <f t="shared" si="24"/>
        <v>1</v>
      </c>
      <c r="P106" s="806"/>
      <c r="Q106" s="50">
        <f t="shared" si="25"/>
        <v>1</v>
      </c>
      <c r="R106" s="355">
        <f t="shared" si="26"/>
        <v>0</v>
      </c>
      <c r="S106" s="651">
        <f t="shared" si="17"/>
        <v>0</v>
      </c>
    </row>
    <row r="107" spans="1:19">
      <c r="A107" s="808"/>
      <c r="B107" s="129"/>
      <c r="C107" s="50">
        <f t="shared" si="18"/>
        <v>1</v>
      </c>
      <c r="D107" s="806"/>
      <c r="E107" s="50">
        <f t="shared" si="19"/>
        <v>1</v>
      </c>
      <c r="F107" s="806"/>
      <c r="G107" s="50">
        <f t="shared" si="20"/>
        <v>1</v>
      </c>
      <c r="H107" s="806"/>
      <c r="I107" s="50">
        <f t="shared" si="21"/>
        <v>1</v>
      </c>
      <c r="J107" s="806"/>
      <c r="K107" s="50">
        <f t="shared" si="22"/>
        <v>1</v>
      </c>
      <c r="L107" s="806"/>
      <c r="M107" s="50">
        <f t="shared" si="23"/>
        <v>1</v>
      </c>
      <c r="N107" s="806"/>
      <c r="O107" s="50">
        <f t="shared" si="24"/>
        <v>1</v>
      </c>
      <c r="P107" s="806"/>
      <c r="Q107" s="50">
        <f t="shared" si="25"/>
        <v>1</v>
      </c>
      <c r="R107" s="355">
        <f t="shared" si="26"/>
        <v>0</v>
      </c>
      <c r="S107" s="651">
        <f t="shared" si="17"/>
        <v>0</v>
      </c>
    </row>
    <row r="108" spans="1:19">
      <c r="A108" s="808"/>
      <c r="B108" s="129"/>
      <c r="C108" s="50">
        <f t="shared" si="18"/>
        <v>1</v>
      </c>
      <c r="D108" s="806"/>
      <c r="E108" s="50">
        <f t="shared" si="19"/>
        <v>1</v>
      </c>
      <c r="F108" s="806"/>
      <c r="G108" s="50">
        <f t="shared" si="20"/>
        <v>1</v>
      </c>
      <c r="H108" s="806"/>
      <c r="I108" s="50">
        <f t="shared" si="21"/>
        <v>1</v>
      </c>
      <c r="J108" s="806"/>
      <c r="K108" s="50">
        <f t="shared" si="22"/>
        <v>1</v>
      </c>
      <c r="L108" s="806"/>
      <c r="M108" s="50">
        <f t="shared" si="23"/>
        <v>1</v>
      </c>
      <c r="N108" s="806"/>
      <c r="O108" s="50">
        <f t="shared" si="24"/>
        <v>1</v>
      </c>
      <c r="P108" s="806"/>
      <c r="Q108" s="50">
        <f t="shared" si="25"/>
        <v>1</v>
      </c>
      <c r="R108" s="355">
        <f t="shared" si="26"/>
        <v>0</v>
      </c>
      <c r="S108" s="651">
        <f t="shared" si="17"/>
        <v>0</v>
      </c>
    </row>
    <row r="109" spans="1:19">
      <c r="A109" s="808"/>
      <c r="B109" s="129"/>
      <c r="C109" s="50">
        <f t="shared" si="18"/>
        <v>1</v>
      </c>
      <c r="D109" s="806"/>
      <c r="E109" s="50">
        <f t="shared" si="19"/>
        <v>1</v>
      </c>
      <c r="F109" s="806"/>
      <c r="G109" s="50">
        <f t="shared" si="20"/>
        <v>1</v>
      </c>
      <c r="H109" s="806"/>
      <c r="I109" s="50">
        <f t="shared" si="21"/>
        <v>1</v>
      </c>
      <c r="J109" s="806"/>
      <c r="K109" s="50">
        <f t="shared" si="22"/>
        <v>1</v>
      </c>
      <c r="L109" s="806"/>
      <c r="M109" s="50">
        <f t="shared" si="23"/>
        <v>1</v>
      </c>
      <c r="N109" s="806"/>
      <c r="O109" s="50">
        <f t="shared" si="24"/>
        <v>1</v>
      </c>
      <c r="P109" s="806"/>
      <c r="Q109" s="50">
        <f t="shared" si="25"/>
        <v>1</v>
      </c>
      <c r="R109" s="355">
        <f t="shared" si="26"/>
        <v>0</v>
      </c>
      <c r="S109" s="651">
        <f t="shared" si="17"/>
        <v>0</v>
      </c>
    </row>
    <row r="110" spans="1:19">
      <c r="A110" s="808"/>
      <c r="B110" s="129"/>
      <c r="C110" s="50">
        <f t="shared" si="18"/>
        <v>1</v>
      </c>
      <c r="D110" s="806"/>
      <c r="E110" s="50">
        <f t="shared" si="19"/>
        <v>1</v>
      </c>
      <c r="F110" s="806"/>
      <c r="G110" s="50">
        <f t="shared" si="20"/>
        <v>1</v>
      </c>
      <c r="H110" s="806"/>
      <c r="I110" s="50">
        <f t="shared" si="21"/>
        <v>1</v>
      </c>
      <c r="J110" s="806"/>
      <c r="K110" s="50">
        <f t="shared" si="22"/>
        <v>1</v>
      </c>
      <c r="L110" s="806"/>
      <c r="M110" s="50">
        <f t="shared" si="23"/>
        <v>1</v>
      </c>
      <c r="N110" s="806"/>
      <c r="O110" s="50">
        <f t="shared" si="24"/>
        <v>1</v>
      </c>
      <c r="P110" s="806"/>
      <c r="Q110" s="50">
        <f t="shared" si="25"/>
        <v>1</v>
      </c>
      <c r="R110" s="355">
        <f t="shared" si="26"/>
        <v>0</v>
      </c>
      <c r="S110" s="651">
        <f t="shared" si="17"/>
        <v>0</v>
      </c>
    </row>
    <row r="111" spans="1:19">
      <c r="A111" s="808"/>
      <c r="B111" s="129"/>
      <c r="C111" s="50">
        <f t="shared" si="18"/>
        <v>1</v>
      </c>
      <c r="D111" s="806"/>
      <c r="E111" s="50">
        <f t="shared" si="19"/>
        <v>1</v>
      </c>
      <c r="F111" s="806"/>
      <c r="G111" s="50">
        <f t="shared" si="20"/>
        <v>1</v>
      </c>
      <c r="H111" s="806"/>
      <c r="I111" s="50">
        <f t="shared" si="21"/>
        <v>1</v>
      </c>
      <c r="J111" s="806"/>
      <c r="K111" s="50">
        <f t="shared" si="22"/>
        <v>1</v>
      </c>
      <c r="L111" s="806"/>
      <c r="M111" s="50">
        <f t="shared" si="23"/>
        <v>1</v>
      </c>
      <c r="N111" s="806"/>
      <c r="O111" s="50">
        <f t="shared" si="24"/>
        <v>1</v>
      </c>
      <c r="P111" s="806"/>
      <c r="Q111" s="50">
        <f t="shared" si="25"/>
        <v>1</v>
      </c>
      <c r="R111" s="355">
        <f t="shared" si="26"/>
        <v>0</v>
      </c>
      <c r="S111" s="651">
        <f t="shared" si="17"/>
        <v>0</v>
      </c>
    </row>
    <row r="112" spans="1:19">
      <c r="A112" s="808"/>
      <c r="B112" s="129"/>
      <c r="C112" s="50">
        <f t="shared" si="18"/>
        <v>1</v>
      </c>
      <c r="D112" s="806"/>
      <c r="E112" s="50">
        <f t="shared" si="19"/>
        <v>1</v>
      </c>
      <c r="F112" s="806"/>
      <c r="G112" s="50">
        <f t="shared" si="20"/>
        <v>1</v>
      </c>
      <c r="H112" s="806"/>
      <c r="I112" s="50">
        <f t="shared" si="21"/>
        <v>1</v>
      </c>
      <c r="J112" s="806"/>
      <c r="K112" s="50">
        <f t="shared" si="22"/>
        <v>1</v>
      </c>
      <c r="L112" s="806"/>
      <c r="M112" s="50">
        <f t="shared" si="23"/>
        <v>1</v>
      </c>
      <c r="N112" s="806"/>
      <c r="O112" s="50">
        <f t="shared" si="24"/>
        <v>1</v>
      </c>
      <c r="P112" s="806"/>
      <c r="Q112" s="50">
        <f t="shared" si="25"/>
        <v>1</v>
      </c>
      <c r="R112" s="355">
        <f t="shared" si="26"/>
        <v>0</v>
      </c>
      <c r="S112" s="651">
        <f t="shared" si="17"/>
        <v>0</v>
      </c>
    </row>
    <row r="113" spans="1:19">
      <c r="A113" s="808"/>
      <c r="B113" s="129"/>
      <c r="C113" s="50">
        <f t="shared" si="18"/>
        <v>1</v>
      </c>
      <c r="D113" s="806"/>
      <c r="E113" s="50">
        <f t="shared" si="19"/>
        <v>1</v>
      </c>
      <c r="F113" s="806"/>
      <c r="G113" s="50">
        <f t="shared" si="20"/>
        <v>1</v>
      </c>
      <c r="H113" s="806"/>
      <c r="I113" s="50">
        <f t="shared" si="21"/>
        <v>1</v>
      </c>
      <c r="J113" s="806"/>
      <c r="K113" s="50">
        <f t="shared" si="22"/>
        <v>1</v>
      </c>
      <c r="L113" s="806"/>
      <c r="M113" s="50">
        <f t="shared" si="23"/>
        <v>1</v>
      </c>
      <c r="N113" s="806"/>
      <c r="O113" s="50">
        <f t="shared" si="24"/>
        <v>1</v>
      </c>
      <c r="P113" s="806"/>
      <c r="Q113" s="50">
        <f t="shared" si="25"/>
        <v>1</v>
      </c>
      <c r="R113" s="355">
        <f t="shared" si="26"/>
        <v>0</v>
      </c>
      <c r="S113" s="651">
        <f t="shared" si="17"/>
        <v>0</v>
      </c>
    </row>
    <row r="114" spans="1:19">
      <c r="A114" s="808"/>
      <c r="B114" s="129"/>
      <c r="C114" s="50">
        <f t="shared" si="18"/>
        <v>1</v>
      </c>
      <c r="D114" s="806"/>
      <c r="E114" s="50">
        <f t="shared" si="19"/>
        <v>1</v>
      </c>
      <c r="F114" s="806"/>
      <c r="G114" s="50">
        <f t="shared" si="20"/>
        <v>1</v>
      </c>
      <c r="H114" s="806"/>
      <c r="I114" s="50">
        <f t="shared" si="21"/>
        <v>1</v>
      </c>
      <c r="J114" s="806"/>
      <c r="K114" s="50">
        <f t="shared" si="22"/>
        <v>1</v>
      </c>
      <c r="L114" s="806"/>
      <c r="M114" s="50">
        <f t="shared" si="23"/>
        <v>1</v>
      </c>
      <c r="N114" s="806"/>
      <c r="O114" s="50">
        <f t="shared" si="24"/>
        <v>1</v>
      </c>
      <c r="P114" s="806"/>
      <c r="Q114" s="50">
        <f t="shared" si="25"/>
        <v>1</v>
      </c>
      <c r="R114" s="355">
        <f t="shared" si="26"/>
        <v>0</v>
      </c>
      <c r="S114" s="651">
        <f t="shared" si="17"/>
        <v>0</v>
      </c>
    </row>
    <row r="115" spans="1:19">
      <c r="A115" s="808"/>
      <c r="B115" s="129"/>
      <c r="C115" s="50">
        <f t="shared" si="18"/>
        <v>1</v>
      </c>
      <c r="D115" s="806"/>
      <c r="E115" s="50">
        <f t="shared" si="19"/>
        <v>1</v>
      </c>
      <c r="F115" s="806"/>
      <c r="G115" s="50">
        <f t="shared" si="20"/>
        <v>1</v>
      </c>
      <c r="H115" s="806"/>
      <c r="I115" s="50">
        <f t="shared" si="21"/>
        <v>1</v>
      </c>
      <c r="J115" s="806"/>
      <c r="K115" s="50">
        <f t="shared" si="22"/>
        <v>1</v>
      </c>
      <c r="L115" s="806"/>
      <c r="M115" s="50">
        <f t="shared" si="23"/>
        <v>1</v>
      </c>
      <c r="N115" s="806"/>
      <c r="O115" s="50">
        <f t="shared" si="24"/>
        <v>1</v>
      </c>
      <c r="P115" s="806"/>
      <c r="Q115" s="50">
        <f t="shared" si="25"/>
        <v>1</v>
      </c>
      <c r="R115" s="355">
        <f t="shared" si="26"/>
        <v>0</v>
      </c>
      <c r="S115" s="651">
        <f t="shared" si="17"/>
        <v>0</v>
      </c>
    </row>
    <row r="116" spans="1:19">
      <c r="A116" s="808"/>
      <c r="B116" s="129"/>
      <c r="C116" s="50">
        <f t="shared" si="18"/>
        <v>1</v>
      </c>
      <c r="D116" s="806"/>
      <c r="E116" s="50">
        <f t="shared" si="19"/>
        <v>1</v>
      </c>
      <c r="F116" s="806"/>
      <c r="G116" s="50">
        <f t="shared" si="20"/>
        <v>1</v>
      </c>
      <c r="H116" s="806"/>
      <c r="I116" s="50">
        <f t="shared" si="21"/>
        <v>1</v>
      </c>
      <c r="J116" s="806"/>
      <c r="K116" s="50">
        <f t="shared" si="22"/>
        <v>1</v>
      </c>
      <c r="L116" s="806"/>
      <c r="M116" s="50">
        <f t="shared" si="23"/>
        <v>1</v>
      </c>
      <c r="N116" s="806"/>
      <c r="O116" s="50">
        <f t="shared" si="24"/>
        <v>1</v>
      </c>
      <c r="P116" s="806"/>
      <c r="Q116" s="50">
        <f t="shared" si="25"/>
        <v>1</v>
      </c>
      <c r="R116" s="355">
        <f t="shared" si="26"/>
        <v>0</v>
      </c>
      <c r="S116" s="651">
        <f t="shared" si="17"/>
        <v>0</v>
      </c>
    </row>
    <row r="117" spans="1:19">
      <c r="A117" s="808"/>
      <c r="B117" s="129"/>
      <c r="C117" s="50">
        <f t="shared" si="18"/>
        <v>1</v>
      </c>
      <c r="D117" s="806"/>
      <c r="E117" s="50">
        <f t="shared" si="19"/>
        <v>1</v>
      </c>
      <c r="F117" s="806"/>
      <c r="G117" s="50">
        <f t="shared" si="20"/>
        <v>1</v>
      </c>
      <c r="H117" s="806"/>
      <c r="I117" s="50">
        <f t="shared" si="21"/>
        <v>1</v>
      </c>
      <c r="J117" s="806"/>
      <c r="K117" s="50">
        <f t="shared" si="22"/>
        <v>1</v>
      </c>
      <c r="L117" s="806"/>
      <c r="M117" s="50">
        <f t="shared" si="23"/>
        <v>1</v>
      </c>
      <c r="N117" s="806"/>
      <c r="O117" s="50">
        <f t="shared" si="24"/>
        <v>1</v>
      </c>
      <c r="P117" s="806"/>
      <c r="Q117" s="50">
        <f t="shared" si="25"/>
        <v>1</v>
      </c>
      <c r="R117" s="355">
        <f t="shared" si="26"/>
        <v>0</v>
      </c>
      <c r="S117" s="651">
        <f t="shared" si="17"/>
        <v>0</v>
      </c>
    </row>
    <row r="118" spans="1:19">
      <c r="A118" s="808"/>
      <c r="B118" s="129"/>
      <c r="C118" s="50">
        <f t="shared" si="18"/>
        <v>1</v>
      </c>
      <c r="D118" s="806"/>
      <c r="E118" s="50">
        <f t="shared" si="19"/>
        <v>1</v>
      </c>
      <c r="F118" s="806"/>
      <c r="G118" s="50">
        <f t="shared" si="20"/>
        <v>1</v>
      </c>
      <c r="H118" s="806"/>
      <c r="I118" s="50">
        <f t="shared" si="21"/>
        <v>1</v>
      </c>
      <c r="J118" s="806"/>
      <c r="K118" s="50">
        <f t="shared" si="22"/>
        <v>1</v>
      </c>
      <c r="L118" s="806"/>
      <c r="M118" s="50">
        <f t="shared" si="23"/>
        <v>1</v>
      </c>
      <c r="N118" s="806"/>
      <c r="O118" s="50">
        <f t="shared" si="24"/>
        <v>1</v>
      </c>
      <c r="P118" s="806"/>
      <c r="Q118" s="50">
        <f t="shared" si="25"/>
        <v>1</v>
      </c>
      <c r="R118" s="355">
        <f t="shared" si="26"/>
        <v>0</v>
      </c>
      <c r="S118" s="651">
        <f t="shared" si="17"/>
        <v>0</v>
      </c>
    </row>
    <row r="119" spans="1:19">
      <c r="A119" s="808"/>
      <c r="B119" s="129"/>
      <c r="C119" s="50">
        <f t="shared" si="18"/>
        <v>1</v>
      </c>
      <c r="D119" s="806"/>
      <c r="E119" s="50">
        <f t="shared" si="19"/>
        <v>1</v>
      </c>
      <c r="F119" s="806"/>
      <c r="G119" s="50">
        <f t="shared" si="20"/>
        <v>1</v>
      </c>
      <c r="H119" s="806"/>
      <c r="I119" s="50">
        <f t="shared" si="21"/>
        <v>1</v>
      </c>
      <c r="J119" s="806"/>
      <c r="K119" s="50">
        <f t="shared" si="22"/>
        <v>1</v>
      </c>
      <c r="L119" s="806"/>
      <c r="M119" s="50">
        <f t="shared" si="23"/>
        <v>1</v>
      </c>
      <c r="N119" s="806"/>
      <c r="O119" s="50">
        <f t="shared" si="24"/>
        <v>1</v>
      </c>
      <c r="P119" s="806"/>
      <c r="Q119" s="50">
        <f t="shared" si="25"/>
        <v>1</v>
      </c>
      <c r="R119" s="355">
        <f t="shared" si="26"/>
        <v>0</v>
      </c>
      <c r="S119" s="651">
        <f t="shared" si="17"/>
        <v>0</v>
      </c>
    </row>
    <row r="120" spans="1:19">
      <c r="A120" s="808"/>
      <c r="B120" s="129"/>
      <c r="C120" s="50">
        <f t="shared" si="18"/>
        <v>1</v>
      </c>
      <c r="D120" s="806"/>
      <c r="E120" s="50">
        <f t="shared" si="19"/>
        <v>1</v>
      </c>
      <c r="F120" s="806"/>
      <c r="G120" s="50">
        <f t="shared" si="20"/>
        <v>1</v>
      </c>
      <c r="H120" s="806"/>
      <c r="I120" s="50">
        <f t="shared" si="21"/>
        <v>1</v>
      </c>
      <c r="J120" s="806"/>
      <c r="K120" s="50">
        <f t="shared" si="22"/>
        <v>1</v>
      </c>
      <c r="L120" s="806"/>
      <c r="M120" s="50">
        <f t="shared" si="23"/>
        <v>1</v>
      </c>
      <c r="N120" s="806"/>
      <c r="O120" s="50">
        <f t="shared" si="24"/>
        <v>1</v>
      </c>
      <c r="P120" s="806"/>
      <c r="Q120" s="50">
        <f t="shared" si="25"/>
        <v>1</v>
      </c>
      <c r="R120" s="355">
        <f t="shared" si="26"/>
        <v>0</v>
      </c>
      <c r="S120" s="651">
        <f t="shared" si="17"/>
        <v>0</v>
      </c>
    </row>
    <row r="121" spans="1:19">
      <c r="A121" s="808"/>
      <c r="B121" s="129"/>
      <c r="C121" s="50">
        <f t="shared" si="18"/>
        <v>1</v>
      </c>
      <c r="D121" s="806"/>
      <c r="E121" s="50">
        <f t="shared" si="19"/>
        <v>1</v>
      </c>
      <c r="F121" s="806"/>
      <c r="G121" s="50">
        <f t="shared" si="20"/>
        <v>1</v>
      </c>
      <c r="H121" s="806"/>
      <c r="I121" s="50">
        <f t="shared" si="21"/>
        <v>1</v>
      </c>
      <c r="J121" s="806"/>
      <c r="K121" s="50">
        <f t="shared" si="22"/>
        <v>1</v>
      </c>
      <c r="L121" s="806"/>
      <c r="M121" s="50">
        <f t="shared" si="23"/>
        <v>1</v>
      </c>
      <c r="N121" s="806"/>
      <c r="O121" s="50">
        <f t="shared" si="24"/>
        <v>1</v>
      </c>
      <c r="P121" s="806"/>
      <c r="Q121" s="50">
        <f t="shared" si="25"/>
        <v>1</v>
      </c>
      <c r="R121" s="355">
        <f t="shared" si="26"/>
        <v>0</v>
      </c>
      <c r="S121" s="651">
        <f t="shared" si="17"/>
        <v>0</v>
      </c>
    </row>
    <row r="122" spans="1:19">
      <c r="A122" s="808"/>
      <c r="B122" s="129"/>
      <c r="C122" s="50">
        <f t="shared" si="18"/>
        <v>1</v>
      </c>
      <c r="D122" s="806"/>
      <c r="E122" s="50">
        <f t="shared" si="19"/>
        <v>1</v>
      </c>
      <c r="F122" s="806"/>
      <c r="G122" s="50">
        <f t="shared" si="20"/>
        <v>1</v>
      </c>
      <c r="H122" s="806"/>
      <c r="I122" s="50">
        <f t="shared" si="21"/>
        <v>1</v>
      </c>
      <c r="J122" s="806"/>
      <c r="K122" s="50">
        <f t="shared" si="22"/>
        <v>1</v>
      </c>
      <c r="L122" s="806"/>
      <c r="M122" s="50">
        <f t="shared" si="23"/>
        <v>1</v>
      </c>
      <c r="N122" s="806"/>
      <c r="O122" s="50">
        <f t="shared" si="24"/>
        <v>1</v>
      </c>
      <c r="P122" s="806"/>
      <c r="Q122" s="50">
        <f t="shared" si="25"/>
        <v>1</v>
      </c>
      <c r="R122" s="355">
        <f t="shared" si="26"/>
        <v>0</v>
      </c>
      <c r="S122" s="651">
        <f t="shared" si="17"/>
        <v>0</v>
      </c>
    </row>
    <row r="123" spans="1:19">
      <c r="A123" s="808"/>
      <c r="B123" s="129"/>
      <c r="C123" s="50">
        <f t="shared" si="18"/>
        <v>1</v>
      </c>
      <c r="D123" s="806"/>
      <c r="E123" s="50">
        <f t="shared" si="19"/>
        <v>1</v>
      </c>
      <c r="F123" s="806"/>
      <c r="G123" s="50">
        <f t="shared" si="20"/>
        <v>1</v>
      </c>
      <c r="H123" s="806"/>
      <c r="I123" s="50">
        <f t="shared" si="21"/>
        <v>1</v>
      </c>
      <c r="J123" s="806"/>
      <c r="K123" s="50">
        <f t="shared" si="22"/>
        <v>1</v>
      </c>
      <c r="L123" s="806"/>
      <c r="M123" s="50">
        <f t="shared" si="23"/>
        <v>1</v>
      </c>
      <c r="N123" s="806"/>
      <c r="O123" s="50">
        <f t="shared" si="24"/>
        <v>1</v>
      </c>
      <c r="P123" s="806"/>
      <c r="Q123" s="50">
        <f t="shared" si="25"/>
        <v>1</v>
      </c>
      <c r="R123" s="355">
        <f t="shared" si="26"/>
        <v>0</v>
      </c>
      <c r="S123" s="651">
        <f t="shared" ref="S123:S186" si="27">ROUND(R123*B123/10000,0)</f>
        <v>0</v>
      </c>
    </row>
    <row r="124" spans="1:19">
      <c r="A124" s="808"/>
      <c r="B124" s="129"/>
      <c r="C124" s="50">
        <f t="shared" si="18"/>
        <v>1</v>
      </c>
      <c r="D124" s="806"/>
      <c r="E124" s="50">
        <f t="shared" si="19"/>
        <v>1</v>
      </c>
      <c r="F124" s="806"/>
      <c r="G124" s="50">
        <f t="shared" si="20"/>
        <v>1</v>
      </c>
      <c r="H124" s="806"/>
      <c r="I124" s="50">
        <f t="shared" si="21"/>
        <v>1</v>
      </c>
      <c r="J124" s="806"/>
      <c r="K124" s="50">
        <f t="shared" si="22"/>
        <v>1</v>
      </c>
      <c r="L124" s="806"/>
      <c r="M124" s="50">
        <f t="shared" si="23"/>
        <v>1</v>
      </c>
      <c r="N124" s="806"/>
      <c r="O124" s="50">
        <f t="shared" si="24"/>
        <v>1</v>
      </c>
      <c r="P124" s="806"/>
      <c r="Q124" s="50">
        <f t="shared" si="25"/>
        <v>1</v>
      </c>
      <c r="R124" s="355">
        <f t="shared" si="26"/>
        <v>0</v>
      </c>
      <c r="S124" s="651">
        <f t="shared" si="27"/>
        <v>0</v>
      </c>
    </row>
    <row r="125" spans="1:19">
      <c r="A125" s="808"/>
      <c r="B125" s="129"/>
      <c r="C125" s="50">
        <f t="shared" si="18"/>
        <v>1</v>
      </c>
      <c r="D125" s="806"/>
      <c r="E125" s="50">
        <f t="shared" si="19"/>
        <v>1</v>
      </c>
      <c r="F125" s="806"/>
      <c r="G125" s="50">
        <f t="shared" si="20"/>
        <v>1</v>
      </c>
      <c r="H125" s="806"/>
      <c r="I125" s="50">
        <f t="shared" si="21"/>
        <v>1</v>
      </c>
      <c r="J125" s="806"/>
      <c r="K125" s="50">
        <f t="shared" si="22"/>
        <v>1</v>
      </c>
      <c r="L125" s="806"/>
      <c r="M125" s="50">
        <f t="shared" si="23"/>
        <v>1</v>
      </c>
      <c r="N125" s="806"/>
      <c r="O125" s="50">
        <f t="shared" si="24"/>
        <v>1</v>
      </c>
      <c r="P125" s="806"/>
      <c r="Q125" s="50">
        <f t="shared" si="25"/>
        <v>1</v>
      </c>
      <c r="R125" s="355">
        <f t="shared" si="26"/>
        <v>0</v>
      </c>
      <c r="S125" s="651">
        <f t="shared" si="27"/>
        <v>0</v>
      </c>
    </row>
    <row r="126" spans="1:19">
      <c r="A126" s="808"/>
      <c r="B126" s="129"/>
      <c r="C126" s="50">
        <f t="shared" si="18"/>
        <v>1</v>
      </c>
      <c r="D126" s="806"/>
      <c r="E126" s="50">
        <f t="shared" si="19"/>
        <v>1</v>
      </c>
      <c r="F126" s="806"/>
      <c r="G126" s="50">
        <f t="shared" si="20"/>
        <v>1</v>
      </c>
      <c r="H126" s="806"/>
      <c r="I126" s="50">
        <f t="shared" si="21"/>
        <v>1</v>
      </c>
      <c r="J126" s="806"/>
      <c r="K126" s="50">
        <f t="shared" si="22"/>
        <v>1</v>
      </c>
      <c r="L126" s="806"/>
      <c r="M126" s="50">
        <f t="shared" si="23"/>
        <v>1</v>
      </c>
      <c r="N126" s="806"/>
      <c r="O126" s="50">
        <f t="shared" si="24"/>
        <v>1</v>
      </c>
      <c r="P126" s="806"/>
      <c r="Q126" s="50">
        <f t="shared" si="25"/>
        <v>1</v>
      </c>
      <c r="R126" s="355">
        <f t="shared" si="26"/>
        <v>0</v>
      </c>
      <c r="S126" s="651">
        <f t="shared" si="27"/>
        <v>0</v>
      </c>
    </row>
    <row r="127" spans="1:19">
      <c r="A127" s="808"/>
      <c r="B127" s="129"/>
      <c r="C127" s="50">
        <f t="shared" si="18"/>
        <v>1</v>
      </c>
      <c r="D127" s="806"/>
      <c r="E127" s="50">
        <f t="shared" si="19"/>
        <v>1</v>
      </c>
      <c r="F127" s="806"/>
      <c r="G127" s="50">
        <f t="shared" si="20"/>
        <v>1</v>
      </c>
      <c r="H127" s="806"/>
      <c r="I127" s="50">
        <f t="shared" si="21"/>
        <v>1</v>
      </c>
      <c r="J127" s="806"/>
      <c r="K127" s="50">
        <f t="shared" si="22"/>
        <v>1</v>
      </c>
      <c r="L127" s="806"/>
      <c r="M127" s="50">
        <f t="shared" si="23"/>
        <v>1</v>
      </c>
      <c r="N127" s="806"/>
      <c r="O127" s="50">
        <f t="shared" si="24"/>
        <v>1</v>
      </c>
      <c r="P127" s="806"/>
      <c r="Q127" s="50">
        <f t="shared" si="25"/>
        <v>1</v>
      </c>
      <c r="R127" s="355">
        <f t="shared" si="26"/>
        <v>0</v>
      </c>
      <c r="S127" s="651">
        <f t="shared" si="27"/>
        <v>0</v>
      </c>
    </row>
    <row r="128" spans="1:19">
      <c r="A128" s="808"/>
      <c r="B128" s="129"/>
      <c r="C128" s="50">
        <f t="shared" si="18"/>
        <v>1</v>
      </c>
      <c r="D128" s="806"/>
      <c r="E128" s="50">
        <f t="shared" si="19"/>
        <v>1</v>
      </c>
      <c r="F128" s="806"/>
      <c r="G128" s="50">
        <f t="shared" si="20"/>
        <v>1</v>
      </c>
      <c r="H128" s="806"/>
      <c r="I128" s="50">
        <f t="shared" si="21"/>
        <v>1</v>
      </c>
      <c r="J128" s="806"/>
      <c r="K128" s="50">
        <f t="shared" si="22"/>
        <v>1</v>
      </c>
      <c r="L128" s="806"/>
      <c r="M128" s="50">
        <f t="shared" si="23"/>
        <v>1</v>
      </c>
      <c r="N128" s="806"/>
      <c r="O128" s="50">
        <f t="shared" si="24"/>
        <v>1</v>
      </c>
      <c r="P128" s="806"/>
      <c r="Q128" s="50">
        <f t="shared" si="25"/>
        <v>1</v>
      </c>
      <c r="R128" s="355">
        <f t="shared" si="26"/>
        <v>0</v>
      </c>
      <c r="S128" s="651">
        <f t="shared" si="27"/>
        <v>0</v>
      </c>
    </row>
    <row r="129" spans="1:19">
      <c r="A129" s="808"/>
      <c r="B129" s="129"/>
      <c r="C129" s="50">
        <f t="shared" si="18"/>
        <v>1</v>
      </c>
      <c r="D129" s="806"/>
      <c r="E129" s="50">
        <f t="shared" si="19"/>
        <v>1</v>
      </c>
      <c r="F129" s="806"/>
      <c r="G129" s="50">
        <f t="shared" si="20"/>
        <v>1</v>
      </c>
      <c r="H129" s="806"/>
      <c r="I129" s="50">
        <f t="shared" si="21"/>
        <v>1</v>
      </c>
      <c r="J129" s="806"/>
      <c r="K129" s="50">
        <f t="shared" si="22"/>
        <v>1</v>
      </c>
      <c r="L129" s="806"/>
      <c r="M129" s="50">
        <f t="shared" si="23"/>
        <v>1</v>
      </c>
      <c r="N129" s="806"/>
      <c r="O129" s="50">
        <f t="shared" si="24"/>
        <v>1</v>
      </c>
      <c r="P129" s="806"/>
      <c r="Q129" s="50">
        <f t="shared" si="25"/>
        <v>1</v>
      </c>
      <c r="R129" s="355">
        <f t="shared" si="26"/>
        <v>0</v>
      </c>
      <c r="S129" s="651">
        <f t="shared" si="27"/>
        <v>0</v>
      </c>
    </row>
    <row r="130" spans="1:19">
      <c r="A130" s="808"/>
      <c r="B130" s="129"/>
      <c r="C130" s="50">
        <f t="shared" si="18"/>
        <v>1</v>
      </c>
      <c r="D130" s="806"/>
      <c r="E130" s="50">
        <f t="shared" si="19"/>
        <v>1</v>
      </c>
      <c r="F130" s="806"/>
      <c r="G130" s="50">
        <f t="shared" si="20"/>
        <v>1</v>
      </c>
      <c r="H130" s="806"/>
      <c r="I130" s="50">
        <f t="shared" si="21"/>
        <v>1</v>
      </c>
      <c r="J130" s="806"/>
      <c r="K130" s="50">
        <f t="shared" si="22"/>
        <v>1</v>
      </c>
      <c r="L130" s="806"/>
      <c r="M130" s="50">
        <f t="shared" si="23"/>
        <v>1</v>
      </c>
      <c r="N130" s="806"/>
      <c r="O130" s="50">
        <f t="shared" si="24"/>
        <v>1</v>
      </c>
      <c r="P130" s="806"/>
      <c r="Q130" s="50">
        <f t="shared" si="25"/>
        <v>1</v>
      </c>
      <c r="R130" s="355">
        <f t="shared" si="26"/>
        <v>0</v>
      </c>
      <c r="S130" s="651">
        <f t="shared" si="27"/>
        <v>0</v>
      </c>
    </row>
    <row r="131" spans="1:19">
      <c r="A131" s="808"/>
      <c r="B131" s="129"/>
      <c r="C131" s="50">
        <f t="shared" si="18"/>
        <v>1</v>
      </c>
      <c r="D131" s="806"/>
      <c r="E131" s="50">
        <f t="shared" si="19"/>
        <v>1</v>
      </c>
      <c r="F131" s="806"/>
      <c r="G131" s="50">
        <f t="shared" si="20"/>
        <v>1</v>
      </c>
      <c r="H131" s="806"/>
      <c r="I131" s="50">
        <f t="shared" si="21"/>
        <v>1</v>
      </c>
      <c r="J131" s="806"/>
      <c r="K131" s="50">
        <f t="shared" si="22"/>
        <v>1</v>
      </c>
      <c r="L131" s="806"/>
      <c r="M131" s="50">
        <f t="shared" si="23"/>
        <v>1</v>
      </c>
      <c r="N131" s="806"/>
      <c r="O131" s="50">
        <f t="shared" si="24"/>
        <v>1</v>
      </c>
      <c r="P131" s="806"/>
      <c r="Q131" s="50">
        <f t="shared" si="25"/>
        <v>1</v>
      </c>
      <c r="R131" s="355">
        <f t="shared" si="26"/>
        <v>0</v>
      </c>
      <c r="S131" s="651">
        <f t="shared" si="27"/>
        <v>0</v>
      </c>
    </row>
    <row r="132" spans="1:19">
      <c r="A132" s="808"/>
      <c r="B132" s="129"/>
      <c r="C132" s="50">
        <f t="shared" si="18"/>
        <v>1</v>
      </c>
      <c r="D132" s="806"/>
      <c r="E132" s="50">
        <f t="shared" si="19"/>
        <v>1</v>
      </c>
      <c r="F132" s="806"/>
      <c r="G132" s="50">
        <f t="shared" si="20"/>
        <v>1</v>
      </c>
      <c r="H132" s="806"/>
      <c r="I132" s="50">
        <f t="shared" si="21"/>
        <v>1</v>
      </c>
      <c r="J132" s="806"/>
      <c r="K132" s="50">
        <f t="shared" si="22"/>
        <v>1</v>
      </c>
      <c r="L132" s="806"/>
      <c r="M132" s="50">
        <f t="shared" si="23"/>
        <v>1</v>
      </c>
      <c r="N132" s="806"/>
      <c r="O132" s="50">
        <f t="shared" si="24"/>
        <v>1</v>
      </c>
      <c r="P132" s="806"/>
      <c r="Q132" s="50">
        <f t="shared" si="25"/>
        <v>1</v>
      </c>
      <c r="R132" s="355">
        <f t="shared" si="26"/>
        <v>0</v>
      </c>
      <c r="S132" s="651">
        <f t="shared" si="27"/>
        <v>0</v>
      </c>
    </row>
    <row r="133" spans="1:19">
      <c r="A133" s="808"/>
      <c r="B133" s="129"/>
      <c r="C133" s="50">
        <f t="shared" si="18"/>
        <v>1</v>
      </c>
      <c r="D133" s="806"/>
      <c r="E133" s="50">
        <f t="shared" si="19"/>
        <v>1</v>
      </c>
      <c r="F133" s="806"/>
      <c r="G133" s="50">
        <f t="shared" si="20"/>
        <v>1</v>
      </c>
      <c r="H133" s="806"/>
      <c r="I133" s="50">
        <f t="shared" si="21"/>
        <v>1</v>
      </c>
      <c r="J133" s="806"/>
      <c r="K133" s="50">
        <f t="shared" si="22"/>
        <v>1</v>
      </c>
      <c r="L133" s="806"/>
      <c r="M133" s="50">
        <f t="shared" si="23"/>
        <v>1</v>
      </c>
      <c r="N133" s="806"/>
      <c r="O133" s="50">
        <f t="shared" si="24"/>
        <v>1</v>
      </c>
      <c r="P133" s="806"/>
      <c r="Q133" s="50">
        <f t="shared" si="25"/>
        <v>1</v>
      </c>
      <c r="R133" s="355">
        <f t="shared" si="26"/>
        <v>0</v>
      </c>
      <c r="S133" s="651">
        <f t="shared" si="27"/>
        <v>0</v>
      </c>
    </row>
    <row r="134" spans="1:19">
      <c r="A134" s="808"/>
      <c r="B134" s="129"/>
      <c r="C134" s="50">
        <f t="shared" si="18"/>
        <v>1</v>
      </c>
      <c r="D134" s="806"/>
      <c r="E134" s="50">
        <f t="shared" si="19"/>
        <v>1</v>
      </c>
      <c r="F134" s="806"/>
      <c r="G134" s="50">
        <f t="shared" si="20"/>
        <v>1</v>
      </c>
      <c r="H134" s="806"/>
      <c r="I134" s="50">
        <f t="shared" si="21"/>
        <v>1</v>
      </c>
      <c r="J134" s="806"/>
      <c r="K134" s="50">
        <f t="shared" si="22"/>
        <v>1</v>
      </c>
      <c r="L134" s="806"/>
      <c r="M134" s="50">
        <f t="shared" si="23"/>
        <v>1</v>
      </c>
      <c r="N134" s="806"/>
      <c r="O134" s="50">
        <f t="shared" si="24"/>
        <v>1</v>
      </c>
      <c r="P134" s="806"/>
      <c r="Q134" s="50">
        <f t="shared" si="25"/>
        <v>1</v>
      </c>
      <c r="R134" s="355">
        <f t="shared" si="26"/>
        <v>0</v>
      </c>
      <c r="S134" s="651">
        <f t="shared" si="27"/>
        <v>0</v>
      </c>
    </row>
    <row r="135" spans="1:19">
      <c r="A135" s="808"/>
      <c r="B135" s="129"/>
      <c r="C135" s="50">
        <f t="shared" si="18"/>
        <v>1</v>
      </c>
      <c r="D135" s="806"/>
      <c r="E135" s="50">
        <f t="shared" si="19"/>
        <v>1</v>
      </c>
      <c r="F135" s="806"/>
      <c r="G135" s="50">
        <f t="shared" si="20"/>
        <v>1</v>
      </c>
      <c r="H135" s="806"/>
      <c r="I135" s="50">
        <f t="shared" si="21"/>
        <v>1</v>
      </c>
      <c r="J135" s="806"/>
      <c r="K135" s="50">
        <f t="shared" si="22"/>
        <v>1</v>
      </c>
      <c r="L135" s="806"/>
      <c r="M135" s="50">
        <f t="shared" si="23"/>
        <v>1</v>
      </c>
      <c r="N135" s="806"/>
      <c r="O135" s="50">
        <f t="shared" si="24"/>
        <v>1</v>
      </c>
      <c r="P135" s="806"/>
      <c r="Q135" s="50">
        <f t="shared" si="25"/>
        <v>1</v>
      </c>
      <c r="R135" s="355">
        <f t="shared" si="26"/>
        <v>0</v>
      </c>
      <c r="S135" s="651">
        <f t="shared" si="27"/>
        <v>0</v>
      </c>
    </row>
    <row r="136" spans="1:19">
      <c r="A136" s="808"/>
      <c r="B136" s="129"/>
      <c r="C136" s="50">
        <f t="shared" si="18"/>
        <v>1</v>
      </c>
      <c r="D136" s="806"/>
      <c r="E136" s="50">
        <f t="shared" si="19"/>
        <v>1</v>
      </c>
      <c r="F136" s="806"/>
      <c r="G136" s="50">
        <f t="shared" si="20"/>
        <v>1</v>
      </c>
      <c r="H136" s="806"/>
      <c r="I136" s="50">
        <f t="shared" si="21"/>
        <v>1</v>
      </c>
      <c r="J136" s="806"/>
      <c r="K136" s="50">
        <f t="shared" si="22"/>
        <v>1</v>
      </c>
      <c r="L136" s="806"/>
      <c r="M136" s="50">
        <f t="shared" si="23"/>
        <v>1</v>
      </c>
      <c r="N136" s="806"/>
      <c r="O136" s="50">
        <f t="shared" si="24"/>
        <v>1</v>
      </c>
      <c r="P136" s="806"/>
      <c r="Q136" s="50">
        <f t="shared" si="25"/>
        <v>1</v>
      </c>
      <c r="R136" s="355">
        <f t="shared" si="26"/>
        <v>0</v>
      </c>
      <c r="S136" s="651">
        <f t="shared" si="27"/>
        <v>0</v>
      </c>
    </row>
    <row r="137" spans="1:19">
      <c r="A137" s="808"/>
      <c r="B137" s="129"/>
      <c r="C137" s="50">
        <f t="shared" si="18"/>
        <v>1</v>
      </c>
      <c r="D137" s="806"/>
      <c r="E137" s="50">
        <f t="shared" si="19"/>
        <v>1</v>
      </c>
      <c r="F137" s="806"/>
      <c r="G137" s="50">
        <f t="shared" si="20"/>
        <v>1</v>
      </c>
      <c r="H137" s="806"/>
      <c r="I137" s="50">
        <f t="shared" si="21"/>
        <v>1</v>
      </c>
      <c r="J137" s="806"/>
      <c r="K137" s="50">
        <f t="shared" si="22"/>
        <v>1</v>
      </c>
      <c r="L137" s="806"/>
      <c r="M137" s="50">
        <f t="shared" si="23"/>
        <v>1</v>
      </c>
      <c r="N137" s="806"/>
      <c r="O137" s="50">
        <f t="shared" si="24"/>
        <v>1</v>
      </c>
      <c r="P137" s="806"/>
      <c r="Q137" s="50">
        <f t="shared" si="25"/>
        <v>1</v>
      </c>
      <c r="R137" s="355">
        <f t="shared" si="26"/>
        <v>0</v>
      </c>
      <c r="S137" s="651">
        <f t="shared" si="27"/>
        <v>0</v>
      </c>
    </row>
    <row r="138" spans="1:19">
      <c r="A138" s="808"/>
      <c r="B138" s="129"/>
      <c r="C138" s="50">
        <f t="shared" si="18"/>
        <v>1</v>
      </c>
      <c r="D138" s="806"/>
      <c r="E138" s="50">
        <f t="shared" si="19"/>
        <v>1</v>
      </c>
      <c r="F138" s="806"/>
      <c r="G138" s="50">
        <f t="shared" si="20"/>
        <v>1</v>
      </c>
      <c r="H138" s="806"/>
      <c r="I138" s="50">
        <f t="shared" si="21"/>
        <v>1</v>
      </c>
      <c r="J138" s="806"/>
      <c r="K138" s="50">
        <f t="shared" si="22"/>
        <v>1</v>
      </c>
      <c r="L138" s="806"/>
      <c r="M138" s="50">
        <f t="shared" si="23"/>
        <v>1</v>
      </c>
      <c r="N138" s="806"/>
      <c r="O138" s="50">
        <f t="shared" si="24"/>
        <v>1</v>
      </c>
      <c r="P138" s="806"/>
      <c r="Q138" s="50">
        <f t="shared" si="25"/>
        <v>1</v>
      </c>
      <c r="R138" s="355">
        <f t="shared" si="26"/>
        <v>0</v>
      </c>
      <c r="S138" s="651">
        <f t="shared" si="27"/>
        <v>0</v>
      </c>
    </row>
    <row r="139" spans="1:19">
      <c r="A139" s="808"/>
      <c r="B139" s="129"/>
      <c r="C139" s="50">
        <f t="shared" si="18"/>
        <v>1</v>
      </c>
      <c r="D139" s="806"/>
      <c r="E139" s="50">
        <f t="shared" si="19"/>
        <v>1</v>
      </c>
      <c r="F139" s="806"/>
      <c r="G139" s="50">
        <f t="shared" si="20"/>
        <v>1</v>
      </c>
      <c r="H139" s="806"/>
      <c r="I139" s="50">
        <f t="shared" si="21"/>
        <v>1</v>
      </c>
      <c r="J139" s="806"/>
      <c r="K139" s="50">
        <f t="shared" si="22"/>
        <v>1</v>
      </c>
      <c r="L139" s="806"/>
      <c r="M139" s="50">
        <f t="shared" si="23"/>
        <v>1</v>
      </c>
      <c r="N139" s="806"/>
      <c r="O139" s="50">
        <f t="shared" si="24"/>
        <v>1</v>
      </c>
      <c r="P139" s="806"/>
      <c r="Q139" s="50">
        <f t="shared" si="25"/>
        <v>1</v>
      </c>
      <c r="R139" s="355">
        <f t="shared" si="26"/>
        <v>0</v>
      </c>
      <c r="S139" s="651">
        <f t="shared" si="27"/>
        <v>0</v>
      </c>
    </row>
    <row r="140" spans="1:19">
      <c r="A140" s="808"/>
      <c r="B140" s="129"/>
      <c r="C140" s="50">
        <f t="shared" si="18"/>
        <v>1</v>
      </c>
      <c r="D140" s="806"/>
      <c r="E140" s="50">
        <f t="shared" si="19"/>
        <v>1</v>
      </c>
      <c r="F140" s="806"/>
      <c r="G140" s="50">
        <f t="shared" si="20"/>
        <v>1</v>
      </c>
      <c r="H140" s="806"/>
      <c r="I140" s="50">
        <f t="shared" si="21"/>
        <v>1</v>
      </c>
      <c r="J140" s="806"/>
      <c r="K140" s="50">
        <f t="shared" si="22"/>
        <v>1</v>
      </c>
      <c r="L140" s="806"/>
      <c r="M140" s="50">
        <f t="shared" si="23"/>
        <v>1</v>
      </c>
      <c r="N140" s="806"/>
      <c r="O140" s="50">
        <f t="shared" si="24"/>
        <v>1</v>
      </c>
      <c r="P140" s="806"/>
      <c r="Q140" s="50">
        <f t="shared" si="25"/>
        <v>1</v>
      </c>
      <c r="R140" s="355">
        <f t="shared" si="26"/>
        <v>0</v>
      </c>
      <c r="S140" s="651">
        <f t="shared" si="27"/>
        <v>0</v>
      </c>
    </row>
    <row r="141" spans="1:19">
      <c r="A141" s="808"/>
      <c r="B141" s="129"/>
      <c r="C141" s="50">
        <f t="shared" si="18"/>
        <v>1</v>
      </c>
      <c r="D141" s="806"/>
      <c r="E141" s="50">
        <f t="shared" si="19"/>
        <v>1</v>
      </c>
      <c r="F141" s="806"/>
      <c r="G141" s="50">
        <f t="shared" si="20"/>
        <v>1</v>
      </c>
      <c r="H141" s="806"/>
      <c r="I141" s="50">
        <f t="shared" si="21"/>
        <v>1</v>
      </c>
      <c r="J141" s="806"/>
      <c r="K141" s="50">
        <f t="shared" si="22"/>
        <v>1</v>
      </c>
      <c r="L141" s="806"/>
      <c r="M141" s="50">
        <f t="shared" si="23"/>
        <v>1</v>
      </c>
      <c r="N141" s="806"/>
      <c r="O141" s="50">
        <f t="shared" si="24"/>
        <v>1</v>
      </c>
      <c r="P141" s="806"/>
      <c r="Q141" s="50">
        <f t="shared" si="25"/>
        <v>1</v>
      </c>
      <c r="R141" s="355">
        <f t="shared" si="26"/>
        <v>0</v>
      </c>
      <c r="S141" s="651">
        <f t="shared" si="27"/>
        <v>0</v>
      </c>
    </row>
    <row r="142" spans="1:19">
      <c r="A142" s="808"/>
      <c r="B142" s="129"/>
      <c r="C142" s="50">
        <f t="shared" si="18"/>
        <v>1</v>
      </c>
      <c r="D142" s="806"/>
      <c r="E142" s="50">
        <f t="shared" si="19"/>
        <v>1</v>
      </c>
      <c r="F142" s="806"/>
      <c r="G142" s="50">
        <f t="shared" si="20"/>
        <v>1</v>
      </c>
      <c r="H142" s="806"/>
      <c r="I142" s="50">
        <f t="shared" si="21"/>
        <v>1</v>
      </c>
      <c r="J142" s="806"/>
      <c r="K142" s="50">
        <f t="shared" si="22"/>
        <v>1</v>
      </c>
      <c r="L142" s="806"/>
      <c r="M142" s="50">
        <f t="shared" si="23"/>
        <v>1</v>
      </c>
      <c r="N142" s="806"/>
      <c r="O142" s="50">
        <f t="shared" si="24"/>
        <v>1</v>
      </c>
      <c r="P142" s="806"/>
      <c r="Q142" s="50">
        <f t="shared" si="25"/>
        <v>1</v>
      </c>
      <c r="R142" s="355">
        <f t="shared" si="26"/>
        <v>0</v>
      </c>
      <c r="S142" s="651">
        <f t="shared" si="27"/>
        <v>0</v>
      </c>
    </row>
    <row r="143" spans="1:19">
      <c r="A143" s="808"/>
      <c r="B143" s="129"/>
      <c r="C143" s="50">
        <f t="shared" si="18"/>
        <v>1</v>
      </c>
      <c r="D143" s="806"/>
      <c r="E143" s="50">
        <f t="shared" si="19"/>
        <v>1</v>
      </c>
      <c r="F143" s="806"/>
      <c r="G143" s="50">
        <f t="shared" si="20"/>
        <v>1</v>
      </c>
      <c r="H143" s="806"/>
      <c r="I143" s="50">
        <f t="shared" si="21"/>
        <v>1</v>
      </c>
      <c r="J143" s="806"/>
      <c r="K143" s="50">
        <f t="shared" si="22"/>
        <v>1</v>
      </c>
      <c r="L143" s="806"/>
      <c r="M143" s="50">
        <f t="shared" si="23"/>
        <v>1</v>
      </c>
      <c r="N143" s="806"/>
      <c r="O143" s="50">
        <f t="shared" si="24"/>
        <v>1</v>
      </c>
      <c r="P143" s="806"/>
      <c r="Q143" s="50">
        <f t="shared" si="25"/>
        <v>1</v>
      </c>
      <c r="R143" s="355">
        <f t="shared" si="26"/>
        <v>0</v>
      </c>
      <c r="S143" s="651">
        <f t="shared" si="27"/>
        <v>0</v>
      </c>
    </row>
    <row r="144" spans="1:19">
      <c r="A144" s="808"/>
      <c r="B144" s="129"/>
      <c r="C144" s="50">
        <f t="shared" si="18"/>
        <v>1</v>
      </c>
      <c r="D144" s="806"/>
      <c r="E144" s="50">
        <f t="shared" si="19"/>
        <v>1</v>
      </c>
      <c r="F144" s="806"/>
      <c r="G144" s="50">
        <f t="shared" si="20"/>
        <v>1</v>
      </c>
      <c r="H144" s="806"/>
      <c r="I144" s="50">
        <f t="shared" si="21"/>
        <v>1</v>
      </c>
      <c r="J144" s="806"/>
      <c r="K144" s="50">
        <f t="shared" si="22"/>
        <v>1</v>
      </c>
      <c r="L144" s="806"/>
      <c r="M144" s="50">
        <f t="shared" si="23"/>
        <v>1</v>
      </c>
      <c r="N144" s="806"/>
      <c r="O144" s="50">
        <f t="shared" si="24"/>
        <v>1</v>
      </c>
      <c r="P144" s="806"/>
      <c r="Q144" s="50">
        <f t="shared" si="25"/>
        <v>1</v>
      </c>
      <c r="R144" s="355">
        <f t="shared" si="26"/>
        <v>0</v>
      </c>
      <c r="S144" s="651">
        <f t="shared" si="27"/>
        <v>0</v>
      </c>
    </row>
    <row r="145" spans="1:19">
      <c r="A145" s="808"/>
      <c r="B145" s="129"/>
      <c r="C145" s="50">
        <f t="shared" si="18"/>
        <v>1</v>
      </c>
      <c r="D145" s="806"/>
      <c r="E145" s="50">
        <f t="shared" si="19"/>
        <v>1</v>
      </c>
      <c r="F145" s="806"/>
      <c r="G145" s="50">
        <f t="shared" si="20"/>
        <v>1</v>
      </c>
      <c r="H145" s="806"/>
      <c r="I145" s="50">
        <f t="shared" si="21"/>
        <v>1</v>
      </c>
      <c r="J145" s="806"/>
      <c r="K145" s="50">
        <f t="shared" si="22"/>
        <v>1</v>
      </c>
      <c r="L145" s="806"/>
      <c r="M145" s="50">
        <f t="shared" si="23"/>
        <v>1</v>
      </c>
      <c r="N145" s="806"/>
      <c r="O145" s="50">
        <f t="shared" si="24"/>
        <v>1</v>
      </c>
      <c r="P145" s="806"/>
      <c r="Q145" s="50">
        <f t="shared" si="25"/>
        <v>1</v>
      </c>
      <c r="R145" s="355">
        <f t="shared" si="26"/>
        <v>0</v>
      </c>
      <c r="S145" s="651">
        <f t="shared" si="27"/>
        <v>0</v>
      </c>
    </row>
    <row r="146" spans="1:19">
      <c r="A146" s="808"/>
      <c r="B146" s="129"/>
      <c r="C146" s="50">
        <f t="shared" si="18"/>
        <v>1</v>
      </c>
      <c r="D146" s="806"/>
      <c r="E146" s="50">
        <f t="shared" si="19"/>
        <v>1</v>
      </c>
      <c r="F146" s="806"/>
      <c r="G146" s="50">
        <f t="shared" si="20"/>
        <v>1</v>
      </c>
      <c r="H146" s="806"/>
      <c r="I146" s="50">
        <f t="shared" si="21"/>
        <v>1</v>
      </c>
      <c r="J146" s="806"/>
      <c r="K146" s="50">
        <f t="shared" si="22"/>
        <v>1</v>
      </c>
      <c r="L146" s="806"/>
      <c r="M146" s="50">
        <f t="shared" si="23"/>
        <v>1</v>
      </c>
      <c r="N146" s="806"/>
      <c r="O146" s="50">
        <f t="shared" si="24"/>
        <v>1</v>
      </c>
      <c r="P146" s="806"/>
      <c r="Q146" s="50">
        <f t="shared" si="25"/>
        <v>1</v>
      </c>
      <c r="R146" s="355">
        <f t="shared" si="26"/>
        <v>0</v>
      </c>
      <c r="S146" s="651">
        <f t="shared" si="27"/>
        <v>0</v>
      </c>
    </row>
    <row r="147" spans="1:19">
      <c r="A147" s="808"/>
      <c r="B147" s="129"/>
      <c r="C147" s="50">
        <f t="shared" si="18"/>
        <v>1</v>
      </c>
      <c r="D147" s="806"/>
      <c r="E147" s="50">
        <f t="shared" si="19"/>
        <v>1</v>
      </c>
      <c r="F147" s="806"/>
      <c r="G147" s="50">
        <f t="shared" si="20"/>
        <v>1</v>
      </c>
      <c r="H147" s="806"/>
      <c r="I147" s="50">
        <f t="shared" si="21"/>
        <v>1</v>
      </c>
      <c r="J147" s="806"/>
      <c r="K147" s="50">
        <f t="shared" si="22"/>
        <v>1</v>
      </c>
      <c r="L147" s="806"/>
      <c r="M147" s="50">
        <f t="shared" si="23"/>
        <v>1</v>
      </c>
      <c r="N147" s="806"/>
      <c r="O147" s="50">
        <f t="shared" si="24"/>
        <v>1</v>
      </c>
      <c r="P147" s="806"/>
      <c r="Q147" s="50">
        <f t="shared" si="25"/>
        <v>1</v>
      </c>
      <c r="R147" s="355">
        <f t="shared" si="26"/>
        <v>0</v>
      </c>
      <c r="S147" s="651">
        <f t="shared" si="27"/>
        <v>0</v>
      </c>
    </row>
    <row r="148" spans="1:19">
      <c r="A148" s="808"/>
      <c r="B148" s="129"/>
      <c r="C148" s="50">
        <f t="shared" si="18"/>
        <v>1</v>
      </c>
      <c r="D148" s="806"/>
      <c r="E148" s="50">
        <f t="shared" si="19"/>
        <v>1</v>
      </c>
      <c r="F148" s="806"/>
      <c r="G148" s="50">
        <f t="shared" si="20"/>
        <v>1</v>
      </c>
      <c r="H148" s="806"/>
      <c r="I148" s="50">
        <f t="shared" si="21"/>
        <v>1</v>
      </c>
      <c r="J148" s="806"/>
      <c r="K148" s="50">
        <f t="shared" si="22"/>
        <v>1</v>
      </c>
      <c r="L148" s="806"/>
      <c r="M148" s="50">
        <f t="shared" si="23"/>
        <v>1</v>
      </c>
      <c r="N148" s="806"/>
      <c r="O148" s="50">
        <f t="shared" si="24"/>
        <v>1</v>
      </c>
      <c r="P148" s="806"/>
      <c r="Q148" s="50">
        <f t="shared" si="25"/>
        <v>1</v>
      </c>
      <c r="R148" s="355">
        <f t="shared" si="26"/>
        <v>0</v>
      </c>
      <c r="S148" s="651">
        <f t="shared" si="27"/>
        <v>0</v>
      </c>
    </row>
    <row r="149" spans="1:19">
      <c r="A149" s="808"/>
      <c r="B149" s="129"/>
      <c r="C149" s="50">
        <f t="shared" si="18"/>
        <v>1</v>
      </c>
      <c r="D149" s="806"/>
      <c r="E149" s="50">
        <f t="shared" si="19"/>
        <v>1</v>
      </c>
      <c r="F149" s="806"/>
      <c r="G149" s="50">
        <f t="shared" si="20"/>
        <v>1</v>
      </c>
      <c r="H149" s="806"/>
      <c r="I149" s="50">
        <f t="shared" si="21"/>
        <v>1</v>
      </c>
      <c r="J149" s="806"/>
      <c r="K149" s="50">
        <f t="shared" si="22"/>
        <v>1</v>
      </c>
      <c r="L149" s="806"/>
      <c r="M149" s="50">
        <f t="shared" si="23"/>
        <v>1</v>
      </c>
      <c r="N149" s="806"/>
      <c r="O149" s="50">
        <f t="shared" si="24"/>
        <v>1</v>
      </c>
      <c r="P149" s="806"/>
      <c r="Q149" s="50">
        <f t="shared" si="25"/>
        <v>1</v>
      </c>
      <c r="R149" s="355">
        <f t="shared" si="26"/>
        <v>0</v>
      </c>
      <c r="S149" s="651">
        <f t="shared" si="27"/>
        <v>0</v>
      </c>
    </row>
    <row r="150" spans="1:19">
      <c r="A150" s="808"/>
      <c r="B150" s="129"/>
      <c r="C150" s="50">
        <f t="shared" si="18"/>
        <v>1</v>
      </c>
      <c r="D150" s="806"/>
      <c r="E150" s="50">
        <f t="shared" si="19"/>
        <v>1</v>
      </c>
      <c r="F150" s="806"/>
      <c r="G150" s="50">
        <f t="shared" si="20"/>
        <v>1</v>
      </c>
      <c r="H150" s="806"/>
      <c r="I150" s="50">
        <f t="shared" si="21"/>
        <v>1</v>
      </c>
      <c r="J150" s="806"/>
      <c r="K150" s="50">
        <f t="shared" si="22"/>
        <v>1</v>
      </c>
      <c r="L150" s="806"/>
      <c r="M150" s="50">
        <f t="shared" si="23"/>
        <v>1</v>
      </c>
      <c r="N150" s="806"/>
      <c r="O150" s="50">
        <f t="shared" si="24"/>
        <v>1</v>
      </c>
      <c r="P150" s="806"/>
      <c r="Q150" s="50">
        <f t="shared" si="25"/>
        <v>1</v>
      </c>
      <c r="R150" s="355">
        <f t="shared" si="26"/>
        <v>0</v>
      </c>
      <c r="S150" s="651">
        <f t="shared" si="27"/>
        <v>0</v>
      </c>
    </row>
    <row r="151" spans="1:19">
      <c r="A151" s="808"/>
      <c r="B151" s="129"/>
      <c r="C151" s="50">
        <f t="shared" si="18"/>
        <v>1</v>
      </c>
      <c r="D151" s="806"/>
      <c r="E151" s="50">
        <f t="shared" si="19"/>
        <v>1</v>
      </c>
      <c r="F151" s="806"/>
      <c r="G151" s="50">
        <f t="shared" si="20"/>
        <v>1</v>
      </c>
      <c r="H151" s="806"/>
      <c r="I151" s="50">
        <f t="shared" si="21"/>
        <v>1</v>
      </c>
      <c r="J151" s="806"/>
      <c r="K151" s="50">
        <f t="shared" si="22"/>
        <v>1</v>
      </c>
      <c r="L151" s="806"/>
      <c r="M151" s="50">
        <f t="shared" si="23"/>
        <v>1</v>
      </c>
      <c r="N151" s="806"/>
      <c r="O151" s="50">
        <f t="shared" si="24"/>
        <v>1</v>
      </c>
      <c r="P151" s="806"/>
      <c r="Q151" s="50">
        <f t="shared" si="25"/>
        <v>1</v>
      </c>
      <c r="R151" s="355">
        <f t="shared" si="26"/>
        <v>0</v>
      </c>
      <c r="S151" s="651">
        <f t="shared" si="27"/>
        <v>0</v>
      </c>
    </row>
    <row r="152" spans="1:19">
      <c r="A152" s="808"/>
      <c r="B152" s="129"/>
      <c r="C152" s="50">
        <f t="shared" si="18"/>
        <v>1</v>
      </c>
      <c r="D152" s="806"/>
      <c r="E152" s="50">
        <f t="shared" si="19"/>
        <v>1</v>
      </c>
      <c r="F152" s="806"/>
      <c r="G152" s="50">
        <f t="shared" si="20"/>
        <v>1</v>
      </c>
      <c r="H152" s="806"/>
      <c r="I152" s="50">
        <f t="shared" si="21"/>
        <v>1</v>
      </c>
      <c r="J152" s="806"/>
      <c r="K152" s="50">
        <f t="shared" si="22"/>
        <v>1</v>
      </c>
      <c r="L152" s="806"/>
      <c r="M152" s="50">
        <f t="shared" si="23"/>
        <v>1</v>
      </c>
      <c r="N152" s="806"/>
      <c r="O152" s="50">
        <f t="shared" si="24"/>
        <v>1</v>
      </c>
      <c r="P152" s="806"/>
      <c r="Q152" s="50">
        <f t="shared" si="25"/>
        <v>1</v>
      </c>
      <c r="R152" s="355">
        <f t="shared" si="26"/>
        <v>0</v>
      </c>
      <c r="S152" s="651">
        <f t="shared" si="27"/>
        <v>0</v>
      </c>
    </row>
    <row r="153" spans="1:19">
      <c r="A153" s="808"/>
      <c r="B153" s="129"/>
      <c r="C153" s="50">
        <f t="shared" si="18"/>
        <v>1</v>
      </c>
      <c r="D153" s="806"/>
      <c r="E153" s="50">
        <f t="shared" si="19"/>
        <v>1</v>
      </c>
      <c r="F153" s="806"/>
      <c r="G153" s="50">
        <f t="shared" si="20"/>
        <v>1</v>
      </c>
      <c r="H153" s="806"/>
      <c r="I153" s="50">
        <f t="shared" si="21"/>
        <v>1</v>
      </c>
      <c r="J153" s="806"/>
      <c r="K153" s="50">
        <f t="shared" si="22"/>
        <v>1</v>
      </c>
      <c r="L153" s="806"/>
      <c r="M153" s="50">
        <f t="shared" si="23"/>
        <v>1</v>
      </c>
      <c r="N153" s="806"/>
      <c r="O153" s="50">
        <f t="shared" si="24"/>
        <v>1</v>
      </c>
      <c r="P153" s="806"/>
      <c r="Q153" s="50">
        <f t="shared" si="25"/>
        <v>1</v>
      </c>
      <c r="R153" s="355">
        <f t="shared" si="26"/>
        <v>0</v>
      </c>
      <c r="S153" s="651">
        <f t="shared" si="27"/>
        <v>0</v>
      </c>
    </row>
    <row r="154" spans="1:19">
      <c r="A154" s="808"/>
      <c r="B154" s="129"/>
      <c r="C154" s="50">
        <f t="shared" ref="C154:C217" si="28">IF(B154="",1,(LOOKUP(B154,$3:$3,$4:$4)-LOOKUP($B$24,$3:$3,$4:$4)+100)/100)</f>
        <v>1</v>
      </c>
      <c r="D154" s="806"/>
      <c r="E154" s="50">
        <f t="shared" ref="E154:E217" si="29">(SUMIF($5:$5,D154,$6:$6)-SUMIF($5:$5,$D$24,$6:$6)+100)/100</f>
        <v>1</v>
      </c>
      <c r="F154" s="806"/>
      <c r="G154" s="50">
        <f t="shared" ref="G154:G217" si="30">(SUMIF($7:$7,F154,$8:$8)-SUMIF($7:$7,$F$24,$8:$8)+100)/100</f>
        <v>1</v>
      </c>
      <c r="H154" s="806"/>
      <c r="I154" s="50">
        <f t="shared" ref="I154:I217" si="31">(SUMIF($9:$9,H154,$10:$10)-SUMIF($9:$9,$H$24,$10:$10)+100)/100</f>
        <v>1</v>
      </c>
      <c r="J154" s="806"/>
      <c r="K154" s="50">
        <f t="shared" ref="K154:K217" si="32">(SUMIF($11:$11,J154,$12:$12)-SUMIF($11:$11,$J$24,$12:$12)+100)/100</f>
        <v>1</v>
      </c>
      <c r="L154" s="806"/>
      <c r="M154" s="50">
        <f t="shared" ref="M154:M217" si="33">(SUMIF($13:$13,L154,$14:$14)-SUMIF($13:$13,$L$24,$14:$14)+100)/100</f>
        <v>1</v>
      </c>
      <c r="N154" s="806"/>
      <c r="O154" s="50">
        <f t="shared" ref="O154:O217" si="34">(SUMIF($15:$15,N154,$16:$16)-SUMIF($15:$15,$N$24,$16:$16)+100)/100</f>
        <v>1</v>
      </c>
      <c r="P154" s="806"/>
      <c r="Q154" s="50">
        <f t="shared" ref="Q154:Q217" si="35">(SUMIF($17:$17,P154,$18:$18)-SUMIF($17:$17,$P$24,$18:$18)+100)/100</f>
        <v>1</v>
      </c>
      <c r="R154" s="355">
        <f t="shared" ref="R154:R217" si="36">IF(B154="",0,ROUND($R$24*C154*E154*G154*I154*K154*M154*O154*Q154,0))</f>
        <v>0</v>
      </c>
      <c r="S154" s="651">
        <f t="shared" si="27"/>
        <v>0</v>
      </c>
    </row>
    <row r="155" spans="1:19">
      <c r="A155" s="808"/>
      <c r="B155" s="129"/>
      <c r="C155" s="50">
        <f t="shared" si="28"/>
        <v>1</v>
      </c>
      <c r="D155" s="806"/>
      <c r="E155" s="50">
        <f t="shared" si="29"/>
        <v>1</v>
      </c>
      <c r="F155" s="806"/>
      <c r="G155" s="50">
        <f t="shared" si="30"/>
        <v>1</v>
      </c>
      <c r="H155" s="806"/>
      <c r="I155" s="50">
        <f t="shared" si="31"/>
        <v>1</v>
      </c>
      <c r="J155" s="806"/>
      <c r="K155" s="50">
        <f t="shared" si="32"/>
        <v>1</v>
      </c>
      <c r="L155" s="806"/>
      <c r="M155" s="50">
        <f t="shared" si="33"/>
        <v>1</v>
      </c>
      <c r="N155" s="806"/>
      <c r="O155" s="50">
        <f t="shared" si="34"/>
        <v>1</v>
      </c>
      <c r="P155" s="806"/>
      <c r="Q155" s="50">
        <f t="shared" si="35"/>
        <v>1</v>
      </c>
      <c r="R155" s="355">
        <f t="shared" si="36"/>
        <v>0</v>
      </c>
      <c r="S155" s="651">
        <f t="shared" si="27"/>
        <v>0</v>
      </c>
    </row>
    <row r="156" spans="1:19">
      <c r="A156" s="808"/>
      <c r="B156" s="129"/>
      <c r="C156" s="50">
        <f t="shared" si="28"/>
        <v>1</v>
      </c>
      <c r="D156" s="806"/>
      <c r="E156" s="50">
        <f t="shared" si="29"/>
        <v>1</v>
      </c>
      <c r="F156" s="806"/>
      <c r="G156" s="50">
        <f t="shared" si="30"/>
        <v>1</v>
      </c>
      <c r="H156" s="806"/>
      <c r="I156" s="50">
        <f t="shared" si="31"/>
        <v>1</v>
      </c>
      <c r="J156" s="806"/>
      <c r="K156" s="50">
        <f t="shared" si="32"/>
        <v>1</v>
      </c>
      <c r="L156" s="806"/>
      <c r="M156" s="50">
        <f t="shared" si="33"/>
        <v>1</v>
      </c>
      <c r="N156" s="806"/>
      <c r="O156" s="50">
        <f t="shared" si="34"/>
        <v>1</v>
      </c>
      <c r="P156" s="806"/>
      <c r="Q156" s="50">
        <f t="shared" si="35"/>
        <v>1</v>
      </c>
      <c r="R156" s="355">
        <f t="shared" si="36"/>
        <v>0</v>
      </c>
      <c r="S156" s="651">
        <f t="shared" si="27"/>
        <v>0</v>
      </c>
    </row>
    <row r="157" spans="1:19">
      <c r="A157" s="808"/>
      <c r="B157" s="129"/>
      <c r="C157" s="50">
        <f t="shared" si="28"/>
        <v>1</v>
      </c>
      <c r="D157" s="806"/>
      <c r="E157" s="50">
        <f t="shared" si="29"/>
        <v>1</v>
      </c>
      <c r="F157" s="806"/>
      <c r="G157" s="50">
        <f t="shared" si="30"/>
        <v>1</v>
      </c>
      <c r="H157" s="806"/>
      <c r="I157" s="50">
        <f t="shared" si="31"/>
        <v>1</v>
      </c>
      <c r="J157" s="806"/>
      <c r="K157" s="50">
        <f t="shared" si="32"/>
        <v>1</v>
      </c>
      <c r="L157" s="806"/>
      <c r="M157" s="50">
        <f t="shared" si="33"/>
        <v>1</v>
      </c>
      <c r="N157" s="806"/>
      <c r="O157" s="50">
        <f t="shared" si="34"/>
        <v>1</v>
      </c>
      <c r="P157" s="806"/>
      <c r="Q157" s="50">
        <f t="shared" si="35"/>
        <v>1</v>
      </c>
      <c r="R157" s="355">
        <f t="shared" si="36"/>
        <v>0</v>
      </c>
      <c r="S157" s="651">
        <f t="shared" si="27"/>
        <v>0</v>
      </c>
    </row>
    <row r="158" spans="1:19">
      <c r="A158" s="808"/>
      <c r="B158" s="129"/>
      <c r="C158" s="50">
        <f t="shared" si="28"/>
        <v>1</v>
      </c>
      <c r="D158" s="806"/>
      <c r="E158" s="50">
        <f t="shared" si="29"/>
        <v>1</v>
      </c>
      <c r="F158" s="806"/>
      <c r="G158" s="50">
        <f t="shared" si="30"/>
        <v>1</v>
      </c>
      <c r="H158" s="806"/>
      <c r="I158" s="50">
        <f t="shared" si="31"/>
        <v>1</v>
      </c>
      <c r="J158" s="806"/>
      <c r="K158" s="50">
        <f t="shared" si="32"/>
        <v>1</v>
      </c>
      <c r="L158" s="806"/>
      <c r="M158" s="50">
        <f t="shared" si="33"/>
        <v>1</v>
      </c>
      <c r="N158" s="806"/>
      <c r="O158" s="50">
        <f t="shared" si="34"/>
        <v>1</v>
      </c>
      <c r="P158" s="806"/>
      <c r="Q158" s="50">
        <f t="shared" si="35"/>
        <v>1</v>
      </c>
      <c r="R158" s="355">
        <f t="shared" si="36"/>
        <v>0</v>
      </c>
      <c r="S158" s="651">
        <f t="shared" si="27"/>
        <v>0</v>
      </c>
    </row>
    <row r="159" spans="1:19">
      <c r="A159" s="808"/>
      <c r="B159" s="129"/>
      <c r="C159" s="50">
        <f t="shared" si="28"/>
        <v>1</v>
      </c>
      <c r="D159" s="806"/>
      <c r="E159" s="50">
        <f t="shared" si="29"/>
        <v>1</v>
      </c>
      <c r="F159" s="806"/>
      <c r="G159" s="50">
        <f t="shared" si="30"/>
        <v>1</v>
      </c>
      <c r="H159" s="806"/>
      <c r="I159" s="50">
        <f t="shared" si="31"/>
        <v>1</v>
      </c>
      <c r="J159" s="806"/>
      <c r="K159" s="50">
        <f t="shared" si="32"/>
        <v>1</v>
      </c>
      <c r="L159" s="806"/>
      <c r="M159" s="50">
        <f t="shared" si="33"/>
        <v>1</v>
      </c>
      <c r="N159" s="806"/>
      <c r="O159" s="50">
        <f t="shared" si="34"/>
        <v>1</v>
      </c>
      <c r="P159" s="806"/>
      <c r="Q159" s="50">
        <f t="shared" si="35"/>
        <v>1</v>
      </c>
      <c r="R159" s="355">
        <f t="shared" si="36"/>
        <v>0</v>
      </c>
      <c r="S159" s="651">
        <f t="shared" si="27"/>
        <v>0</v>
      </c>
    </row>
    <row r="160" spans="1:19">
      <c r="A160" s="808"/>
      <c r="B160" s="129"/>
      <c r="C160" s="50">
        <f t="shared" si="28"/>
        <v>1</v>
      </c>
      <c r="D160" s="806"/>
      <c r="E160" s="50">
        <f t="shared" si="29"/>
        <v>1</v>
      </c>
      <c r="F160" s="806"/>
      <c r="G160" s="50">
        <f t="shared" si="30"/>
        <v>1</v>
      </c>
      <c r="H160" s="806"/>
      <c r="I160" s="50">
        <f t="shared" si="31"/>
        <v>1</v>
      </c>
      <c r="J160" s="806"/>
      <c r="K160" s="50">
        <f t="shared" si="32"/>
        <v>1</v>
      </c>
      <c r="L160" s="806"/>
      <c r="M160" s="50">
        <f t="shared" si="33"/>
        <v>1</v>
      </c>
      <c r="N160" s="806"/>
      <c r="O160" s="50">
        <f t="shared" si="34"/>
        <v>1</v>
      </c>
      <c r="P160" s="806"/>
      <c r="Q160" s="50">
        <f t="shared" si="35"/>
        <v>1</v>
      </c>
      <c r="R160" s="355">
        <f t="shared" si="36"/>
        <v>0</v>
      </c>
      <c r="S160" s="651">
        <f t="shared" si="27"/>
        <v>0</v>
      </c>
    </row>
    <row r="161" spans="1:19">
      <c r="A161" s="808"/>
      <c r="B161" s="129"/>
      <c r="C161" s="50">
        <f t="shared" si="28"/>
        <v>1</v>
      </c>
      <c r="D161" s="806"/>
      <c r="E161" s="50">
        <f t="shared" si="29"/>
        <v>1</v>
      </c>
      <c r="F161" s="806"/>
      <c r="G161" s="50">
        <f t="shared" si="30"/>
        <v>1</v>
      </c>
      <c r="H161" s="806"/>
      <c r="I161" s="50">
        <f t="shared" si="31"/>
        <v>1</v>
      </c>
      <c r="J161" s="806"/>
      <c r="K161" s="50">
        <f t="shared" si="32"/>
        <v>1</v>
      </c>
      <c r="L161" s="806"/>
      <c r="M161" s="50">
        <f t="shared" si="33"/>
        <v>1</v>
      </c>
      <c r="N161" s="806"/>
      <c r="O161" s="50">
        <f t="shared" si="34"/>
        <v>1</v>
      </c>
      <c r="P161" s="806"/>
      <c r="Q161" s="50">
        <f t="shared" si="35"/>
        <v>1</v>
      </c>
      <c r="R161" s="355">
        <f t="shared" si="36"/>
        <v>0</v>
      </c>
      <c r="S161" s="651">
        <f t="shared" si="27"/>
        <v>0</v>
      </c>
    </row>
    <row r="162" spans="1:19">
      <c r="A162" s="808"/>
      <c r="B162" s="129"/>
      <c r="C162" s="50">
        <f t="shared" si="28"/>
        <v>1</v>
      </c>
      <c r="D162" s="806"/>
      <c r="E162" s="50">
        <f t="shared" si="29"/>
        <v>1</v>
      </c>
      <c r="F162" s="806"/>
      <c r="G162" s="50">
        <f t="shared" si="30"/>
        <v>1</v>
      </c>
      <c r="H162" s="806"/>
      <c r="I162" s="50">
        <f t="shared" si="31"/>
        <v>1</v>
      </c>
      <c r="J162" s="806"/>
      <c r="K162" s="50">
        <f t="shared" si="32"/>
        <v>1</v>
      </c>
      <c r="L162" s="806"/>
      <c r="M162" s="50">
        <f t="shared" si="33"/>
        <v>1</v>
      </c>
      <c r="N162" s="806"/>
      <c r="O162" s="50">
        <f t="shared" si="34"/>
        <v>1</v>
      </c>
      <c r="P162" s="806"/>
      <c r="Q162" s="50">
        <f t="shared" si="35"/>
        <v>1</v>
      </c>
      <c r="R162" s="355">
        <f t="shared" si="36"/>
        <v>0</v>
      </c>
      <c r="S162" s="651">
        <f t="shared" si="27"/>
        <v>0</v>
      </c>
    </row>
    <row r="163" spans="1:19">
      <c r="A163" s="808"/>
      <c r="B163" s="129"/>
      <c r="C163" s="50">
        <f t="shared" si="28"/>
        <v>1</v>
      </c>
      <c r="D163" s="806"/>
      <c r="E163" s="50">
        <f t="shared" si="29"/>
        <v>1</v>
      </c>
      <c r="F163" s="806"/>
      <c r="G163" s="50">
        <f t="shared" si="30"/>
        <v>1</v>
      </c>
      <c r="H163" s="806"/>
      <c r="I163" s="50">
        <f t="shared" si="31"/>
        <v>1</v>
      </c>
      <c r="J163" s="806"/>
      <c r="K163" s="50">
        <f t="shared" si="32"/>
        <v>1</v>
      </c>
      <c r="L163" s="806"/>
      <c r="M163" s="50">
        <f t="shared" si="33"/>
        <v>1</v>
      </c>
      <c r="N163" s="806"/>
      <c r="O163" s="50">
        <f t="shared" si="34"/>
        <v>1</v>
      </c>
      <c r="P163" s="806"/>
      <c r="Q163" s="50">
        <f t="shared" si="35"/>
        <v>1</v>
      </c>
      <c r="R163" s="355">
        <f t="shared" si="36"/>
        <v>0</v>
      </c>
      <c r="S163" s="651">
        <f t="shared" si="27"/>
        <v>0</v>
      </c>
    </row>
    <row r="164" spans="1:19">
      <c r="A164" s="808"/>
      <c r="B164" s="129"/>
      <c r="C164" s="50">
        <f t="shared" si="28"/>
        <v>1</v>
      </c>
      <c r="D164" s="806"/>
      <c r="E164" s="50">
        <f t="shared" si="29"/>
        <v>1</v>
      </c>
      <c r="F164" s="806"/>
      <c r="G164" s="50">
        <f t="shared" si="30"/>
        <v>1</v>
      </c>
      <c r="H164" s="806"/>
      <c r="I164" s="50">
        <f t="shared" si="31"/>
        <v>1</v>
      </c>
      <c r="J164" s="806"/>
      <c r="K164" s="50">
        <f t="shared" si="32"/>
        <v>1</v>
      </c>
      <c r="L164" s="806"/>
      <c r="M164" s="50">
        <f t="shared" si="33"/>
        <v>1</v>
      </c>
      <c r="N164" s="806"/>
      <c r="O164" s="50">
        <f t="shared" si="34"/>
        <v>1</v>
      </c>
      <c r="P164" s="806"/>
      <c r="Q164" s="50">
        <f t="shared" si="35"/>
        <v>1</v>
      </c>
      <c r="R164" s="355">
        <f t="shared" si="36"/>
        <v>0</v>
      </c>
      <c r="S164" s="651">
        <f t="shared" si="27"/>
        <v>0</v>
      </c>
    </row>
    <row r="165" spans="1:19">
      <c r="A165" s="808"/>
      <c r="B165" s="129"/>
      <c r="C165" s="50">
        <f t="shared" si="28"/>
        <v>1</v>
      </c>
      <c r="D165" s="806"/>
      <c r="E165" s="50">
        <f t="shared" si="29"/>
        <v>1</v>
      </c>
      <c r="F165" s="806"/>
      <c r="G165" s="50">
        <f t="shared" si="30"/>
        <v>1</v>
      </c>
      <c r="H165" s="806"/>
      <c r="I165" s="50">
        <f t="shared" si="31"/>
        <v>1</v>
      </c>
      <c r="J165" s="806"/>
      <c r="K165" s="50">
        <f t="shared" si="32"/>
        <v>1</v>
      </c>
      <c r="L165" s="806"/>
      <c r="M165" s="50">
        <f t="shared" si="33"/>
        <v>1</v>
      </c>
      <c r="N165" s="806"/>
      <c r="O165" s="50">
        <f t="shared" si="34"/>
        <v>1</v>
      </c>
      <c r="P165" s="806"/>
      <c r="Q165" s="50">
        <f t="shared" si="35"/>
        <v>1</v>
      </c>
      <c r="R165" s="355">
        <f t="shared" si="36"/>
        <v>0</v>
      </c>
      <c r="S165" s="651">
        <f t="shared" si="27"/>
        <v>0</v>
      </c>
    </row>
    <row r="166" spans="1:19">
      <c r="A166" s="808"/>
      <c r="B166" s="129"/>
      <c r="C166" s="50">
        <f t="shared" si="28"/>
        <v>1</v>
      </c>
      <c r="D166" s="806"/>
      <c r="E166" s="50">
        <f t="shared" si="29"/>
        <v>1</v>
      </c>
      <c r="F166" s="806"/>
      <c r="G166" s="50">
        <f t="shared" si="30"/>
        <v>1</v>
      </c>
      <c r="H166" s="806"/>
      <c r="I166" s="50">
        <f t="shared" si="31"/>
        <v>1</v>
      </c>
      <c r="J166" s="806"/>
      <c r="K166" s="50">
        <f t="shared" si="32"/>
        <v>1</v>
      </c>
      <c r="L166" s="806"/>
      <c r="M166" s="50">
        <f t="shared" si="33"/>
        <v>1</v>
      </c>
      <c r="N166" s="806"/>
      <c r="O166" s="50">
        <f t="shared" si="34"/>
        <v>1</v>
      </c>
      <c r="P166" s="806"/>
      <c r="Q166" s="50">
        <f t="shared" si="35"/>
        <v>1</v>
      </c>
      <c r="R166" s="355">
        <f t="shared" si="36"/>
        <v>0</v>
      </c>
      <c r="S166" s="651">
        <f t="shared" si="27"/>
        <v>0</v>
      </c>
    </row>
    <row r="167" spans="1:19">
      <c r="A167" s="808"/>
      <c r="B167" s="129"/>
      <c r="C167" s="50">
        <f t="shared" si="28"/>
        <v>1</v>
      </c>
      <c r="D167" s="806"/>
      <c r="E167" s="50">
        <f t="shared" si="29"/>
        <v>1</v>
      </c>
      <c r="F167" s="806"/>
      <c r="G167" s="50">
        <f t="shared" si="30"/>
        <v>1</v>
      </c>
      <c r="H167" s="806"/>
      <c r="I167" s="50">
        <f t="shared" si="31"/>
        <v>1</v>
      </c>
      <c r="J167" s="806"/>
      <c r="K167" s="50">
        <f t="shared" si="32"/>
        <v>1</v>
      </c>
      <c r="L167" s="806"/>
      <c r="M167" s="50">
        <f t="shared" si="33"/>
        <v>1</v>
      </c>
      <c r="N167" s="806"/>
      <c r="O167" s="50">
        <f t="shared" si="34"/>
        <v>1</v>
      </c>
      <c r="P167" s="806"/>
      <c r="Q167" s="50">
        <f t="shared" si="35"/>
        <v>1</v>
      </c>
      <c r="R167" s="355">
        <f t="shared" si="36"/>
        <v>0</v>
      </c>
      <c r="S167" s="651">
        <f t="shared" si="27"/>
        <v>0</v>
      </c>
    </row>
    <row r="168" spans="1:19">
      <c r="A168" s="808"/>
      <c r="B168" s="129"/>
      <c r="C168" s="50">
        <f t="shared" si="28"/>
        <v>1</v>
      </c>
      <c r="D168" s="806"/>
      <c r="E168" s="50">
        <f t="shared" si="29"/>
        <v>1</v>
      </c>
      <c r="F168" s="806"/>
      <c r="G168" s="50">
        <f t="shared" si="30"/>
        <v>1</v>
      </c>
      <c r="H168" s="806"/>
      <c r="I168" s="50">
        <f t="shared" si="31"/>
        <v>1</v>
      </c>
      <c r="J168" s="806"/>
      <c r="K168" s="50">
        <f t="shared" si="32"/>
        <v>1</v>
      </c>
      <c r="L168" s="806"/>
      <c r="M168" s="50">
        <f t="shared" si="33"/>
        <v>1</v>
      </c>
      <c r="N168" s="806"/>
      <c r="O168" s="50">
        <f t="shared" si="34"/>
        <v>1</v>
      </c>
      <c r="P168" s="806"/>
      <c r="Q168" s="50">
        <f t="shared" si="35"/>
        <v>1</v>
      </c>
      <c r="R168" s="355">
        <f t="shared" si="36"/>
        <v>0</v>
      </c>
      <c r="S168" s="651">
        <f t="shared" si="27"/>
        <v>0</v>
      </c>
    </row>
    <row r="169" spans="1:19">
      <c r="A169" s="808"/>
      <c r="B169" s="129"/>
      <c r="C169" s="50">
        <f t="shared" si="28"/>
        <v>1</v>
      </c>
      <c r="D169" s="806"/>
      <c r="E169" s="50">
        <f t="shared" si="29"/>
        <v>1</v>
      </c>
      <c r="F169" s="806"/>
      <c r="G169" s="50">
        <f t="shared" si="30"/>
        <v>1</v>
      </c>
      <c r="H169" s="806"/>
      <c r="I169" s="50">
        <f t="shared" si="31"/>
        <v>1</v>
      </c>
      <c r="J169" s="806"/>
      <c r="K169" s="50">
        <f t="shared" si="32"/>
        <v>1</v>
      </c>
      <c r="L169" s="806"/>
      <c r="M169" s="50">
        <f t="shared" si="33"/>
        <v>1</v>
      </c>
      <c r="N169" s="806"/>
      <c r="O169" s="50">
        <f t="shared" si="34"/>
        <v>1</v>
      </c>
      <c r="P169" s="806"/>
      <c r="Q169" s="50">
        <f t="shared" si="35"/>
        <v>1</v>
      </c>
      <c r="R169" s="355">
        <f t="shared" si="36"/>
        <v>0</v>
      </c>
      <c r="S169" s="651">
        <f t="shared" si="27"/>
        <v>0</v>
      </c>
    </row>
    <row r="170" spans="1:19">
      <c r="A170" s="808"/>
      <c r="B170" s="129"/>
      <c r="C170" s="50">
        <f t="shared" si="28"/>
        <v>1</v>
      </c>
      <c r="D170" s="806"/>
      <c r="E170" s="50">
        <f t="shared" si="29"/>
        <v>1</v>
      </c>
      <c r="F170" s="806"/>
      <c r="G170" s="50">
        <f t="shared" si="30"/>
        <v>1</v>
      </c>
      <c r="H170" s="806"/>
      <c r="I170" s="50">
        <f t="shared" si="31"/>
        <v>1</v>
      </c>
      <c r="J170" s="806"/>
      <c r="K170" s="50">
        <f t="shared" si="32"/>
        <v>1</v>
      </c>
      <c r="L170" s="806"/>
      <c r="M170" s="50">
        <f t="shared" si="33"/>
        <v>1</v>
      </c>
      <c r="N170" s="806"/>
      <c r="O170" s="50">
        <f t="shared" si="34"/>
        <v>1</v>
      </c>
      <c r="P170" s="806"/>
      <c r="Q170" s="50">
        <f t="shared" si="35"/>
        <v>1</v>
      </c>
      <c r="R170" s="355">
        <f t="shared" si="36"/>
        <v>0</v>
      </c>
      <c r="S170" s="651">
        <f t="shared" si="27"/>
        <v>0</v>
      </c>
    </row>
    <row r="171" spans="1:19">
      <c r="A171" s="808"/>
      <c r="B171" s="129"/>
      <c r="C171" s="50">
        <f t="shared" si="28"/>
        <v>1</v>
      </c>
      <c r="D171" s="806"/>
      <c r="E171" s="50">
        <f t="shared" si="29"/>
        <v>1</v>
      </c>
      <c r="F171" s="806"/>
      <c r="G171" s="50">
        <f t="shared" si="30"/>
        <v>1</v>
      </c>
      <c r="H171" s="806"/>
      <c r="I171" s="50">
        <f t="shared" si="31"/>
        <v>1</v>
      </c>
      <c r="J171" s="806"/>
      <c r="K171" s="50">
        <f t="shared" si="32"/>
        <v>1</v>
      </c>
      <c r="L171" s="806"/>
      <c r="M171" s="50">
        <f t="shared" si="33"/>
        <v>1</v>
      </c>
      <c r="N171" s="806"/>
      <c r="O171" s="50">
        <f t="shared" si="34"/>
        <v>1</v>
      </c>
      <c r="P171" s="806"/>
      <c r="Q171" s="50">
        <f t="shared" si="35"/>
        <v>1</v>
      </c>
      <c r="R171" s="355">
        <f t="shared" si="36"/>
        <v>0</v>
      </c>
      <c r="S171" s="651">
        <f t="shared" si="27"/>
        <v>0</v>
      </c>
    </row>
    <row r="172" spans="1:19">
      <c r="A172" s="808"/>
      <c r="B172" s="129"/>
      <c r="C172" s="50">
        <f t="shared" si="28"/>
        <v>1</v>
      </c>
      <c r="D172" s="806"/>
      <c r="E172" s="50">
        <f t="shared" si="29"/>
        <v>1</v>
      </c>
      <c r="F172" s="806"/>
      <c r="G172" s="50">
        <f t="shared" si="30"/>
        <v>1</v>
      </c>
      <c r="H172" s="806"/>
      <c r="I172" s="50">
        <f t="shared" si="31"/>
        <v>1</v>
      </c>
      <c r="J172" s="806"/>
      <c r="K172" s="50">
        <f t="shared" si="32"/>
        <v>1</v>
      </c>
      <c r="L172" s="806"/>
      <c r="M172" s="50">
        <f t="shared" si="33"/>
        <v>1</v>
      </c>
      <c r="N172" s="806"/>
      <c r="O172" s="50">
        <f t="shared" si="34"/>
        <v>1</v>
      </c>
      <c r="P172" s="806"/>
      <c r="Q172" s="50">
        <f t="shared" si="35"/>
        <v>1</v>
      </c>
      <c r="R172" s="355">
        <f t="shared" si="36"/>
        <v>0</v>
      </c>
      <c r="S172" s="651">
        <f t="shared" si="27"/>
        <v>0</v>
      </c>
    </row>
    <row r="173" spans="1:19">
      <c r="A173" s="808"/>
      <c r="B173" s="129"/>
      <c r="C173" s="50">
        <f t="shared" si="28"/>
        <v>1</v>
      </c>
      <c r="D173" s="806"/>
      <c r="E173" s="50">
        <f t="shared" si="29"/>
        <v>1</v>
      </c>
      <c r="F173" s="806"/>
      <c r="G173" s="50">
        <f t="shared" si="30"/>
        <v>1</v>
      </c>
      <c r="H173" s="806"/>
      <c r="I173" s="50">
        <f t="shared" si="31"/>
        <v>1</v>
      </c>
      <c r="J173" s="806"/>
      <c r="K173" s="50">
        <f t="shared" si="32"/>
        <v>1</v>
      </c>
      <c r="L173" s="806"/>
      <c r="M173" s="50">
        <f t="shared" si="33"/>
        <v>1</v>
      </c>
      <c r="N173" s="806"/>
      <c r="O173" s="50">
        <f t="shared" si="34"/>
        <v>1</v>
      </c>
      <c r="P173" s="806"/>
      <c r="Q173" s="50">
        <f t="shared" si="35"/>
        <v>1</v>
      </c>
      <c r="R173" s="355">
        <f t="shared" si="36"/>
        <v>0</v>
      </c>
      <c r="S173" s="651">
        <f t="shared" si="27"/>
        <v>0</v>
      </c>
    </row>
    <row r="174" spans="1:19">
      <c r="A174" s="808"/>
      <c r="B174" s="129"/>
      <c r="C174" s="50">
        <f t="shared" si="28"/>
        <v>1</v>
      </c>
      <c r="D174" s="806"/>
      <c r="E174" s="50">
        <f t="shared" si="29"/>
        <v>1</v>
      </c>
      <c r="F174" s="806"/>
      <c r="G174" s="50">
        <f t="shared" si="30"/>
        <v>1</v>
      </c>
      <c r="H174" s="806"/>
      <c r="I174" s="50">
        <f t="shared" si="31"/>
        <v>1</v>
      </c>
      <c r="J174" s="806"/>
      <c r="K174" s="50">
        <f t="shared" si="32"/>
        <v>1</v>
      </c>
      <c r="L174" s="806"/>
      <c r="M174" s="50">
        <f t="shared" si="33"/>
        <v>1</v>
      </c>
      <c r="N174" s="806"/>
      <c r="O174" s="50">
        <f t="shared" si="34"/>
        <v>1</v>
      </c>
      <c r="P174" s="806"/>
      <c r="Q174" s="50">
        <f t="shared" si="35"/>
        <v>1</v>
      </c>
      <c r="R174" s="355">
        <f t="shared" si="36"/>
        <v>0</v>
      </c>
      <c r="S174" s="651">
        <f t="shared" si="27"/>
        <v>0</v>
      </c>
    </row>
    <row r="175" spans="1:19">
      <c r="A175" s="808"/>
      <c r="B175" s="129"/>
      <c r="C175" s="50">
        <f t="shared" si="28"/>
        <v>1</v>
      </c>
      <c r="D175" s="806"/>
      <c r="E175" s="50">
        <f t="shared" si="29"/>
        <v>1</v>
      </c>
      <c r="F175" s="806"/>
      <c r="G175" s="50">
        <f t="shared" si="30"/>
        <v>1</v>
      </c>
      <c r="H175" s="806"/>
      <c r="I175" s="50">
        <f t="shared" si="31"/>
        <v>1</v>
      </c>
      <c r="J175" s="806"/>
      <c r="K175" s="50">
        <f t="shared" si="32"/>
        <v>1</v>
      </c>
      <c r="L175" s="806"/>
      <c r="M175" s="50">
        <f t="shared" si="33"/>
        <v>1</v>
      </c>
      <c r="N175" s="806"/>
      <c r="O175" s="50">
        <f t="shared" si="34"/>
        <v>1</v>
      </c>
      <c r="P175" s="806"/>
      <c r="Q175" s="50">
        <f t="shared" si="35"/>
        <v>1</v>
      </c>
      <c r="R175" s="355">
        <f t="shared" si="36"/>
        <v>0</v>
      </c>
      <c r="S175" s="651">
        <f t="shared" si="27"/>
        <v>0</v>
      </c>
    </row>
    <row r="176" spans="1:19">
      <c r="A176" s="808"/>
      <c r="B176" s="129"/>
      <c r="C176" s="50">
        <f t="shared" si="28"/>
        <v>1</v>
      </c>
      <c r="D176" s="806"/>
      <c r="E176" s="50">
        <f t="shared" si="29"/>
        <v>1</v>
      </c>
      <c r="F176" s="806"/>
      <c r="G176" s="50">
        <f t="shared" si="30"/>
        <v>1</v>
      </c>
      <c r="H176" s="806"/>
      <c r="I176" s="50">
        <f t="shared" si="31"/>
        <v>1</v>
      </c>
      <c r="J176" s="806"/>
      <c r="K176" s="50">
        <f t="shared" si="32"/>
        <v>1</v>
      </c>
      <c r="L176" s="806"/>
      <c r="M176" s="50">
        <f t="shared" si="33"/>
        <v>1</v>
      </c>
      <c r="N176" s="806"/>
      <c r="O176" s="50">
        <f t="shared" si="34"/>
        <v>1</v>
      </c>
      <c r="P176" s="806"/>
      <c r="Q176" s="50">
        <f t="shared" si="35"/>
        <v>1</v>
      </c>
      <c r="R176" s="355">
        <f t="shared" si="36"/>
        <v>0</v>
      </c>
      <c r="S176" s="651">
        <f t="shared" si="27"/>
        <v>0</v>
      </c>
    </row>
    <row r="177" spans="1:19">
      <c r="A177" s="808"/>
      <c r="B177" s="129"/>
      <c r="C177" s="50">
        <f t="shared" si="28"/>
        <v>1</v>
      </c>
      <c r="D177" s="806"/>
      <c r="E177" s="50">
        <f t="shared" si="29"/>
        <v>1</v>
      </c>
      <c r="F177" s="806"/>
      <c r="G177" s="50">
        <f t="shared" si="30"/>
        <v>1</v>
      </c>
      <c r="H177" s="806"/>
      <c r="I177" s="50">
        <f t="shared" si="31"/>
        <v>1</v>
      </c>
      <c r="J177" s="806"/>
      <c r="K177" s="50">
        <f t="shared" si="32"/>
        <v>1</v>
      </c>
      <c r="L177" s="806"/>
      <c r="M177" s="50">
        <f t="shared" si="33"/>
        <v>1</v>
      </c>
      <c r="N177" s="806"/>
      <c r="O177" s="50">
        <f t="shared" si="34"/>
        <v>1</v>
      </c>
      <c r="P177" s="806"/>
      <c r="Q177" s="50">
        <f t="shared" si="35"/>
        <v>1</v>
      </c>
      <c r="R177" s="355">
        <f t="shared" si="36"/>
        <v>0</v>
      </c>
      <c r="S177" s="651">
        <f t="shared" si="27"/>
        <v>0</v>
      </c>
    </row>
    <row r="178" spans="1:19">
      <c r="A178" s="808"/>
      <c r="B178" s="129"/>
      <c r="C178" s="50">
        <f t="shared" si="28"/>
        <v>1</v>
      </c>
      <c r="D178" s="806"/>
      <c r="E178" s="50">
        <f t="shared" si="29"/>
        <v>1</v>
      </c>
      <c r="F178" s="806"/>
      <c r="G178" s="50">
        <f t="shared" si="30"/>
        <v>1</v>
      </c>
      <c r="H178" s="806"/>
      <c r="I178" s="50">
        <f t="shared" si="31"/>
        <v>1</v>
      </c>
      <c r="J178" s="806"/>
      <c r="K178" s="50">
        <f t="shared" si="32"/>
        <v>1</v>
      </c>
      <c r="L178" s="806"/>
      <c r="M178" s="50">
        <f t="shared" si="33"/>
        <v>1</v>
      </c>
      <c r="N178" s="806"/>
      <c r="O178" s="50">
        <f t="shared" si="34"/>
        <v>1</v>
      </c>
      <c r="P178" s="806"/>
      <c r="Q178" s="50">
        <f t="shared" si="35"/>
        <v>1</v>
      </c>
      <c r="R178" s="355">
        <f t="shared" si="36"/>
        <v>0</v>
      </c>
      <c r="S178" s="651">
        <f t="shared" si="27"/>
        <v>0</v>
      </c>
    </row>
    <row r="179" spans="1:19">
      <c r="A179" s="808"/>
      <c r="B179" s="129"/>
      <c r="C179" s="50">
        <f t="shared" si="28"/>
        <v>1</v>
      </c>
      <c r="D179" s="806"/>
      <c r="E179" s="50">
        <f t="shared" si="29"/>
        <v>1</v>
      </c>
      <c r="F179" s="806"/>
      <c r="G179" s="50">
        <f t="shared" si="30"/>
        <v>1</v>
      </c>
      <c r="H179" s="806"/>
      <c r="I179" s="50">
        <f t="shared" si="31"/>
        <v>1</v>
      </c>
      <c r="J179" s="806"/>
      <c r="K179" s="50">
        <f t="shared" si="32"/>
        <v>1</v>
      </c>
      <c r="L179" s="806"/>
      <c r="M179" s="50">
        <f t="shared" si="33"/>
        <v>1</v>
      </c>
      <c r="N179" s="806"/>
      <c r="O179" s="50">
        <f t="shared" si="34"/>
        <v>1</v>
      </c>
      <c r="P179" s="806"/>
      <c r="Q179" s="50">
        <f t="shared" si="35"/>
        <v>1</v>
      </c>
      <c r="R179" s="355">
        <f t="shared" si="36"/>
        <v>0</v>
      </c>
      <c r="S179" s="651">
        <f t="shared" si="27"/>
        <v>0</v>
      </c>
    </row>
    <row r="180" spans="1:19">
      <c r="A180" s="808"/>
      <c r="B180" s="129"/>
      <c r="C180" s="50">
        <f t="shared" si="28"/>
        <v>1</v>
      </c>
      <c r="D180" s="806"/>
      <c r="E180" s="50">
        <f t="shared" si="29"/>
        <v>1</v>
      </c>
      <c r="F180" s="806"/>
      <c r="G180" s="50">
        <f t="shared" si="30"/>
        <v>1</v>
      </c>
      <c r="H180" s="806"/>
      <c r="I180" s="50">
        <f t="shared" si="31"/>
        <v>1</v>
      </c>
      <c r="J180" s="806"/>
      <c r="K180" s="50">
        <f t="shared" si="32"/>
        <v>1</v>
      </c>
      <c r="L180" s="806"/>
      <c r="M180" s="50">
        <f t="shared" si="33"/>
        <v>1</v>
      </c>
      <c r="N180" s="806"/>
      <c r="O180" s="50">
        <f t="shared" si="34"/>
        <v>1</v>
      </c>
      <c r="P180" s="806"/>
      <c r="Q180" s="50">
        <f t="shared" si="35"/>
        <v>1</v>
      </c>
      <c r="R180" s="355">
        <f t="shared" si="36"/>
        <v>0</v>
      </c>
      <c r="S180" s="651">
        <f t="shared" si="27"/>
        <v>0</v>
      </c>
    </row>
    <row r="181" spans="1:19">
      <c r="A181" s="808"/>
      <c r="B181" s="129"/>
      <c r="C181" s="50">
        <f t="shared" si="28"/>
        <v>1</v>
      </c>
      <c r="D181" s="806"/>
      <c r="E181" s="50">
        <f t="shared" si="29"/>
        <v>1</v>
      </c>
      <c r="F181" s="806"/>
      <c r="G181" s="50">
        <f t="shared" si="30"/>
        <v>1</v>
      </c>
      <c r="H181" s="806"/>
      <c r="I181" s="50">
        <f t="shared" si="31"/>
        <v>1</v>
      </c>
      <c r="J181" s="806"/>
      <c r="K181" s="50">
        <f t="shared" si="32"/>
        <v>1</v>
      </c>
      <c r="L181" s="806"/>
      <c r="M181" s="50">
        <f t="shared" si="33"/>
        <v>1</v>
      </c>
      <c r="N181" s="806"/>
      <c r="O181" s="50">
        <f t="shared" si="34"/>
        <v>1</v>
      </c>
      <c r="P181" s="806"/>
      <c r="Q181" s="50">
        <f t="shared" si="35"/>
        <v>1</v>
      </c>
      <c r="R181" s="355">
        <f t="shared" si="36"/>
        <v>0</v>
      </c>
      <c r="S181" s="651">
        <f t="shared" si="27"/>
        <v>0</v>
      </c>
    </row>
    <row r="182" spans="1:19">
      <c r="A182" s="808"/>
      <c r="B182" s="129"/>
      <c r="C182" s="50">
        <f t="shared" si="28"/>
        <v>1</v>
      </c>
      <c r="D182" s="806"/>
      <c r="E182" s="50">
        <f t="shared" si="29"/>
        <v>1</v>
      </c>
      <c r="F182" s="806"/>
      <c r="G182" s="50">
        <f t="shared" si="30"/>
        <v>1</v>
      </c>
      <c r="H182" s="806"/>
      <c r="I182" s="50">
        <f t="shared" si="31"/>
        <v>1</v>
      </c>
      <c r="J182" s="806"/>
      <c r="K182" s="50">
        <f t="shared" si="32"/>
        <v>1</v>
      </c>
      <c r="L182" s="806"/>
      <c r="M182" s="50">
        <f t="shared" si="33"/>
        <v>1</v>
      </c>
      <c r="N182" s="806"/>
      <c r="O182" s="50">
        <f t="shared" si="34"/>
        <v>1</v>
      </c>
      <c r="P182" s="806"/>
      <c r="Q182" s="50">
        <f t="shared" si="35"/>
        <v>1</v>
      </c>
      <c r="R182" s="355">
        <f t="shared" si="36"/>
        <v>0</v>
      </c>
      <c r="S182" s="651">
        <f t="shared" si="27"/>
        <v>0</v>
      </c>
    </row>
    <row r="183" spans="1:19">
      <c r="A183" s="808"/>
      <c r="B183" s="129"/>
      <c r="C183" s="50">
        <f t="shared" si="28"/>
        <v>1</v>
      </c>
      <c r="D183" s="806"/>
      <c r="E183" s="50">
        <f t="shared" si="29"/>
        <v>1</v>
      </c>
      <c r="F183" s="806"/>
      <c r="G183" s="50">
        <f t="shared" si="30"/>
        <v>1</v>
      </c>
      <c r="H183" s="806"/>
      <c r="I183" s="50">
        <f t="shared" si="31"/>
        <v>1</v>
      </c>
      <c r="J183" s="806"/>
      <c r="K183" s="50">
        <f t="shared" si="32"/>
        <v>1</v>
      </c>
      <c r="L183" s="806"/>
      <c r="M183" s="50">
        <f t="shared" si="33"/>
        <v>1</v>
      </c>
      <c r="N183" s="806"/>
      <c r="O183" s="50">
        <f t="shared" si="34"/>
        <v>1</v>
      </c>
      <c r="P183" s="806"/>
      <c r="Q183" s="50">
        <f t="shared" si="35"/>
        <v>1</v>
      </c>
      <c r="R183" s="355">
        <f t="shared" si="36"/>
        <v>0</v>
      </c>
      <c r="S183" s="651">
        <f t="shared" si="27"/>
        <v>0</v>
      </c>
    </row>
    <row r="184" spans="1:19">
      <c r="A184" s="808"/>
      <c r="B184" s="129"/>
      <c r="C184" s="50">
        <f t="shared" si="28"/>
        <v>1</v>
      </c>
      <c r="D184" s="806"/>
      <c r="E184" s="50">
        <f t="shared" si="29"/>
        <v>1</v>
      </c>
      <c r="F184" s="806"/>
      <c r="G184" s="50">
        <f t="shared" si="30"/>
        <v>1</v>
      </c>
      <c r="H184" s="806"/>
      <c r="I184" s="50">
        <f t="shared" si="31"/>
        <v>1</v>
      </c>
      <c r="J184" s="806"/>
      <c r="K184" s="50">
        <f t="shared" si="32"/>
        <v>1</v>
      </c>
      <c r="L184" s="806"/>
      <c r="M184" s="50">
        <f t="shared" si="33"/>
        <v>1</v>
      </c>
      <c r="N184" s="806"/>
      <c r="O184" s="50">
        <f t="shared" si="34"/>
        <v>1</v>
      </c>
      <c r="P184" s="806"/>
      <c r="Q184" s="50">
        <f t="shared" si="35"/>
        <v>1</v>
      </c>
      <c r="R184" s="355">
        <f t="shared" si="36"/>
        <v>0</v>
      </c>
      <c r="S184" s="651">
        <f t="shared" si="27"/>
        <v>0</v>
      </c>
    </row>
    <row r="185" spans="1:19">
      <c r="A185" s="808"/>
      <c r="B185" s="129"/>
      <c r="C185" s="50">
        <f t="shared" si="28"/>
        <v>1</v>
      </c>
      <c r="D185" s="806"/>
      <c r="E185" s="50">
        <f t="shared" si="29"/>
        <v>1</v>
      </c>
      <c r="F185" s="806"/>
      <c r="G185" s="50">
        <f t="shared" si="30"/>
        <v>1</v>
      </c>
      <c r="H185" s="806"/>
      <c r="I185" s="50">
        <f t="shared" si="31"/>
        <v>1</v>
      </c>
      <c r="J185" s="806"/>
      <c r="K185" s="50">
        <f t="shared" si="32"/>
        <v>1</v>
      </c>
      <c r="L185" s="806"/>
      <c r="M185" s="50">
        <f t="shared" si="33"/>
        <v>1</v>
      </c>
      <c r="N185" s="806"/>
      <c r="O185" s="50">
        <f t="shared" si="34"/>
        <v>1</v>
      </c>
      <c r="P185" s="806"/>
      <c r="Q185" s="50">
        <f t="shared" si="35"/>
        <v>1</v>
      </c>
      <c r="R185" s="355">
        <f t="shared" si="36"/>
        <v>0</v>
      </c>
      <c r="S185" s="651">
        <f t="shared" si="27"/>
        <v>0</v>
      </c>
    </row>
    <row r="186" spans="1:19">
      <c r="A186" s="808"/>
      <c r="B186" s="129"/>
      <c r="C186" s="50">
        <f t="shared" si="28"/>
        <v>1</v>
      </c>
      <c r="D186" s="806"/>
      <c r="E186" s="50">
        <f t="shared" si="29"/>
        <v>1</v>
      </c>
      <c r="F186" s="806"/>
      <c r="G186" s="50">
        <f t="shared" si="30"/>
        <v>1</v>
      </c>
      <c r="H186" s="806"/>
      <c r="I186" s="50">
        <f t="shared" si="31"/>
        <v>1</v>
      </c>
      <c r="J186" s="806"/>
      <c r="K186" s="50">
        <f t="shared" si="32"/>
        <v>1</v>
      </c>
      <c r="L186" s="806"/>
      <c r="M186" s="50">
        <f t="shared" si="33"/>
        <v>1</v>
      </c>
      <c r="N186" s="806"/>
      <c r="O186" s="50">
        <f t="shared" si="34"/>
        <v>1</v>
      </c>
      <c r="P186" s="806"/>
      <c r="Q186" s="50">
        <f t="shared" si="35"/>
        <v>1</v>
      </c>
      <c r="R186" s="355">
        <f t="shared" si="36"/>
        <v>0</v>
      </c>
      <c r="S186" s="651">
        <f t="shared" si="27"/>
        <v>0</v>
      </c>
    </row>
    <row r="187" spans="1:19">
      <c r="A187" s="808"/>
      <c r="B187" s="129"/>
      <c r="C187" s="50">
        <f t="shared" si="28"/>
        <v>1</v>
      </c>
      <c r="D187" s="806"/>
      <c r="E187" s="50">
        <f t="shared" si="29"/>
        <v>1</v>
      </c>
      <c r="F187" s="806"/>
      <c r="G187" s="50">
        <f t="shared" si="30"/>
        <v>1</v>
      </c>
      <c r="H187" s="806"/>
      <c r="I187" s="50">
        <f t="shared" si="31"/>
        <v>1</v>
      </c>
      <c r="J187" s="806"/>
      <c r="K187" s="50">
        <f t="shared" si="32"/>
        <v>1</v>
      </c>
      <c r="L187" s="806"/>
      <c r="M187" s="50">
        <f t="shared" si="33"/>
        <v>1</v>
      </c>
      <c r="N187" s="806"/>
      <c r="O187" s="50">
        <f t="shared" si="34"/>
        <v>1</v>
      </c>
      <c r="P187" s="806"/>
      <c r="Q187" s="50">
        <f t="shared" si="35"/>
        <v>1</v>
      </c>
      <c r="R187" s="355">
        <f t="shared" si="36"/>
        <v>0</v>
      </c>
      <c r="S187" s="651">
        <f t="shared" ref="S187:S222" si="37">ROUND(R187*B187/10000,0)</f>
        <v>0</v>
      </c>
    </row>
    <row r="188" spans="1:19">
      <c r="A188" s="808"/>
      <c r="B188" s="129"/>
      <c r="C188" s="50">
        <f t="shared" si="28"/>
        <v>1</v>
      </c>
      <c r="D188" s="806"/>
      <c r="E188" s="50">
        <f t="shared" si="29"/>
        <v>1</v>
      </c>
      <c r="F188" s="806"/>
      <c r="G188" s="50">
        <f t="shared" si="30"/>
        <v>1</v>
      </c>
      <c r="H188" s="806"/>
      <c r="I188" s="50">
        <f t="shared" si="31"/>
        <v>1</v>
      </c>
      <c r="J188" s="806"/>
      <c r="K188" s="50">
        <f t="shared" si="32"/>
        <v>1</v>
      </c>
      <c r="L188" s="806"/>
      <c r="M188" s="50">
        <f t="shared" si="33"/>
        <v>1</v>
      </c>
      <c r="N188" s="806"/>
      <c r="O188" s="50">
        <f t="shared" si="34"/>
        <v>1</v>
      </c>
      <c r="P188" s="806"/>
      <c r="Q188" s="50">
        <f t="shared" si="35"/>
        <v>1</v>
      </c>
      <c r="R188" s="355">
        <f t="shared" si="36"/>
        <v>0</v>
      </c>
      <c r="S188" s="651">
        <f t="shared" si="37"/>
        <v>0</v>
      </c>
    </row>
    <row r="189" spans="1:19">
      <c r="A189" s="808"/>
      <c r="B189" s="129"/>
      <c r="C189" s="50">
        <f t="shared" si="28"/>
        <v>1</v>
      </c>
      <c r="D189" s="806"/>
      <c r="E189" s="50">
        <f t="shared" si="29"/>
        <v>1</v>
      </c>
      <c r="F189" s="806"/>
      <c r="G189" s="50">
        <f t="shared" si="30"/>
        <v>1</v>
      </c>
      <c r="H189" s="806"/>
      <c r="I189" s="50">
        <f t="shared" si="31"/>
        <v>1</v>
      </c>
      <c r="J189" s="806"/>
      <c r="K189" s="50">
        <f t="shared" si="32"/>
        <v>1</v>
      </c>
      <c r="L189" s="806"/>
      <c r="M189" s="50">
        <f t="shared" si="33"/>
        <v>1</v>
      </c>
      <c r="N189" s="806"/>
      <c r="O189" s="50">
        <f t="shared" si="34"/>
        <v>1</v>
      </c>
      <c r="P189" s="806"/>
      <c r="Q189" s="50">
        <f t="shared" si="35"/>
        <v>1</v>
      </c>
      <c r="R189" s="355">
        <f t="shared" si="36"/>
        <v>0</v>
      </c>
      <c r="S189" s="651">
        <f t="shared" si="37"/>
        <v>0</v>
      </c>
    </row>
    <row r="190" spans="1:19">
      <c r="A190" s="808"/>
      <c r="B190" s="129"/>
      <c r="C190" s="50">
        <f t="shared" si="28"/>
        <v>1</v>
      </c>
      <c r="D190" s="806"/>
      <c r="E190" s="50">
        <f t="shared" si="29"/>
        <v>1</v>
      </c>
      <c r="F190" s="806"/>
      <c r="G190" s="50">
        <f t="shared" si="30"/>
        <v>1</v>
      </c>
      <c r="H190" s="806"/>
      <c r="I190" s="50">
        <f t="shared" si="31"/>
        <v>1</v>
      </c>
      <c r="J190" s="806"/>
      <c r="K190" s="50">
        <f t="shared" si="32"/>
        <v>1</v>
      </c>
      <c r="L190" s="806"/>
      <c r="M190" s="50">
        <f t="shared" si="33"/>
        <v>1</v>
      </c>
      <c r="N190" s="806"/>
      <c r="O190" s="50">
        <f t="shared" si="34"/>
        <v>1</v>
      </c>
      <c r="P190" s="806"/>
      <c r="Q190" s="50">
        <f t="shared" si="35"/>
        <v>1</v>
      </c>
      <c r="R190" s="355">
        <f t="shared" si="36"/>
        <v>0</v>
      </c>
      <c r="S190" s="651">
        <f t="shared" si="37"/>
        <v>0</v>
      </c>
    </row>
    <row r="191" spans="1:19">
      <c r="A191" s="808"/>
      <c r="B191" s="129"/>
      <c r="C191" s="50">
        <f t="shared" si="28"/>
        <v>1</v>
      </c>
      <c r="D191" s="806"/>
      <c r="E191" s="50">
        <f t="shared" si="29"/>
        <v>1</v>
      </c>
      <c r="F191" s="806"/>
      <c r="G191" s="50">
        <f t="shared" si="30"/>
        <v>1</v>
      </c>
      <c r="H191" s="806"/>
      <c r="I191" s="50">
        <f t="shared" si="31"/>
        <v>1</v>
      </c>
      <c r="J191" s="806"/>
      <c r="K191" s="50">
        <f t="shared" si="32"/>
        <v>1</v>
      </c>
      <c r="L191" s="806"/>
      <c r="M191" s="50">
        <f t="shared" si="33"/>
        <v>1</v>
      </c>
      <c r="N191" s="806"/>
      <c r="O191" s="50">
        <f t="shared" si="34"/>
        <v>1</v>
      </c>
      <c r="P191" s="806"/>
      <c r="Q191" s="50">
        <f t="shared" si="35"/>
        <v>1</v>
      </c>
      <c r="R191" s="355">
        <f t="shared" si="36"/>
        <v>0</v>
      </c>
      <c r="S191" s="651">
        <f t="shared" si="37"/>
        <v>0</v>
      </c>
    </row>
    <row r="192" spans="1:19">
      <c r="A192" s="808"/>
      <c r="B192" s="129"/>
      <c r="C192" s="50">
        <f t="shared" si="28"/>
        <v>1</v>
      </c>
      <c r="D192" s="806"/>
      <c r="E192" s="50">
        <f t="shared" si="29"/>
        <v>1</v>
      </c>
      <c r="F192" s="806"/>
      <c r="G192" s="50">
        <f t="shared" si="30"/>
        <v>1</v>
      </c>
      <c r="H192" s="806"/>
      <c r="I192" s="50">
        <f t="shared" si="31"/>
        <v>1</v>
      </c>
      <c r="J192" s="806"/>
      <c r="K192" s="50">
        <f t="shared" si="32"/>
        <v>1</v>
      </c>
      <c r="L192" s="806"/>
      <c r="M192" s="50">
        <f t="shared" si="33"/>
        <v>1</v>
      </c>
      <c r="N192" s="806"/>
      <c r="O192" s="50">
        <f t="shared" si="34"/>
        <v>1</v>
      </c>
      <c r="P192" s="806"/>
      <c r="Q192" s="50">
        <f t="shared" si="35"/>
        <v>1</v>
      </c>
      <c r="R192" s="355">
        <f t="shared" si="36"/>
        <v>0</v>
      </c>
      <c r="S192" s="651">
        <f t="shared" si="37"/>
        <v>0</v>
      </c>
    </row>
    <row r="193" spans="1:19">
      <c r="A193" s="808"/>
      <c r="B193" s="129"/>
      <c r="C193" s="50">
        <f t="shared" si="28"/>
        <v>1</v>
      </c>
      <c r="D193" s="806"/>
      <c r="E193" s="50">
        <f t="shared" si="29"/>
        <v>1</v>
      </c>
      <c r="F193" s="806"/>
      <c r="G193" s="50">
        <f t="shared" si="30"/>
        <v>1</v>
      </c>
      <c r="H193" s="806"/>
      <c r="I193" s="50">
        <f t="shared" si="31"/>
        <v>1</v>
      </c>
      <c r="J193" s="806"/>
      <c r="K193" s="50">
        <f t="shared" si="32"/>
        <v>1</v>
      </c>
      <c r="L193" s="806"/>
      <c r="M193" s="50">
        <f t="shared" si="33"/>
        <v>1</v>
      </c>
      <c r="N193" s="806"/>
      <c r="O193" s="50">
        <f t="shared" si="34"/>
        <v>1</v>
      </c>
      <c r="P193" s="806"/>
      <c r="Q193" s="50">
        <f t="shared" si="35"/>
        <v>1</v>
      </c>
      <c r="R193" s="355">
        <f t="shared" si="36"/>
        <v>0</v>
      </c>
      <c r="S193" s="651">
        <f t="shared" si="37"/>
        <v>0</v>
      </c>
    </row>
    <row r="194" spans="1:19">
      <c r="A194" s="808"/>
      <c r="B194" s="129"/>
      <c r="C194" s="50">
        <f t="shared" si="28"/>
        <v>1</v>
      </c>
      <c r="D194" s="806"/>
      <c r="E194" s="50">
        <f t="shared" si="29"/>
        <v>1</v>
      </c>
      <c r="F194" s="806"/>
      <c r="G194" s="50">
        <f t="shared" si="30"/>
        <v>1</v>
      </c>
      <c r="H194" s="806"/>
      <c r="I194" s="50">
        <f t="shared" si="31"/>
        <v>1</v>
      </c>
      <c r="J194" s="806"/>
      <c r="K194" s="50">
        <f t="shared" si="32"/>
        <v>1</v>
      </c>
      <c r="L194" s="806"/>
      <c r="M194" s="50">
        <f t="shared" si="33"/>
        <v>1</v>
      </c>
      <c r="N194" s="806"/>
      <c r="O194" s="50">
        <f t="shared" si="34"/>
        <v>1</v>
      </c>
      <c r="P194" s="806"/>
      <c r="Q194" s="50">
        <f t="shared" si="35"/>
        <v>1</v>
      </c>
      <c r="R194" s="355">
        <f t="shared" si="36"/>
        <v>0</v>
      </c>
      <c r="S194" s="651">
        <f t="shared" si="37"/>
        <v>0</v>
      </c>
    </row>
    <row r="195" spans="1:19">
      <c r="A195" s="808"/>
      <c r="B195" s="129"/>
      <c r="C195" s="50">
        <f t="shared" si="28"/>
        <v>1</v>
      </c>
      <c r="D195" s="806"/>
      <c r="E195" s="50">
        <f t="shared" si="29"/>
        <v>1</v>
      </c>
      <c r="F195" s="806"/>
      <c r="G195" s="50">
        <f t="shared" si="30"/>
        <v>1</v>
      </c>
      <c r="H195" s="806"/>
      <c r="I195" s="50">
        <f t="shared" si="31"/>
        <v>1</v>
      </c>
      <c r="J195" s="806"/>
      <c r="K195" s="50">
        <f t="shared" si="32"/>
        <v>1</v>
      </c>
      <c r="L195" s="806"/>
      <c r="M195" s="50">
        <f t="shared" si="33"/>
        <v>1</v>
      </c>
      <c r="N195" s="806"/>
      <c r="O195" s="50">
        <f t="shared" si="34"/>
        <v>1</v>
      </c>
      <c r="P195" s="806"/>
      <c r="Q195" s="50">
        <f t="shared" si="35"/>
        <v>1</v>
      </c>
      <c r="R195" s="355">
        <f t="shared" si="36"/>
        <v>0</v>
      </c>
      <c r="S195" s="651">
        <f t="shared" si="37"/>
        <v>0</v>
      </c>
    </row>
    <row r="196" spans="1:19">
      <c r="A196" s="808"/>
      <c r="B196" s="129"/>
      <c r="C196" s="50">
        <f t="shared" si="28"/>
        <v>1</v>
      </c>
      <c r="D196" s="806"/>
      <c r="E196" s="50">
        <f t="shared" si="29"/>
        <v>1</v>
      </c>
      <c r="F196" s="806"/>
      <c r="G196" s="50">
        <f t="shared" si="30"/>
        <v>1</v>
      </c>
      <c r="H196" s="806"/>
      <c r="I196" s="50">
        <f t="shared" si="31"/>
        <v>1</v>
      </c>
      <c r="J196" s="806"/>
      <c r="K196" s="50">
        <f t="shared" si="32"/>
        <v>1</v>
      </c>
      <c r="L196" s="806"/>
      <c r="M196" s="50">
        <f t="shared" si="33"/>
        <v>1</v>
      </c>
      <c r="N196" s="806"/>
      <c r="O196" s="50">
        <f t="shared" si="34"/>
        <v>1</v>
      </c>
      <c r="P196" s="806"/>
      <c r="Q196" s="50">
        <f t="shared" si="35"/>
        <v>1</v>
      </c>
      <c r="R196" s="355">
        <f t="shared" si="36"/>
        <v>0</v>
      </c>
      <c r="S196" s="651">
        <f t="shared" si="37"/>
        <v>0</v>
      </c>
    </row>
    <row r="197" spans="1:19">
      <c r="A197" s="808"/>
      <c r="B197" s="129"/>
      <c r="C197" s="50">
        <f t="shared" si="28"/>
        <v>1</v>
      </c>
      <c r="D197" s="806"/>
      <c r="E197" s="50">
        <f t="shared" si="29"/>
        <v>1</v>
      </c>
      <c r="F197" s="806"/>
      <c r="G197" s="50">
        <f t="shared" si="30"/>
        <v>1</v>
      </c>
      <c r="H197" s="806"/>
      <c r="I197" s="50">
        <f t="shared" si="31"/>
        <v>1</v>
      </c>
      <c r="J197" s="806"/>
      <c r="K197" s="50">
        <f t="shared" si="32"/>
        <v>1</v>
      </c>
      <c r="L197" s="806"/>
      <c r="M197" s="50">
        <f t="shared" si="33"/>
        <v>1</v>
      </c>
      <c r="N197" s="806"/>
      <c r="O197" s="50">
        <f t="shared" si="34"/>
        <v>1</v>
      </c>
      <c r="P197" s="806"/>
      <c r="Q197" s="50">
        <f t="shared" si="35"/>
        <v>1</v>
      </c>
      <c r="R197" s="355">
        <f t="shared" si="36"/>
        <v>0</v>
      </c>
      <c r="S197" s="651">
        <f t="shared" si="37"/>
        <v>0</v>
      </c>
    </row>
    <row r="198" spans="1:19">
      <c r="A198" s="808"/>
      <c r="B198" s="129"/>
      <c r="C198" s="50">
        <f t="shared" si="28"/>
        <v>1</v>
      </c>
      <c r="D198" s="806"/>
      <c r="E198" s="50">
        <f t="shared" si="29"/>
        <v>1</v>
      </c>
      <c r="F198" s="806"/>
      <c r="G198" s="50">
        <f t="shared" si="30"/>
        <v>1</v>
      </c>
      <c r="H198" s="806"/>
      <c r="I198" s="50">
        <f t="shared" si="31"/>
        <v>1</v>
      </c>
      <c r="J198" s="806"/>
      <c r="K198" s="50">
        <f t="shared" si="32"/>
        <v>1</v>
      </c>
      <c r="L198" s="806"/>
      <c r="M198" s="50">
        <f t="shared" si="33"/>
        <v>1</v>
      </c>
      <c r="N198" s="806"/>
      <c r="O198" s="50">
        <f t="shared" si="34"/>
        <v>1</v>
      </c>
      <c r="P198" s="806"/>
      <c r="Q198" s="50">
        <f t="shared" si="35"/>
        <v>1</v>
      </c>
      <c r="R198" s="355">
        <f t="shared" si="36"/>
        <v>0</v>
      </c>
      <c r="S198" s="651">
        <f t="shared" si="37"/>
        <v>0</v>
      </c>
    </row>
    <row r="199" spans="1:19">
      <c r="A199" s="808"/>
      <c r="B199" s="129"/>
      <c r="C199" s="50">
        <f t="shared" si="28"/>
        <v>1</v>
      </c>
      <c r="D199" s="806"/>
      <c r="E199" s="50">
        <f t="shared" si="29"/>
        <v>1</v>
      </c>
      <c r="F199" s="806"/>
      <c r="G199" s="50">
        <f t="shared" si="30"/>
        <v>1</v>
      </c>
      <c r="H199" s="806"/>
      <c r="I199" s="50">
        <f t="shared" si="31"/>
        <v>1</v>
      </c>
      <c r="J199" s="806"/>
      <c r="K199" s="50">
        <f t="shared" si="32"/>
        <v>1</v>
      </c>
      <c r="L199" s="806"/>
      <c r="M199" s="50">
        <f t="shared" si="33"/>
        <v>1</v>
      </c>
      <c r="N199" s="806"/>
      <c r="O199" s="50">
        <f t="shared" si="34"/>
        <v>1</v>
      </c>
      <c r="P199" s="806"/>
      <c r="Q199" s="50">
        <f t="shared" si="35"/>
        <v>1</v>
      </c>
      <c r="R199" s="355">
        <f t="shared" si="36"/>
        <v>0</v>
      </c>
      <c r="S199" s="651">
        <f t="shared" si="37"/>
        <v>0</v>
      </c>
    </row>
    <row r="200" spans="1:19">
      <c r="A200" s="808"/>
      <c r="B200" s="129"/>
      <c r="C200" s="50">
        <f t="shared" si="28"/>
        <v>1</v>
      </c>
      <c r="D200" s="806"/>
      <c r="E200" s="50">
        <f t="shared" si="29"/>
        <v>1</v>
      </c>
      <c r="F200" s="806"/>
      <c r="G200" s="50">
        <f t="shared" si="30"/>
        <v>1</v>
      </c>
      <c r="H200" s="806"/>
      <c r="I200" s="50">
        <f t="shared" si="31"/>
        <v>1</v>
      </c>
      <c r="J200" s="806"/>
      <c r="K200" s="50">
        <f t="shared" si="32"/>
        <v>1</v>
      </c>
      <c r="L200" s="806"/>
      <c r="M200" s="50">
        <f t="shared" si="33"/>
        <v>1</v>
      </c>
      <c r="N200" s="806"/>
      <c r="O200" s="50">
        <f t="shared" si="34"/>
        <v>1</v>
      </c>
      <c r="P200" s="806"/>
      <c r="Q200" s="50">
        <f t="shared" si="35"/>
        <v>1</v>
      </c>
      <c r="R200" s="355">
        <f t="shared" si="36"/>
        <v>0</v>
      </c>
      <c r="S200" s="651">
        <f t="shared" si="37"/>
        <v>0</v>
      </c>
    </row>
    <row r="201" spans="1:19">
      <c r="A201" s="808"/>
      <c r="B201" s="129"/>
      <c r="C201" s="50">
        <f t="shared" si="28"/>
        <v>1</v>
      </c>
      <c r="D201" s="806"/>
      <c r="E201" s="50">
        <f t="shared" si="29"/>
        <v>1</v>
      </c>
      <c r="F201" s="806"/>
      <c r="G201" s="50">
        <f t="shared" si="30"/>
        <v>1</v>
      </c>
      <c r="H201" s="806"/>
      <c r="I201" s="50">
        <f t="shared" si="31"/>
        <v>1</v>
      </c>
      <c r="J201" s="806"/>
      <c r="K201" s="50">
        <f t="shared" si="32"/>
        <v>1</v>
      </c>
      <c r="L201" s="806"/>
      <c r="M201" s="50">
        <f t="shared" si="33"/>
        <v>1</v>
      </c>
      <c r="N201" s="806"/>
      <c r="O201" s="50">
        <f t="shared" si="34"/>
        <v>1</v>
      </c>
      <c r="P201" s="806"/>
      <c r="Q201" s="50">
        <f t="shared" si="35"/>
        <v>1</v>
      </c>
      <c r="R201" s="355">
        <f t="shared" si="36"/>
        <v>0</v>
      </c>
      <c r="S201" s="651">
        <f t="shared" si="37"/>
        <v>0</v>
      </c>
    </row>
    <row r="202" spans="1:19">
      <c r="A202" s="808"/>
      <c r="B202" s="129"/>
      <c r="C202" s="50">
        <f t="shared" si="28"/>
        <v>1</v>
      </c>
      <c r="D202" s="806"/>
      <c r="E202" s="50">
        <f t="shared" si="29"/>
        <v>1</v>
      </c>
      <c r="F202" s="806"/>
      <c r="G202" s="50">
        <f t="shared" si="30"/>
        <v>1</v>
      </c>
      <c r="H202" s="806"/>
      <c r="I202" s="50">
        <f t="shared" si="31"/>
        <v>1</v>
      </c>
      <c r="J202" s="806"/>
      <c r="K202" s="50">
        <f t="shared" si="32"/>
        <v>1</v>
      </c>
      <c r="L202" s="806"/>
      <c r="M202" s="50">
        <f t="shared" si="33"/>
        <v>1</v>
      </c>
      <c r="N202" s="806"/>
      <c r="O202" s="50">
        <f t="shared" si="34"/>
        <v>1</v>
      </c>
      <c r="P202" s="806"/>
      <c r="Q202" s="50">
        <f t="shared" si="35"/>
        <v>1</v>
      </c>
      <c r="R202" s="355">
        <f t="shared" si="36"/>
        <v>0</v>
      </c>
      <c r="S202" s="651">
        <f t="shared" si="37"/>
        <v>0</v>
      </c>
    </row>
    <row r="203" spans="1:19">
      <c r="A203" s="808"/>
      <c r="B203" s="129"/>
      <c r="C203" s="50">
        <f t="shared" si="28"/>
        <v>1</v>
      </c>
      <c r="D203" s="806"/>
      <c r="E203" s="50">
        <f t="shared" si="29"/>
        <v>1</v>
      </c>
      <c r="F203" s="806"/>
      <c r="G203" s="50">
        <f t="shared" si="30"/>
        <v>1</v>
      </c>
      <c r="H203" s="806"/>
      <c r="I203" s="50">
        <f t="shared" si="31"/>
        <v>1</v>
      </c>
      <c r="J203" s="806"/>
      <c r="K203" s="50">
        <f t="shared" si="32"/>
        <v>1</v>
      </c>
      <c r="L203" s="806"/>
      <c r="M203" s="50">
        <f t="shared" si="33"/>
        <v>1</v>
      </c>
      <c r="N203" s="806"/>
      <c r="O203" s="50">
        <f t="shared" si="34"/>
        <v>1</v>
      </c>
      <c r="P203" s="806"/>
      <c r="Q203" s="50">
        <f t="shared" si="35"/>
        <v>1</v>
      </c>
      <c r="R203" s="355">
        <f t="shared" si="36"/>
        <v>0</v>
      </c>
      <c r="S203" s="651">
        <f t="shared" si="37"/>
        <v>0</v>
      </c>
    </row>
    <row r="204" spans="1:19">
      <c r="A204" s="808"/>
      <c r="B204" s="129"/>
      <c r="C204" s="50">
        <f t="shared" si="28"/>
        <v>1</v>
      </c>
      <c r="D204" s="806"/>
      <c r="E204" s="50">
        <f t="shared" si="29"/>
        <v>1</v>
      </c>
      <c r="F204" s="806"/>
      <c r="G204" s="50">
        <f t="shared" si="30"/>
        <v>1</v>
      </c>
      <c r="H204" s="806"/>
      <c r="I204" s="50">
        <f t="shared" si="31"/>
        <v>1</v>
      </c>
      <c r="J204" s="806"/>
      <c r="K204" s="50">
        <f t="shared" si="32"/>
        <v>1</v>
      </c>
      <c r="L204" s="806"/>
      <c r="M204" s="50">
        <f t="shared" si="33"/>
        <v>1</v>
      </c>
      <c r="N204" s="806"/>
      <c r="O204" s="50">
        <f t="shared" si="34"/>
        <v>1</v>
      </c>
      <c r="P204" s="806"/>
      <c r="Q204" s="50">
        <f t="shared" si="35"/>
        <v>1</v>
      </c>
      <c r="R204" s="355">
        <f t="shared" si="36"/>
        <v>0</v>
      </c>
      <c r="S204" s="651">
        <f t="shared" si="37"/>
        <v>0</v>
      </c>
    </row>
    <row r="205" spans="1:19">
      <c r="A205" s="808"/>
      <c r="B205" s="129"/>
      <c r="C205" s="50">
        <f t="shared" si="28"/>
        <v>1</v>
      </c>
      <c r="D205" s="806"/>
      <c r="E205" s="50">
        <f t="shared" si="29"/>
        <v>1</v>
      </c>
      <c r="F205" s="806"/>
      <c r="G205" s="50">
        <f t="shared" si="30"/>
        <v>1</v>
      </c>
      <c r="H205" s="806"/>
      <c r="I205" s="50">
        <f t="shared" si="31"/>
        <v>1</v>
      </c>
      <c r="J205" s="806"/>
      <c r="K205" s="50">
        <f t="shared" si="32"/>
        <v>1</v>
      </c>
      <c r="L205" s="806"/>
      <c r="M205" s="50">
        <f t="shared" si="33"/>
        <v>1</v>
      </c>
      <c r="N205" s="806"/>
      <c r="O205" s="50">
        <f t="shared" si="34"/>
        <v>1</v>
      </c>
      <c r="P205" s="806"/>
      <c r="Q205" s="50">
        <f t="shared" si="35"/>
        <v>1</v>
      </c>
      <c r="R205" s="355">
        <f t="shared" si="36"/>
        <v>0</v>
      </c>
      <c r="S205" s="651">
        <f t="shared" si="37"/>
        <v>0</v>
      </c>
    </row>
    <row r="206" spans="1:19">
      <c r="A206" s="808"/>
      <c r="B206" s="129"/>
      <c r="C206" s="50">
        <f t="shared" si="28"/>
        <v>1</v>
      </c>
      <c r="D206" s="806"/>
      <c r="E206" s="50">
        <f t="shared" si="29"/>
        <v>1</v>
      </c>
      <c r="F206" s="806"/>
      <c r="G206" s="50">
        <f t="shared" si="30"/>
        <v>1</v>
      </c>
      <c r="H206" s="806"/>
      <c r="I206" s="50">
        <f t="shared" si="31"/>
        <v>1</v>
      </c>
      <c r="J206" s="806"/>
      <c r="K206" s="50">
        <f t="shared" si="32"/>
        <v>1</v>
      </c>
      <c r="L206" s="806"/>
      <c r="M206" s="50">
        <f t="shared" si="33"/>
        <v>1</v>
      </c>
      <c r="N206" s="806"/>
      <c r="O206" s="50">
        <f t="shared" si="34"/>
        <v>1</v>
      </c>
      <c r="P206" s="806"/>
      <c r="Q206" s="50">
        <f t="shared" si="35"/>
        <v>1</v>
      </c>
      <c r="R206" s="355">
        <f t="shared" si="36"/>
        <v>0</v>
      </c>
      <c r="S206" s="651">
        <f t="shared" si="37"/>
        <v>0</v>
      </c>
    </row>
    <row r="207" spans="1:19">
      <c r="A207" s="808"/>
      <c r="B207" s="129"/>
      <c r="C207" s="50">
        <f t="shared" si="28"/>
        <v>1</v>
      </c>
      <c r="D207" s="806"/>
      <c r="E207" s="50">
        <f t="shared" si="29"/>
        <v>1</v>
      </c>
      <c r="F207" s="806"/>
      <c r="G207" s="50">
        <f t="shared" si="30"/>
        <v>1</v>
      </c>
      <c r="H207" s="806"/>
      <c r="I207" s="50">
        <f t="shared" si="31"/>
        <v>1</v>
      </c>
      <c r="J207" s="806"/>
      <c r="K207" s="50">
        <f t="shared" si="32"/>
        <v>1</v>
      </c>
      <c r="L207" s="806"/>
      <c r="M207" s="50">
        <f t="shared" si="33"/>
        <v>1</v>
      </c>
      <c r="N207" s="806"/>
      <c r="O207" s="50">
        <f t="shared" si="34"/>
        <v>1</v>
      </c>
      <c r="P207" s="806"/>
      <c r="Q207" s="50">
        <f t="shared" si="35"/>
        <v>1</v>
      </c>
      <c r="R207" s="355">
        <f t="shared" si="36"/>
        <v>0</v>
      </c>
      <c r="S207" s="651">
        <f t="shared" si="37"/>
        <v>0</v>
      </c>
    </row>
    <row r="208" spans="1:19">
      <c r="A208" s="808"/>
      <c r="B208" s="129"/>
      <c r="C208" s="50">
        <f t="shared" si="28"/>
        <v>1</v>
      </c>
      <c r="D208" s="806"/>
      <c r="E208" s="50">
        <f t="shared" si="29"/>
        <v>1</v>
      </c>
      <c r="F208" s="806"/>
      <c r="G208" s="50">
        <f t="shared" si="30"/>
        <v>1</v>
      </c>
      <c r="H208" s="806"/>
      <c r="I208" s="50">
        <f t="shared" si="31"/>
        <v>1</v>
      </c>
      <c r="J208" s="806"/>
      <c r="K208" s="50">
        <f t="shared" si="32"/>
        <v>1</v>
      </c>
      <c r="L208" s="806"/>
      <c r="M208" s="50">
        <f t="shared" si="33"/>
        <v>1</v>
      </c>
      <c r="N208" s="806"/>
      <c r="O208" s="50">
        <f t="shared" si="34"/>
        <v>1</v>
      </c>
      <c r="P208" s="806"/>
      <c r="Q208" s="50">
        <f t="shared" si="35"/>
        <v>1</v>
      </c>
      <c r="R208" s="355">
        <f t="shared" si="36"/>
        <v>0</v>
      </c>
      <c r="S208" s="651">
        <f t="shared" si="37"/>
        <v>0</v>
      </c>
    </row>
    <row r="209" spans="1:19">
      <c r="A209" s="808"/>
      <c r="B209" s="129"/>
      <c r="C209" s="50">
        <f t="shared" si="28"/>
        <v>1</v>
      </c>
      <c r="D209" s="806"/>
      <c r="E209" s="50">
        <f t="shared" si="29"/>
        <v>1</v>
      </c>
      <c r="F209" s="806"/>
      <c r="G209" s="50">
        <f t="shared" si="30"/>
        <v>1</v>
      </c>
      <c r="H209" s="806"/>
      <c r="I209" s="50">
        <f t="shared" si="31"/>
        <v>1</v>
      </c>
      <c r="J209" s="806"/>
      <c r="K209" s="50">
        <f t="shared" si="32"/>
        <v>1</v>
      </c>
      <c r="L209" s="806"/>
      <c r="M209" s="50">
        <f t="shared" si="33"/>
        <v>1</v>
      </c>
      <c r="N209" s="806"/>
      <c r="O209" s="50">
        <f t="shared" si="34"/>
        <v>1</v>
      </c>
      <c r="P209" s="806"/>
      <c r="Q209" s="50">
        <f t="shared" si="35"/>
        <v>1</v>
      </c>
      <c r="R209" s="355">
        <f t="shared" si="36"/>
        <v>0</v>
      </c>
      <c r="S209" s="651">
        <f t="shared" si="37"/>
        <v>0</v>
      </c>
    </row>
    <row r="210" spans="1:19">
      <c r="A210" s="808"/>
      <c r="B210" s="129"/>
      <c r="C210" s="50">
        <f t="shared" si="28"/>
        <v>1</v>
      </c>
      <c r="D210" s="806"/>
      <c r="E210" s="50">
        <f t="shared" si="29"/>
        <v>1</v>
      </c>
      <c r="F210" s="806"/>
      <c r="G210" s="50">
        <f t="shared" si="30"/>
        <v>1</v>
      </c>
      <c r="H210" s="806"/>
      <c r="I210" s="50">
        <f t="shared" si="31"/>
        <v>1</v>
      </c>
      <c r="J210" s="806"/>
      <c r="K210" s="50">
        <f t="shared" si="32"/>
        <v>1</v>
      </c>
      <c r="L210" s="806"/>
      <c r="M210" s="50">
        <f t="shared" si="33"/>
        <v>1</v>
      </c>
      <c r="N210" s="806"/>
      <c r="O210" s="50">
        <f t="shared" si="34"/>
        <v>1</v>
      </c>
      <c r="P210" s="806"/>
      <c r="Q210" s="50">
        <f t="shared" si="35"/>
        <v>1</v>
      </c>
      <c r="R210" s="355">
        <f t="shared" si="36"/>
        <v>0</v>
      </c>
      <c r="S210" s="651">
        <f t="shared" si="37"/>
        <v>0</v>
      </c>
    </row>
    <row r="211" spans="1:19">
      <c r="A211" s="808"/>
      <c r="B211" s="129"/>
      <c r="C211" s="50">
        <f t="shared" si="28"/>
        <v>1</v>
      </c>
      <c r="D211" s="806"/>
      <c r="E211" s="50">
        <f t="shared" si="29"/>
        <v>1</v>
      </c>
      <c r="F211" s="806"/>
      <c r="G211" s="50">
        <f t="shared" si="30"/>
        <v>1</v>
      </c>
      <c r="H211" s="806"/>
      <c r="I211" s="50">
        <f t="shared" si="31"/>
        <v>1</v>
      </c>
      <c r="J211" s="806"/>
      <c r="K211" s="50">
        <f t="shared" si="32"/>
        <v>1</v>
      </c>
      <c r="L211" s="806"/>
      <c r="M211" s="50">
        <f t="shared" si="33"/>
        <v>1</v>
      </c>
      <c r="N211" s="806"/>
      <c r="O211" s="50">
        <f t="shared" si="34"/>
        <v>1</v>
      </c>
      <c r="P211" s="806"/>
      <c r="Q211" s="50">
        <f t="shared" si="35"/>
        <v>1</v>
      </c>
      <c r="R211" s="355">
        <f t="shared" si="36"/>
        <v>0</v>
      </c>
      <c r="S211" s="651">
        <f t="shared" si="37"/>
        <v>0</v>
      </c>
    </row>
    <row r="212" spans="1:19">
      <c r="A212" s="808"/>
      <c r="B212" s="129"/>
      <c r="C212" s="50">
        <f t="shared" si="28"/>
        <v>1</v>
      </c>
      <c r="D212" s="806"/>
      <c r="E212" s="50">
        <f t="shared" si="29"/>
        <v>1</v>
      </c>
      <c r="F212" s="806"/>
      <c r="G212" s="50">
        <f t="shared" si="30"/>
        <v>1</v>
      </c>
      <c r="H212" s="806"/>
      <c r="I212" s="50">
        <f t="shared" si="31"/>
        <v>1</v>
      </c>
      <c r="J212" s="806"/>
      <c r="K212" s="50">
        <f t="shared" si="32"/>
        <v>1</v>
      </c>
      <c r="L212" s="806"/>
      <c r="M212" s="50">
        <f t="shared" si="33"/>
        <v>1</v>
      </c>
      <c r="N212" s="806"/>
      <c r="O212" s="50">
        <f t="shared" si="34"/>
        <v>1</v>
      </c>
      <c r="P212" s="806"/>
      <c r="Q212" s="50">
        <f t="shared" si="35"/>
        <v>1</v>
      </c>
      <c r="R212" s="355">
        <f t="shared" si="36"/>
        <v>0</v>
      </c>
      <c r="S212" s="651">
        <f t="shared" si="37"/>
        <v>0</v>
      </c>
    </row>
    <row r="213" spans="1:19">
      <c r="A213" s="808"/>
      <c r="B213" s="129"/>
      <c r="C213" s="50">
        <f t="shared" si="28"/>
        <v>1</v>
      </c>
      <c r="D213" s="806"/>
      <c r="E213" s="50">
        <f t="shared" si="29"/>
        <v>1</v>
      </c>
      <c r="F213" s="806"/>
      <c r="G213" s="50">
        <f t="shared" si="30"/>
        <v>1</v>
      </c>
      <c r="H213" s="806"/>
      <c r="I213" s="50">
        <f t="shared" si="31"/>
        <v>1</v>
      </c>
      <c r="J213" s="806"/>
      <c r="K213" s="50">
        <f t="shared" si="32"/>
        <v>1</v>
      </c>
      <c r="L213" s="806"/>
      <c r="M213" s="50">
        <f t="shared" si="33"/>
        <v>1</v>
      </c>
      <c r="N213" s="806"/>
      <c r="O213" s="50">
        <f t="shared" si="34"/>
        <v>1</v>
      </c>
      <c r="P213" s="806"/>
      <c r="Q213" s="50">
        <f t="shared" si="35"/>
        <v>1</v>
      </c>
      <c r="R213" s="355">
        <f t="shared" si="36"/>
        <v>0</v>
      </c>
      <c r="S213" s="651">
        <f t="shared" si="37"/>
        <v>0</v>
      </c>
    </row>
    <row r="214" spans="1:19">
      <c r="A214" s="808"/>
      <c r="B214" s="129"/>
      <c r="C214" s="50">
        <f t="shared" si="28"/>
        <v>1</v>
      </c>
      <c r="D214" s="806"/>
      <c r="E214" s="50">
        <f t="shared" si="29"/>
        <v>1</v>
      </c>
      <c r="F214" s="806"/>
      <c r="G214" s="50">
        <f t="shared" si="30"/>
        <v>1</v>
      </c>
      <c r="H214" s="806"/>
      <c r="I214" s="50">
        <f t="shared" si="31"/>
        <v>1</v>
      </c>
      <c r="J214" s="806"/>
      <c r="K214" s="50">
        <f t="shared" si="32"/>
        <v>1</v>
      </c>
      <c r="L214" s="806"/>
      <c r="M214" s="50">
        <f t="shared" si="33"/>
        <v>1</v>
      </c>
      <c r="N214" s="806"/>
      <c r="O214" s="50">
        <f t="shared" si="34"/>
        <v>1</v>
      </c>
      <c r="P214" s="806"/>
      <c r="Q214" s="50">
        <f t="shared" si="35"/>
        <v>1</v>
      </c>
      <c r="R214" s="355">
        <f t="shared" si="36"/>
        <v>0</v>
      </c>
      <c r="S214" s="651">
        <f t="shared" si="37"/>
        <v>0</v>
      </c>
    </row>
    <row r="215" spans="1:19">
      <c r="A215" s="808"/>
      <c r="B215" s="129"/>
      <c r="C215" s="50">
        <f t="shared" si="28"/>
        <v>1</v>
      </c>
      <c r="D215" s="806"/>
      <c r="E215" s="50">
        <f t="shared" si="29"/>
        <v>1</v>
      </c>
      <c r="F215" s="806"/>
      <c r="G215" s="50">
        <f t="shared" si="30"/>
        <v>1</v>
      </c>
      <c r="H215" s="806"/>
      <c r="I215" s="50">
        <f t="shared" si="31"/>
        <v>1</v>
      </c>
      <c r="J215" s="806"/>
      <c r="K215" s="50">
        <f t="shared" si="32"/>
        <v>1</v>
      </c>
      <c r="L215" s="806"/>
      <c r="M215" s="50">
        <f t="shared" si="33"/>
        <v>1</v>
      </c>
      <c r="N215" s="806"/>
      <c r="O215" s="50">
        <f t="shared" si="34"/>
        <v>1</v>
      </c>
      <c r="P215" s="806"/>
      <c r="Q215" s="50">
        <f t="shared" si="35"/>
        <v>1</v>
      </c>
      <c r="R215" s="355">
        <f t="shared" si="36"/>
        <v>0</v>
      </c>
      <c r="S215" s="651">
        <f t="shared" si="37"/>
        <v>0</v>
      </c>
    </row>
    <row r="216" spans="1:19">
      <c r="A216" s="808"/>
      <c r="B216" s="129"/>
      <c r="C216" s="50">
        <f t="shared" si="28"/>
        <v>1</v>
      </c>
      <c r="D216" s="806"/>
      <c r="E216" s="50">
        <f t="shared" si="29"/>
        <v>1</v>
      </c>
      <c r="F216" s="806"/>
      <c r="G216" s="50">
        <f t="shared" si="30"/>
        <v>1</v>
      </c>
      <c r="H216" s="806"/>
      <c r="I216" s="50">
        <f t="shared" si="31"/>
        <v>1</v>
      </c>
      <c r="J216" s="806"/>
      <c r="K216" s="50">
        <f t="shared" si="32"/>
        <v>1</v>
      </c>
      <c r="L216" s="806"/>
      <c r="M216" s="50">
        <f t="shared" si="33"/>
        <v>1</v>
      </c>
      <c r="N216" s="806"/>
      <c r="O216" s="50">
        <f t="shared" si="34"/>
        <v>1</v>
      </c>
      <c r="P216" s="806"/>
      <c r="Q216" s="50">
        <f t="shared" si="35"/>
        <v>1</v>
      </c>
      <c r="R216" s="355">
        <f t="shared" si="36"/>
        <v>0</v>
      </c>
      <c r="S216" s="651">
        <f t="shared" si="37"/>
        <v>0</v>
      </c>
    </row>
    <row r="217" spans="1:19">
      <c r="A217" s="808"/>
      <c r="B217" s="129"/>
      <c r="C217" s="50">
        <f t="shared" si="28"/>
        <v>1</v>
      </c>
      <c r="D217" s="806"/>
      <c r="E217" s="50">
        <f t="shared" si="29"/>
        <v>1</v>
      </c>
      <c r="F217" s="806"/>
      <c r="G217" s="50">
        <f t="shared" si="30"/>
        <v>1</v>
      </c>
      <c r="H217" s="806"/>
      <c r="I217" s="50">
        <f t="shared" si="31"/>
        <v>1</v>
      </c>
      <c r="J217" s="806"/>
      <c r="K217" s="50">
        <f t="shared" si="32"/>
        <v>1</v>
      </c>
      <c r="L217" s="806"/>
      <c r="M217" s="50">
        <f t="shared" si="33"/>
        <v>1</v>
      </c>
      <c r="N217" s="806"/>
      <c r="O217" s="50">
        <f t="shared" si="34"/>
        <v>1</v>
      </c>
      <c r="P217" s="806"/>
      <c r="Q217" s="50">
        <f t="shared" si="35"/>
        <v>1</v>
      </c>
      <c r="R217" s="355">
        <f t="shared" si="36"/>
        <v>0</v>
      </c>
      <c r="S217" s="651">
        <f t="shared" si="37"/>
        <v>0</v>
      </c>
    </row>
    <row r="218" spans="1:19">
      <c r="A218" s="808"/>
      <c r="B218" s="129"/>
      <c r="C218" s="50">
        <f t="shared" ref="C218:C281" si="38">IF(B218="",1,(LOOKUP(B218,$3:$3,$4:$4)-LOOKUP($B$24,$3:$3,$4:$4)+100)/100)</f>
        <v>1</v>
      </c>
      <c r="D218" s="806"/>
      <c r="E218" s="50">
        <f t="shared" ref="E218:E281" si="39">(SUMIF($5:$5,D218,$6:$6)-SUMIF($5:$5,$D$24,$6:$6)+100)/100</f>
        <v>1</v>
      </c>
      <c r="F218" s="806"/>
      <c r="G218" s="50">
        <f t="shared" ref="G218:G281" si="40">(SUMIF($7:$7,F218,$8:$8)-SUMIF($7:$7,$F$24,$8:$8)+100)/100</f>
        <v>1</v>
      </c>
      <c r="H218" s="806"/>
      <c r="I218" s="50">
        <f t="shared" ref="I218:I281" si="41">(SUMIF($9:$9,H218,$10:$10)-SUMIF($9:$9,$H$24,$10:$10)+100)/100</f>
        <v>1</v>
      </c>
      <c r="J218" s="806"/>
      <c r="K218" s="50">
        <f t="shared" ref="K218:K281" si="42">(SUMIF($11:$11,J218,$12:$12)-SUMIF($11:$11,$J$24,$12:$12)+100)/100</f>
        <v>1</v>
      </c>
      <c r="L218" s="806"/>
      <c r="M218" s="50">
        <f t="shared" ref="M218:M281" si="43">(SUMIF($13:$13,L218,$14:$14)-SUMIF($13:$13,$L$24,$14:$14)+100)/100</f>
        <v>1</v>
      </c>
      <c r="N218" s="806"/>
      <c r="O218" s="50">
        <f t="shared" ref="O218:O281" si="44">(SUMIF($15:$15,N218,$16:$16)-SUMIF($15:$15,$N$24,$16:$16)+100)/100</f>
        <v>1</v>
      </c>
      <c r="P218" s="806"/>
      <c r="Q218" s="50">
        <f t="shared" ref="Q218:Q281" si="45">(SUMIF($17:$17,P218,$18:$18)-SUMIF($17:$17,$P$24,$18:$18)+100)/100</f>
        <v>1</v>
      </c>
      <c r="R218" s="355">
        <f t="shared" ref="R218:R281" si="46">IF(B218="",0,ROUND($R$24*C218*E218*G218*I218*K218*M218*O218*Q218,0))</f>
        <v>0</v>
      </c>
      <c r="S218" s="651">
        <f t="shared" si="37"/>
        <v>0</v>
      </c>
    </row>
    <row r="219" spans="1:19">
      <c r="A219" s="808"/>
      <c r="B219" s="129"/>
      <c r="C219" s="50">
        <f t="shared" si="38"/>
        <v>1</v>
      </c>
      <c r="D219" s="806"/>
      <c r="E219" s="50">
        <f t="shared" si="39"/>
        <v>1</v>
      </c>
      <c r="F219" s="806"/>
      <c r="G219" s="50">
        <f t="shared" si="40"/>
        <v>1</v>
      </c>
      <c r="H219" s="806"/>
      <c r="I219" s="50">
        <f t="shared" si="41"/>
        <v>1</v>
      </c>
      <c r="J219" s="806"/>
      <c r="K219" s="50">
        <f t="shared" si="42"/>
        <v>1</v>
      </c>
      <c r="L219" s="806"/>
      <c r="M219" s="50">
        <f t="shared" si="43"/>
        <v>1</v>
      </c>
      <c r="N219" s="806"/>
      <c r="O219" s="50">
        <f t="shared" si="44"/>
        <v>1</v>
      </c>
      <c r="P219" s="806"/>
      <c r="Q219" s="50">
        <f t="shared" si="45"/>
        <v>1</v>
      </c>
      <c r="R219" s="355">
        <f t="shared" si="46"/>
        <v>0</v>
      </c>
      <c r="S219" s="651">
        <f t="shared" si="37"/>
        <v>0</v>
      </c>
    </row>
    <row r="220" spans="1:19">
      <c r="A220" s="808"/>
      <c r="B220" s="129"/>
      <c r="C220" s="50">
        <f t="shared" si="38"/>
        <v>1</v>
      </c>
      <c r="D220" s="806"/>
      <c r="E220" s="50">
        <f t="shared" si="39"/>
        <v>1</v>
      </c>
      <c r="F220" s="806"/>
      <c r="G220" s="50">
        <f t="shared" si="40"/>
        <v>1</v>
      </c>
      <c r="H220" s="806"/>
      <c r="I220" s="50">
        <f t="shared" si="41"/>
        <v>1</v>
      </c>
      <c r="J220" s="806"/>
      <c r="K220" s="50">
        <f t="shared" si="42"/>
        <v>1</v>
      </c>
      <c r="L220" s="806"/>
      <c r="M220" s="50">
        <f t="shared" si="43"/>
        <v>1</v>
      </c>
      <c r="N220" s="806"/>
      <c r="O220" s="50">
        <f t="shared" si="44"/>
        <v>1</v>
      </c>
      <c r="P220" s="806"/>
      <c r="Q220" s="50">
        <f t="shared" si="45"/>
        <v>1</v>
      </c>
      <c r="R220" s="355">
        <f t="shared" si="46"/>
        <v>0</v>
      </c>
      <c r="S220" s="651">
        <f t="shared" si="37"/>
        <v>0</v>
      </c>
    </row>
    <row r="221" spans="1:19">
      <c r="A221" s="808"/>
      <c r="B221" s="129"/>
      <c r="C221" s="50">
        <f t="shared" si="38"/>
        <v>1</v>
      </c>
      <c r="D221" s="806"/>
      <c r="E221" s="50">
        <f t="shared" si="39"/>
        <v>1</v>
      </c>
      <c r="F221" s="806"/>
      <c r="G221" s="50">
        <f t="shared" si="40"/>
        <v>1</v>
      </c>
      <c r="H221" s="806"/>
      <c r="I221" s="50">
        <f t="shared" si="41"/>
        <v>1</v>
      </c>
      <c r="J221" s="806"/>
      <c r="K221" s="50">
        <f t="shared" si="42"/>
        <v>1</v>
      </c>
      <c r="L221" s="806"/>
      <c r="M221" s="50">
        <f t="shared" si="43"/>
        <v>1</v>
      </c>
      <c r="N221" s="806"/>
      <c r="O221" s="50">
        <f t="shared" si="44"/>
        <v>1</v>
      </c>
      <c r="P221" s="806"/>
      <c r="Q221" s="50">
        <f t="shared" si="45"/>
        <v>1</v>
      </c>
      <c r="R221" s="355">
        <f t="shared" si="46"/>
        <v>0</v>
      </c>
      <c r="S221" s="651">
        <f t="shared" si="37"/>
        <v>0</v>
      </c>
    </row>
    <row r="222" spans="1:19">
      <c r="A222" s="808"/>
      <c r="B222" s="129"/>
      <c r="C222" s="50">
        <f t="shared" si="38"/>
        <v>1</v>
      </c>
      <c r="D222" s="806"/>
      <c r="E222" s="50">
        <f t="shared" si="39"/>
        <v>1</v>
      </c>
      <c r="F222" s="806"/>
      <c r="G222" s="50">
        <f t="shared" si="40"/>
        <v>1</v>
      </c>
      <c r="H222" s="806"/>
      <c r="I222" s="50">
        <f t="shared" si="41"/>
        <v>1</v>
      </c>
      <c r="J222" s="806"/>
      <c r="K222" s="50">
        <f t="shared" si="42"/>
        <v>1</v>
      </c>
      <c r="L222" s="806"/>
      <c r="M222" s="50">
        <f t="shared" si="43"/>
        <v>1</v>
      </c>
      <c r="N222" s="806"/>
      <c r="O222" s="50">
        <f t="shared" si="44"/>
        <v>1</v>
      </c>
      <c r="P222" s="806"/>
      <c r="Q222" s="50">
        <f t="shared" si="45"/>
        <v>1</v>
      </c>
      <c r="R222" s="355">
        <f t="shared" si="46"/>
        <v>0</v>
      </c>
      <c r="S222" s="651">
        <f t="shared" si="37"/>
        <v>0</v>
      </c>
    </row>
    <row r="223" spans="1:19">
      <c r="A223" s="808"/>
      <c r="B223" s="129"/>
      <c r="C223" s="50">
        <f t="shared" si="38"/>
        <v>1</v>
      </c>
      <c r="D223" s="806"/>
      <c r="E223" s="50">
        <f t="shared" si="39"/>
        <v>1</v>
      </c>
      <c r="F223" s="806"/>
      <c r="G223" s="50">
        <f t="shared" si="40"/>
        <v>1</v>
      </c>
      <c r="H223" s="806"/>
      <c r="I223" s="50">
        <f t="shared" si="41"/>
        <v>1</v>
      </c>
      <c r="J223" s="806"/>
      <c r="K223" s="50">
        <f t="shared" si="42"/>
        <v>1</v>
      </c>
      <c r="L223" s="806"/>
      <c r="M223" s="50">
        <f t="shared" si="43"/>
        <v>1</v>
      </c>
      <c r="N223" s="806"/>
      <c r="O223" s="50">
        <f t="shared" si="44"/>
        <v>1</v>
      </c>
      <c r="P223" s="806"/>
      <c r="Q223" s="50">
        <f t="shared" si="45"/>
        <v>1</v>
      </c>
      <c r="R223" s="355">
        <f t="shared" si="46"/>
        <v>0</v>
      </c>
      <c r="S223" s="651">
        <f t="shared" ref="S223:S286" si="47">ROUND(R223*B223/10000,0)</f>
        <v>0</v>
      </c>
    </row>
    <row r="224" spans="1:19">
      <c r="A224" s="808"/>
      <c r="B224" s="129"/>
      <c r="C224" s="50">
        <f t="shared" si="38"/>
        <v>1</v>
      </c>
      <c r="D224" s="806"/>
      <c r="E224" s="50">
        <f t="shared" si="39"/>
        <v>1</v>
      </c>
      <c r="F224" s="806"/>
      <c r="G224" s="50">
        <f t="shared" si="40"/>
        <v>1</v>
      </c>
      <c r="H224" s="806"/>
      <c r="I224" s="50">
        <f t="shared" si="41"/>
        <v>1</v>
      </c>
      <c r="J224" s="806"/>
      <c r="K224" s="50">
        <f t="shared" si="42"/>
        <v>1</v>
      </c>
      <c r="L224" s="806"/>
      <c r="M224" s="50">
        <f t="shared" si="43"/>
        <v>1</v>
      </c>
      <c r="N224" s="806"/>
      <c r="O224" s="50">
        <f t="shared" si="44"/>
        <v>1</v>
      </c>
      <c r="P224" s="806"/>
      <c r="Q224" s="50">
        <f t="shared" si="45"/>
        <v>1</v>
      </c>
      <c r="R224" s="355">
        <f t="shared" si="46"/>
        <v>0</v>
      </c>
      <c r="S224" s="651">
        <f t="shared" si="47"/>
        <v>0</v>
      </c>
    </row>
    <row r="225" spans="1:19">
      <c r="A225" s="808"/>
      <c r="B225" s="129"/>
      <c r="C225" s="50">
        <f t="shared" si="38"/>
        <v>1</v>
      </c>
      <c r="D225" s="806"/>
      <c r="E225" s="50">
        <f t="shared" si="39"/>
        <v>1</v>
      </c>
      <c r="F225" s="806"/>
      <c r="G225" s="50">
        <f t="shared" si="40"/>
        <v>1</v>
      </c>
      <c r="H225" s="806"/>
      <c r="I225" s="50">
        <f t="shared" si="41"/>
        <v>1</v>
      </c>
      <c r="J225" s="806"/>
      <c r="K225" s="50">
        <f t="shared" si="42"/>
        <v>1</v>
      </c>
      <c r="L225" s="806"/>
      <c r="M225" s="50">
        <f t="shared" si="43"/>
        <v>1</v>
      </c>
      <c r="N225" s="806"/>
      <c r="O225" s="50">
        <f t="shared" si="44"/>
        <v>1</v>
      </c>
      <c r="P225" s="806"/>
      <c r="Q225" s="50">
        <f t="shared" si="45"/>
        <v>1</v>
      </c>
      <c r="R225" s="355">
        <f t="shared" si="46"/>
        <v>0</v>
      </c>
      <c r="S225" s="651">
        <f t="shared" si="47"/>
        <v>0</v>
      </c>
    </row>
    <row r="226" spans="1:19">
      <c r="A226" s="808"/>
      <c r="B226" s="129"/>
      <c r="C226" s="50">
        <f t="shared" si="38"/>
        <v>1</v>
      </c>
      <c r="D226" s="806"/>
      <c r="E226" s="50">
        <f t="shared" si="39"/>
        <v>1</v>
      </c>
      <c r="F226" s="806"/>
      <c r="G226" s="50">
        <f t="shared" si="40"/>
        <v>1</v>
      </c>
      <c r="H226" s="806"/>
      <c r="I226" s="50">
        <f t="shared" si="41"/>
        <v>1</v>
      </c>
      <c r="J226" s="806"/>
      <c r="K226" s="50">
        <f t="shared" si="42"/>
        <v>1</v>
      </c>
      <c r="L226" s="806"/>
      <c r="M226" s="50">
        <f t="shared" si="43"/>
        <v>1</v>
      </c>
      <c r="N226" s="806"/>
      <c r="O226" s="50">
        <f t="shared" si="44"/>
        <v>1</v>
      </c>
      <c r="P226" s="806"/>
      <c r="Q226" s="50">
        <f t="shared" si="45"/>
        <v>1</v>
      </c>
      <c r="R226" s="355">
        <f t="shared" si="46"/>
        <v>0</v>
      </c>
      <c r="S226" s="651">
        <f t="shared" si="47"/>
        <v>0</v>
      </c>
    </row>
    <row r="227" spans="1:19">
      <c r="A227" s="808"/>
      <c r="B227" s="129"/>
      <c r="C227" s="50">
        <f t="shared" si="38"/>
        <v>1</v>
      </c>
      <c r="D227" s="806"/>
      <c r="E227" s="50">
        <f t="shared" si="39"/>
        <v>1</v>
      </c>
      <c r="F227" s="806"/>
      <c r="G227" s="50">
        <f t="shared" si="40"/>
        <v>1</v>
      </c>
      <c r="H227" s="806"/>
      <c r="I227" s="50">
        <f t="shared" si="41"/>
        <v>1</v>
      </c>
      <c r="J227" s="806"/>
      <c r="K227" s="50">
        <f t="shared" si="42"/>
        <v>1</v>
      </c>
      <c r="L227" s="806"/>
      <c r="M227" s="50">
        <f t="shared" si="43"/>
        <v>1</v>
      </c>
      <c r="N227" s="806"/>
      <c r="O227" s="50">
        <f t="shared" si="44"/>
        <v>1</v>
      </c>
      <c r="P227" s="806"/>
      <c r="Q227" s="50">
        <f t="shared" si="45"/>
        <v>1</v>
      </c>
      <c r="R227" s="355">
        <f t="shared" si="46"/>
        <v>0</v>
      </c>
      <c r="S227" s="651">
        <f t="shared" si="47"/>
        <v>0</v>
      </c>
    </row>
    <row r="228" spans="1:19">
      <c r="A228" s="808"/>
      <c r="B228" s="129"/>
      <c r="C228" s="50">
        <f t="shared" si="38"/>
        <v>1</v>
      </c>
      <c r="D228" s="806"/>
      <c r="E228" s="50">
        <f t="shared" si="39"/>
        <v>1</v>
      </c>
      <c r="F228" s="806"/>
      <c r="G228" s="50">
        <f t="shared" si="40"/>
        <v>1</v>
      </c>
      <c r="H228" s="806"/>
      <c r="I228" s="50">
        <f t="shared" si="41"/>
        <v>1</v>
      </c>
      <c r="J228" s="806"/>
      <c r="K228" s="50">
        <f t="shared" si="42"/>
        <v>1</v>
      </c>
      <c r="L228" s="806"/>
      <c r="M228" s="50">
        <f t="shared" si="43"/>
        <v>1</v>
      </c>
      <c r="N228" s="806"/>
      <c r="O228" s="50">
        <f t="shared" si="44"/>
        <v>1</v>
      </c>
      <c r="P228" s="806"/>
      <c r="Q228" s="50">
        <f t="shared" si="45"/>
        <v>1</v>
      </c>
      <c r="R228" s="355">
        <f t="shared" si="46"/>
        <v>0</v>
      </c>
      <c r="S228" s="651">
        <f t="shared" si="47"/>
        <v>0</v>
      </c>
    </row>
    <row r="229" spans="1:19">
      <c r="A229" s="808"/>
      <c r="B229" s="129"/>
      <c r="C229" s="50">
        <f t="shared" si="38"/>
        <v>1</v>
      </c>
      <c r="D229" s="806"/>
      <c r="E229" s="50">
        <f t="shared" si="39"/>
        <v>1</v>
      </c>
      <c r="F229" s="806"/>
      <c r="G229" s="50">
        <f t="shared" si="40"/>
        <v>1</v>
      </c>
      <c r="H229" s="806"/>
      <c r="I229" s="50">
        <f t="shared" si="41"/>
        <v>1</v>
      </c>
      <c r="J229" s="806"/>
      <c r="K229" s="50">
        <f t="shared" si="42"/>
        <v>1</v>
      </c>
      <c r="L229" s="806"/>
      <c r="M229" s="50">
        <f t="shared" si="43"/>
        <v>1</v>
      </c>
      <c r="N229" s="806"/>
      <c r="O229" s="50">
        <f t="shared" si="44"/>
        <v>1</v>
      </c>
      <c r="P229" s="806"/>
      <c r="Q229" s="50">
        <f t="shared" si="45"/>
        <v>1</v>
      </c>
      <c r="R229" s="355">
        <f t="shared" si="46"/>
        <v>0</v>
      </c>
      <c r="S229" s="651">
        <f t="shared" si="47"/>
        <v>0</v>
      </c>
    </row>
    <row r="230" spans="1:19">
      <c r="A230" s="808"/>
      <c r="B230" s="129"/>
      <c r="C230" s="50">
        <f t="shared" si="38"/>
        <v>1</v>
      </c>
      <c r="D230" s="806"/>
      <c r="E230" s="50">
        <f t="shared" si="39"/>
        <v>1</v>
      </c>
      <c r="F230" s="806"/>
      <c r="G230" s="50">
        <f t="shared" si="40"/>
        <v>1</v>
      </c>
      <c r="H230" s="806"/>
      <c r="I230" s="50">
        <f t="shared" si="41"/>
        <v>1</v>
      </c>
      <c r="J230" s="806"/>
      <c r="K230" s="50">
        <f t="shared" si="42"/>
        <v>1</v>
      </c>
      <c r="L230" s="806"/>
      <c r="M230" s="50">
        <f t="shared" si="43"/>
        <v>1</v>
      </c>
      <c r="N230" s="806"/>
      <c r="O230" s="50">
        <f t="shared" si="44"/>
        <v>1</v>
      </c>
      <c r="P230" s="806"/>
      <c r="Q230" s="50">
        <f t="shared" si="45"/>
        <v>1</v>
      </c>
      <c r="R230" s="355">
        <f t="shared" si="46"/>
        <v>0</v>
      </c>
      <c r="S230" s="651">
        <f t="shared" si="47"/>
        <v>0</v>
      </c>
    </row>
    <row r="231" spans="1:19">
      <c r="A231" s="808"/>
      <c r="B231" s="129"/>
      <c r="C231" s="50">
        <f t="shared" si="38"/>
        <v>1</v>
      </c>
      <c r="D231" s="806"/>
      <c r="E231" s="50">
        <f t="shared" si="39"/>
        <v>1</v>
      </c>
      <c r="F231" s="806"/>
      <c r="G231" s="50">
        <f t="shared" si="40"/>
        <v>1</v>
      </c>
      <c r="H231" s="806"/>
      <c r="I231" s="50">
        <f t="shared" si="41"/>
        <v>1</v>
      </c>
      <c r="J231" s="806"/>
      <c r="K231" s="50">
        <f t="shared" si="42"/>
        <v>1</v>
      </c>
      <c r="L231" s="806"/>
      <c r="M231" s="50">
        <f t="shared" si="43"/>
        <v>1</v>
      </c>
      <c r="N231" s="806"/>
      <c r="O231" s="50">
        <f t="shared" si="44"/>
        <v>1</v>
      </c>
      <c r="P231" s="806"/>
      <c r="Q231" s="50">
        <f t="shared" si="45"/>
        <v>1</v>
      </c>
      <c r="R231" s="355">
        <f t="shared" si="46"/>
        <v>0</v>
      </c>
      <c r="S231" s="651">
        <f t="shared" si="47"/>
        <v>0</v>
      </c>
    </row>
    <row r="232" spans="1:19">
      <c r="A232" s="808"/>
      <c r="B232" s="129"/>
      <c r="C232" s="50">
        <f t="shared" si="38"/>
        <v>1</v>
      </c>
      <c r="D232" s="806"/>
      <c r="E232" s="50">
        <f t="shared" si="39"/>
        <v>1</v>
      </c>
      <c r="F232" s="806"/>
      <c r="G232" s="50">
        <f t="shared" si="40"/>
        <v>1</v>
      </c>
      <c r="H232" s="806"/>
      <c r="I232" s="50">
        <f t="shared" si="41"/>
        <v>1</v>
      </c>
      <c r="J232" s="806"/>
      <c r="K232" s="50">
        <f t="shared" si="42"/>
        <v>1</v>
      </c>
      <c r="L232" s="806"/>
      <c r="M232" s="50">
        <f t="shared" si="43"/>
        <v>1</v>
      </c>
      <c r="N232" s="806"/>
      <c r="O232" s="50">
        <f t="shared" si="44"/>
        <v>1</v>
      </c>
      <c r="P232" s="806"/>
      <c r="Q232" s="50">
        <f t="shared" si="45"/>
        <v>1</v>
      </c>
      <c r="R232" s="355">
        <f t="shared" si="46"/>
        <v>0</v>
      </c>
      <c r="S232" s="651">
        <f t="shared" si="47"/>
        <v>0</v>
      </c>
    </row>
    <row r="233" spans="1:19">
      <c r="A233" s="808"/>
      <c r="B233" s="129"/>
      <c r="C233" s="50">
        <f t="shared" si="38"/>
        <v>1</v>
      </c>
      <c r="D233" s="806"/>
      <c r="E233" s="50">
        <f t="shared" si="39"/>
        <v>1</v>
      </c>
      <c r="F233" s="806"/>
      <c r="G233" s="50">
        <f t="shared" si="40"/>
        <v>1</v>
      </c>
      <c r="H233" s="806"/>
      <c r="I233" s="50">
        <f t="shared" si="41"/>
        <v>1</v>
      </c>
      <c r="J233" s="806"/>
      <c r="K233" s="50">
        <f t="shared" si="42"/>
        <v>1</v>
      </c>
      <c r="L233" s="806"/>
      <c r="M233" s="50">
        <f t="shared" si="43"/>
        <v>1</v>
      </c>
      <c r="N233" s="806"/>
      <c r="O233" s="50">
        <f t="shared" si="44"/>
        <v>1</v>
      </c>
      <c r="P233" s="806"/>
      <c r="Q233" s="50">
        <f t="shared" si="45"/>
        <v>1</v>
      </c>
      <c r="R233" s="355">
        <f t="shared" si="46"/>
        <v>0</v>
      </c>
      <c r="S233" s="651">
        <f t="shared" si="47"/>
        <v>0</v>
      </c>
    </row>
    <row r="234" spans="1:19">
      <c r="A234" s="808"/>
      <c r="B234" s="129"/>
      <c r="C234" s="50">
        <f t="shared" si="38"/>
        <v>1</v>
      </c>
      <c r="D234" s="806"/>
      <c r="E234" s="50">
        <f t="shared" si="39"/>
        <v>1</v>
      </c>
      <c r="F234" s="806"/>
      <c r="G234" s="50">
        <f t="shared" si="40"/>
        <v>1</v>
      </c>
      <c r="H234" s="806"/>
      <c r="I234" s="50">
        <f t="shared" si="41"/>
        <v>1</v>
      </c>
      <c r="J234" s="806"/>
      <c r="K234" s="50">
        <f t="shared" si="42"/>
        <v>1</v>
      </c>
      <c r="L234" s="806"/>
      <c r="M234" s="50">
        <f t="shared" si="43"/>
        <v>1</v>
      </c>
      <c r="N234" s="806"/>
      <c r="O234" s="50">
        <f t="shared" si="44"/>
        <v>1</v>
      </c>
      <c r="P234" s="806"/>
      <c r="Q234" s="50">
        <f t="shared" si="45"/>
        <v>1</v>
      </c>
      <c r="R234" s="355">
        <f t="shared" si="46"/>
        <v>0</v>
      </c>
      <c r="S234" s="651">
        <f t="shared" si="47"/>
        <v>0</v>
      </c>
    </row>
    <row r="235" spans="1:19">
      <c r="A235" s="808"/>
      <c r="B235" s="129"/>
      <c r="C235" s="50">
        <f t="shared" si="38"/>
        <v>1</v>
      </c>
      <c r="D235" s="806"/>
      <c r="E235" s="50">
        <f t="shared" si="39"/>
        <v>1</v>
      </c>
      <c r="F235" s="806"/>
      <c r="G235" s="50">
        <f t="shared" si="40"/>
        <v>1</v>
      </c>
      <c r="H235" s="806"/>
      <c r="I235" s="50">
        <f t="shared" si="41"/>
        <v>1</v>
      </c>
      <c r="J235" s="806"/>
      <c r="K235" s="50">
        <f t="shared" si="42"/>
        <v>1</v>
      </c>
      <c r="L235" s="806"/>
      <c r="M235" s="50">
        <f t="shared" si="43"/>
        <v>1</v>
      </c>
      <c r="N235" s="806"/>
      <c r="O235" s="50">
        <f t="shared" si="44"/>
        <v>1</v>
      </c>
      <c r="P235" s="806"/>
      <c r="Q235" s="50">
        <f t="shared" si="45"/>
        <v>1</v>
      </c>
      <c r="R235" s="355">
        <f t="shared" si="46"/>
        <v>0</v>
      </c>
      <c r="S235" s="651">
        <f t="shared" si="47"/>
        <v>0</v>
      </c>
    </row>
    <row r="236" spans="1:19">
      <c r="A236" s="808"/>
      <c r="B236" s="129"/>
      <c r="C236" s="50">
        <f t="shared" si="38"/>
        <v>1</v>
      </c>
      <c r="D236" s="806"/>
      <c r="E236" s="50">
        <f t="shared" si="39"/>
        <v>1</v>
      </c>
      <c r="F236" s="806"/>
      <c r="G236" s="50">
        <f t="shared" si="40"/>
        <v>1</v>
      </c>
      <c r="H236" s="806"/>
      <c r="I236" s="50">
        <f t="shared" si="41"/>
        <v>1</v>
      </c>
      <c r="J236" s="806"/>
      <c r="K236" s="50">
        <f t="shared" si="42"/>
        <v>1</v>
      </c>
      <c r="L236" s="806"/>
      <c r="M236" s="50">
        <f t="shared" si="43"/>
        <v>1</v>
      </c>
      <c r="N236" s="806"/>
      <c r="O236" s="50">
        <f t="shared" si="44"/>
        <v>1</v>
      </c>
      <c r="P236" s="806"/>
      <c r="Q236" s="50">
        <f t="shared" si="45"/>
        <v>1</v>
      </c>
      <c r="R236" s="355">
        <f t="shared" si="46"/>
        <v>0</v>
      </c>
      <c r="S236" s="651">
        <f t="shared" si="47"/>
        <v>0</v>
      </c>
    </row>
    <row r="237" spans="1:19">
      <c r="A237" s="808"/>
      <c r="B237" s="129"/>
      <c r="C237" s="50">
        <f t="shared" si="38"/>
        <v>1</v>
      </c>
      <c r="D237" s="806"/>
      <c r="E237" s="50">
        <f t="shared" si="39"/>
        <v>1</v>
      </c>
      <c r="F237" s="806"/>
      <c r="G237" s="50">
        <f t="shared" si="40"/>
        <v>1</v>
      </c>
      <c r="H237" s="806"/>
      <c r="I237" s="50">
        <f t="shared" si="41"/>
        <v>1</v>
      </c>
      <c r="J237" s="806"/>
      <c r="K237" s="50">
        <f t="shared" si="42"/>
        <v>1</v>
      </c>
      <c r="L237" s="806"/>
      <c r="M237" s="50">
        <f t="shared" si="43"/>
        <v>1</v>
      </c>
      <c r="N237" s="806"/>
      <c r="O237" s="50">
        <f t="shared" si="44"/>
        <v>1</v>
      </c>
      <c r="P237" s="806"/>
      <c r="Q237" s="50">
        <f t="shared" si="45"/>
        <v>1</v>
      </c>
      <c r="R237" s="355">
        <f t="shared" si="46"/>
        <v>0</v>
      </c>
      <c r="S237" s="651">
        <f t="shared" si="47"/>
        <v>0</v>
      </c>
    </row>
    <row r="238" spans="1:19">
      <c r="A238" s="808"/>
      <c r="B238" s="129"/>
      <c r="C238" s="50">
        <f t="shared" si="38"/>
        <v>1</v>
      </c>
      <c r="D238" s="806"/>
      <c r="E238" s="50">
        <f t="shared" si="39"/>
        <v>1</v>
      </c>
      <c r="F238" s="806"/>
      <c r="G238" s="50">
        <f t="shared" si="40"/>
        <v>1</v>
      </c>
      <c r="H238" s="806"/>
      <c r="I238" s="50">
        <f t="shared" si="41"/>
        <v>1</v>
      </c>
      <c r="J238" s="806"/>
      <c r="K238" s="50">
        <f t="shared" si="42"/>
        <v>1</v>
      </c>
      <c r="L238" s="806"/>
      <c r="M238" s="50">
        <f t="shared" si="43"/>
        <v>1</v>
      </c>
      <c r="N238" s="806"/>
      <c r="O238" s="50">
        <f t="shared" si="44"/>
        <v>1</v>
      </c>
      <c r="P238" s="806"/>
      <c r="Q238" s="50">
        <f t="shared" si="45"/>
        <v>1</v>
      </c>
      <c r="R238" s="355">
        <f t="shared" si="46"/>
        <v>0</v>
      </c>
      <c r="S238" s="651">
        <f t="shared" si="47"/>
        <v>0</v>
      </c>
    </row>
    <row r="239" spans="1:19">
      <c r="A239" s="808"/>
      <c r="B239" s="129"/>
      <c r="C239" s="50">
        <f t="shared" si="38"/>
        <v>1</v>
      </c>
      <c r="D239" s="806"/>
      <c r="E239" s="50">
        <f t="shared" si="39"/>
        <v>1</v>
      </c>
      <c r="F239" s="806"/>
      <c r="G239" s="50">
        <f t="shared" si="40"/>
        <v>1</v>
      </c>
      <c r="H239" s="806"/>
      <c r="I239" s="50">
        <f t="shared" si="41"/>
        <v>1</v>
      </c>
      <c r="J239" s="806"/>
      <c r="K239" s="50">
        <f t="shared" si="42"/>
        <v>1</v>
      </c>
      <c r="L239" s="806"/>
      <c r="M239" s="50">
        <f t="shared" si="43"/>
        <v>1</v>
      </c>
      <c r="N239" s="806"/>
      <c r="O239" s="50">
        <f t="shared" si="44"/>
        <v>1</v>
      </c>
      <c r="P239" s="806"/>
      <c r="Q239" s="50">
        <f t="shared" si="45"/>
        <v>1</v>
      </c>
      <c r="R239" s="355">
        <f t="shared" si="46"/>
        <v>0</v>
      </c>
      <c r="S239" s="651">
        <f t="shared" si="47"/>
        <v>0</v>
      </c>
    </row>
    <row r="240" spans="1:19">
      <c r="A240" s="808"/>
      <c r="B240" s="129"/>
      <c r="C240" s="50">
        <f t="shared" si="38"/>
        <v>1</v>
      </c>
      <c r="D240" s="806"/>
      <c r="E240" s="50">
        <f t="shared" si="39"/>
        <v>1</v>
      </c>
      <c r="F240" s="806"/>
      <c r="G240" s="50">
        <f t="shared" si="40"/>
        <v>1</v>
      </c>
      <c r="H240" s="806"/>
      <c r="I240" s="50">
        <f t="shared" si="41"/>
        <v>1</v>
      </c>
      <c r="J240" s="806"/>
      <c r="K240" s="50">
        <f t="shared" si="42"/>
        <v>1</v>
      </c>
      <c r="L240" s="806"/>
      <c r="M240" s="50">
        <f t="shared" si="43"/>
        <v>1</v>
      </c>
      <c r="N240" s="806"/>
      <c r="O240" s="50">
        <f t="shared" si="44"/>
        <v>1</v>
      </c>
      <c r="P240" s="806"/>
      <c r="Q240" s="50">
        <f t="shared" si="45"/>
        <v>1</v>
      </c>
      <c r="R240" s="355">
        <f t="shared" si="46"/>
        <v>0</v>
      </c>
      <c r="S240" s="651">
        <f t="shared" si="47"/>
        <v>0</v>
      </c>
    </row>
    <row r="241" spans="1:19">
      <c r="A241" s="808"/>
      <c r="B241" s="129"/>
      <c r="C241" s="50">
        <f t="shared" si="38"/>
        <v>1</v>
      </c>
      <c r="D241" s="806"/>
      <c r="E241" s="50">
        <f t="shared" si="39"/>
        <v>1</v>
      </c>
      <c r="F241" s="806"/>
      <c r="G241" s="50">
        <f t="shared" si="40"/>
        <v>1</v>
      </c>
      <c r="H241" s="806"/>
      <c r="I241" s="50">
        <f t="shared" si="41"/>
        <v>1</v>
      </c>
      <c r="J241" s="806"/>
      <c r="K241" s="50">
        <f t="shared" si="42"/>
        <v>1</v>
      </c>
      <c r="L241" s="806"/>
      <c r="M241" s="50">
        <f t="shared" si="43"/>
        <v>1</v>
      </c>
      <c r="N241" s="806"/>
      <c r="O241" s="50">
        <f t="shared" si="44"/>
        <v>1</v>
      </c>
      <c r="P241" s="806"/>
      <c r="Q241" s="50">
        <f t="shared" si="45"/>
        <v>1</v>
      </c>
      <c r="R241" s="355">
        <f t="shared" si="46"/>
        <v>0</v>
      </c>
      <c r="S241" s="651">
        <f t="shared" si="47"/>
        <v>0</v>
      </c>
    </row>
    <row r="242" spans="1:19">
      <c r="A242" s="808"/>
      <c r="B242" s="129"/>
      <c r="C242" s="50">
        <f t="shared" si="38"/>
        <v>1</v>
      </c>
      <c r="D242" s="806"/>
      <c r="E242" s="50">
        <f t="shared" si="39"/>
        <v>1</v>
      </c>
      <c r="F242" s="806"/>
      <c r="G242" s="50">
        <f t="shared" si="40"/>
        <v>1</v>
      </c>
      <c r="H242" s="806"/>
      <c r="I242" s="50">
        <f t="shared" si="41"/>
        <v>1</v>
      </c>
      <c r="J242" s="806"/>
      <c r="K242" s="50">
        <f t="shared" si="42"/>
        <v>1</v>
      </c>
      <c r="L242" s="806"/>
      <c r="M242" s="50">
        <f t="shared" si="43"/>
        <v>1</v>
      </c>
      <c r="N242" s="806"/>
      <c r="O242" s="50">
        <f t="shared" si="44"/>
        <v>1</v>
      </c>
      <c r="P242" s="806"/>
      <c r="Q242" s="50">
        <f t="shared" si="45"/>
        <v>1</v>
      </c>
      <c r="R242" s="355">
        <f t="shared" si="46"/>
        <v>0</v>
      </c>
      <c r="S242" s="651">
        <f t="shared" si="47"/>
        <v>0</v>
      </c>
    </row>
    <row r="243" spans="1:19">
      <c r="A243" s="808"/>
      <c r="B243" s="129"/>
      <c r="C243" s="50">
        <f t="shared" si="38"/>
        <v>1</v>
      </c>
      <c r="D243" s="806"/>
      <c r="E243" s="50">
        <f t="shared" si="39"/>
        <v>1</v>
      </c>
      <c r="F243" s="806"/>
      <c r="G243" s="50">
        <f t="shared" si="40"/>
        <v>1</v>
      </c>
      <c r="H243" s="806"/>
      <c r="I243" s="50">
        <f t="shared" si="41"/>
        <v>1</v>
      </c>
      <c r="J243" s="806"/>
      <c r="K243" s="50">
        <f t="shared" si="42"/>
        <v>1</v>
      </c>
      <c r="L243" s="806"/>
      <c r="M243" s="50">
        <f t="shared" si="43"/>
        <v>1</v>
      </c>
      <c r="N243" s="806"/>
      <c r="O243" s="50">
        <f t="shared" si="44"/>
        <v>1</v>
      </c>
      <c r="P243" s="806"/>
      <c r="Q243" s="50">
        <f t="shared" si="45"/>
        <v>1</v>
      </c>
      <c r="R243" s="355">
        <f t="shared" si="46"/>
        <v>0</v>
      </c>
      <c r="S243" s="651">
        <f t="shared" si="47"/>
        <v>0</v>
      </c>
    </row>
    <row r="244" spans="1:19">
      <c r="A244" s="808"/>
      <c r="B244" s="129"/>
      <c r="C244" s="50">
        <f t="shared" si="38"/>
        <v>1</v>
      </c>
      <c r="D244" s="806"/>
      <c r="E244" s="50">
        <f t="shared" si="39"/>
        <v>1</v>
      </c>
      <c r="F244" s="806"/>
      <c r="G244" s="50">
        <f t="shared" si="40"/>
        <v>1</v>
      </c>
      <c r="H244" s="806"/>
      <c r="I244" s="50">
        <f t="shared" si="41"/>
        <v>1</v>
      </c>
      <c r="J244" s="806"/>
      <c r="K244" s="50">
        <f t="shared" si="42"/>
        <v>1</v>
      </c>
      <c r="L244" s="806"/>
      <c r="M244" s="50">
        <f t="shared" si="43"/>
        <v>1</v>
      </c>
      <c r="N244" s="806"/>
      <c r="O244" s="50">
        <f t="shared" si="44"/>
        <v>1</v>
      </c>
      <c r="P244" s="806"/>
      <c r="Q244" s="50">
        <f t="shared" si="45"/>
        <v>1</v>
      </c>
      <c r="R244" s="355">
        <f t="shared" si="46"/>
        <v>0</v>
      </c>
      <c r="S244" s="651">
        <f t="shared" si="47"/>
        <v>0</v>
      </c>
    </row>
    <row r="245" spans="1:19">
      <c r="A245" s="808"/>
      <c r="B245" s="129"/>
      <c r="C245" s="50">
        <f t="shared" si="38"/>
        <v>1</v>
      </c>
      <c r="D245" s="806"/>
      <c r="E245" s="50">
        <f t="shared" si="39"/>
        <v>1</v>
      </c>
      <c r="F245" s="806"/>
      <c r="G245" s="50">
        <f t="shared" si="40"/>
        <v>1</v>
      </c>
      <c r="H245" s="806"/>
      <c r="I245" s="50">
        <f t="shared" si="41"/>
        <v>1</v>
      </c>
      <c r="J245" s="806"/>
      <c r="K245" s="50">
        <f t="shared" si="42"/>
        <v>1</v>
      </c>
      <c r="L245" s="806"/>
      <c r="M245" s="50">
        <f t="shared" si="43"/>
        <v>1</v>
      </c>
      <c r="N245" s="806"/>
      <c r="O245" s="50">
        <f t="shared" si="44"/>
        <v>1</v>
      </c>
      <c r="P245" s="806"/>
      <c r="Q245" s="50">
        <f t="shared" si="45"/>
        <v>1</v>
      </c>
      <c r="R245" s="355">
        <f t="shared" si="46"/>
        <v>0</v>
      </c>
      <c r="S245" s="651">
        <f t="shared" si="47"/>
        <v>0</v>
      </c>
    </row>
    <row r="246" spans="1:19">
      <c r="A246" s="808"/>
      <c r="B246" s="129"/>
      <c r="C246" s="50">
        <f t="shared" si="38"/>
        <v>1</v>
      </c>
      <c r="D246" s="806"/>
      <c r="E246" s="50">
        <f t="shared" si="39"/>
        <v>1</v>
      </c>
      <c r="F246" s="806"/>
      <c r="G246" s="50">
        <f t="shared" si="40"/>
        <v>1</v>
      </c>
      <c r="H246" s="806"/>
      <c r="I246" s="50">
        <f t="shared" si="41"/>
        <v>1</v>
      </c>
      <c r="J246" s="806"/>
      <c r="K246" s="50">
        <f t="shared" si="42"/>
        <v>1</v>
      </c>
      <c r="L246" s="806"/>
      <c r="M246" s="50">
        <f t="shared" si="43"/>
        <v>1</v>
      </c>
      <c r="N246" s="806"/>
      <c r="O246" s="50">
        <f t="shared" si="44"/>
        <v>1</v>
      </c>
      <c r="P246" s="806"/>
      <c r="Q246" s="50">
        <f t="shared" si="45"/>
        <v>1</v>
      </c>
      <c r="R246" s="355">
        <f t="shared" si="46"/>
        <v>0</v>
      </c>
      <c r="S246" s="651">
        <f t="shared" si="47"/>
        <v>0</v>
      </c>
    </row>
    <row r="247" spans="1:19">
      <c r="A247" s="808"/>
      <c r="B247" s="129"/>
      <c r="C247" s="50">
        <f t="shared" si="38"/>
        <v>1</v>
      </c>
      <c r="D247" s="806"/>
      <c r="E247" s="50">
        <f t="shared" si="39"/>
        <v>1</v>
      </c>
      <c r="F247" s="806"/>
      <c r="G247" s="50">
        <f t="shared" si="40"/>
        <v>1</v>
      </c>
      <c r="H247" s="806"/>
      <c r="I247" s="50">
        <f t="shared" si="41"/>
        <v>1</v>
      </c>
      <c r="J247" s="806"/>
      <c r="K247" s="50">
        <f t="shared" si="42"/>
        <v>1</v>
      </c>
      <c r="L247" s="806"/>
      <c r="M247" s="50">
        <f t="shared" si="43"/>
        <v>1</v>
      </c>
      <c r="N247" s="806"/>
      <c r="O247" s="50">
        <f t="shared" si="44"/>
        <v>1</v>
      </c>
      <c r="P247" s="806"/>
      <c r="Q247" s="50">
        <f t="shared" si="45"/>
        <v>1</v>
      </c>
      <c r="R247" s="355">
        <f t="shared" si="46"/>
        <v>0</v>
      </c>
      <c r="S247" s="651">
        <f t="shared" si="47"/>
        <v>0</v>
      </c>
    </row>
    <row r="248" spans="1:19">
      <c r="A248" s="808"/>
      <c r="B248" s="129"/>
      <c r="C248" s="50">
        <f t="shared" si="38"/>
        <v>1</v>
      </c>
      <c r="D248" s="806"/>
      <c r="E248" s="50">
        <f t="shared" si="39"/>
        <v>1</v>
      </c>
      <c r="F248" s="806"/>
      <c r="G248" s="50">
        <f t="shared" si="40"/>
        <v>1</v>
      </c>
      <c r="H248" s="806"/>
      <c r="I248" s="50">
        <f t="shared" si="41"/>
        <v>1</v>
      </c>
      <c r="J248" s="806"/>
      <c r="K248" s="50">
        <f t="shared" si="42"/>
        <v>1</v>
      </c>
      <c r="L248" s="806"/>
      <c r="M248" s="50">
        <f t="shared" si="43"/>
        <v>1</v>
      </c>
      <c r="N248" s="806"/>
      <c r="O248" s="50">
        <f t="shared" si="44"/>
        <v>1</v>
      </c>
      <c r="P248" s="806"/>
      <c r="Q248" s="50">
        <f t="shared" si="45"/>
        <v>1</v>
      </c>
      <c r="R248" s="355">
        <f t="shared" si="46"/>
        <v>0</v>
      </c>
      <c r="S248" s="651">
        <f t="shared" si="47"/>
        <v>0</v>
      </c>
    </row>
    <row r="249" spans="1:19">
      <c r="A249" s="808"/>
      <c r="B249" s="129"/>
      <c r="C249" s="50">
        <f t="shared" si="38"/>
        <v>1</v>
      </c>
      <c r="D249" s="806"/>
      <c r="E249" s="50">
        <f t="shared" si="39"/>
        <v>1</v>
      </c>
      <c r="F249" s="806"/>
      <c r="G249" s="50">
        <f t="shared" si="40"/>
        <v>1</v>
      </c>
      <c r="H249" s="806"/>
      <c r="I249" s="50">
        <f t="shared" si="41"/>
        <v>1</v>
      </c>
      <c r="J249" s="806"/>
      <c r="K249" s="50">
        <f t="shared" si="42"/>
        <v>1</v>
      </c>
      <c r="L249" s="806"/>
      <c r="M249" s="50">
        <f t="shared" si="43"/>
        <v>1</v>
      </c>
      <c r="N249" s="806"/>
      <c r="O249" s="50">
        <f t="shared" si="44"/>
        <v>1</v>
      </c>
      <c r="P249" s="806"/>
      <c r="Q249" s="50">
        <f t="shared" si="45"/>
        <v>1</v>
      </c>
      <c r="R249" s="355">
        <f t="shared" si="46"/>
        <v>0</v>
      </c>
      <c r="S249" s="651">
        <f t="shared" si="47"/>
        <v>0</v>
      </c>
    </row>
    <row r="250" spans="1:19">
      <c r="A250" s="808"/>
      <c r="B250" s="129"/>
      <c r="C250" s="50">
        <f t="shared" si="38"/>
        <v>1</v>
      </c>
      <c r="D250" s="806"/>
      <c r="E250" s="50">
        <f t="shared" si="39"/>
        <v>1</v>
      </c>
      <c r="F250" s="806"/>
      <c r="G250" s="50">
        <f t="shared" si="40"/>
        <v>1</v>
      </c>
      <c r="H250" s="806"/>
      <c r="I250" s="50">
        <f t="shared" si="41"/>
        <v>1</v>
      </c>
      <c r="J250" s="806"/>
      <c r="K250" s="50">
        <f t="shared" si="42"/>
        <v>1</v>
      </c>
      <c r="L250" s="806"/>
      <c r="M250" s="50">
        <f t="shared" si="43"/>
        <v>1</v>
      </c>
      <c r="N250" s="806"/>
      <c r="O250" s="50">
        <f t="shared" si="44"/>
        <v>1</v>
      </c>
      <c r="P250" s="806"/>
      <c r="Q250" s="50">
        <f t="shared" si="45"/>
        <v>1</v>
      </c>
      <c r="R250" s="355">
        <f t="shared" si="46"/>
        <v>0</v>
      </c>
      <c r="S250" s="651">
        <f t="shared" si="47"/>
        <v>0</v>
      </c>
    </row>
    <row r="251" spans="1:19">
      <c r="A251" s="808"/>
      <c r="B251" s="129"/>
      <c r="C251" s="50">
        <f t="shared" si="38"/>
        <v>1</v>
      </c>
      <c r="D251" s="806"/>
      <c r="E251" s="50">
        <f t="shared" si="39"/>
        <v>1</v>
      </c>
      <c r="F251" s="806"/>
      <c r="G251" s="50">
        <f t="shared" si="40"/>
        <v>1</v>
      </c>
      <c r="H251" s="806"/>
      <c r="I251" s="50">
        <f t="shared" si="41"/>
        <v>1</v>
      </c>
      <c r="J251" s="806"/>
      <c r="K251" s="50">
        <f t="shared" si="42"/>
        <v>1</v>
      </c>
      <c r="L251" s="806"/>
      <c r="M251" s="50">
        <f t="shared" si="43"/>
        <v>1</v>
      </c>
      <c r="N251" s="806"/>
      <c r="O251" s="50">
        <f t="shared" si="44"/>
        <v>1</v>
      </c>
      <c r="P251" s="806"/>
      <c r="Q251" s="50">
        <f t="shared" si="45"/>
        <v>1</v>
      </c>
      <c r="R251" s="355">
        <f t="shared" si="46"/>
        <v>0</v>
      </c>
      <c r="S251" s="651">
        <f t="shared" si="47"/>
        <v>0</v>
      </c>
    </row>
    <row r="252" spans="1:19">
      <c r="A252" s="808"/>
      <c r="B252" s="129"/>
      <c r="C252" s="50">
        <f t="shared" si="38"/>
        <v>1</v>
      </c>
      <c r="D252" s="806"/>
      <c r="E252" s="50">
        <f t="shared" si="39"/>
        <v>1</v>
      </c>
      <c r="F252" s="806"/>
      <c r="G252" s="50">
        <f t="shared" si="40"/>
        <v>1</v>
      </c>
      <c r="H252" s="806"/>
      <c r="I252" s="50">
        <f t="shared" si="41"/>
        <v>1</v>
      </c>
      <c r="J252" s="806"/>
      <c r="K252" s="50">
        <f t="shared" si="42"/>
        <v>1</v>
      </c>
      <c r="L252" s="806"/>
      <c r="M252" s="50">
        <f t="shared" si="43"/>
        <v>1</v>
      </c>
      <c r="N252" s="806"/>
      <c r="O252" s="50">
        <f t="shared" si="44"/>
        <v>1</v>
      </c>
      <c r="P252" s="806"/>
      <c r="Q252" s="50">
        <f t="shared" si="45"/>
        <v>1</v>
      </c>
      <c r="R252" s="355">
        <f t="shared" si="46"/>
        <v>0</v>
      </c>
      <c r="S252" s="651">
        <f t="shared" si="47"/>
        <v>0</v>
      </c>
    </row>
    <row r="253" spans="1:19">
      <c r="A253" s="808"/>
      <c r="B253" s="129"/>
      <c r="C253" s="50">
        <f t="shared" si="38"/>
        <v>1</v>
      </c>
      <c r="D253" s="806"/>
      <c r="E253" s="50">
        <f t="shared" si="39"/>
        <v>1</v>
      </c>
      <c r="F253" s="806"/>
      <c r="G253" s="50">
        <f t="shared" si="40"/>
        <v>1</v>
      </c>
      <c r="H253" s="806"/>
      <c r="I253" s="50">
        <f t="shared" si="41"/>
        <v>1</v>
      </c>
      <c r="J253" s="806"/>
      <c r="K253" s="50">
        <f t="shared" si="42"/>
        <v>1</v>
      </c>
      <c r="L253" s="806"/>
      <c r="M253" s="50">
        <f t="shared" si="43"/>
        <v>1</v>
      </c>
      <c r="N253" s="806"/>
      <c r="O253" s="50">
        <f t="shared" si="44"/>
        <v>1</v>
      </c>
      <c r="P253" s="806"/>
      <c r="Q253" s="50">
        <f t="shared" si="45"/>
        <v>1</v>
      </c>
      <c r="R253" s="355">
        <f t="shared" si="46"/>
        <v>0</v>
      </c>
      <c r="S253" s="651">
        <f t="shared" si="47"/>
        <v>0</v>
      </c>
    </row>
    <row r="254" spans="1:19">
      <c r="A254" s="808"/>
      <c r="B254" s="129"/>
      <c r="C254" s="50">
        <f t="shared" si="38"/>
        <v>1</v>
      </c>
      <c r="D254" s="806"/>
      <c r="E254" s="50">
        <f t="shared" si="39"/>
        <v>1</v>
      </c>
      <c r="F254" s="806"/>
      <c r="G254" s="50">
        <f t="shared" si="40"/>
        <v>1</v>
      </c>
      <c r="H254" s="806"/>
      <c r="I254" s="50">
        <f t="shared" si="41"/>
        <v>1</v>
      </c>
      <c r="J254" s="806"/>
      <c r="K254" s="50">
        <f t="shared" si="42"/>
        <v>1</v>
      </c>
      <c r="L254" s="806"/>
      <c r="M254" s="50">
        <f t="shared" si="43"/>
        <v>1</v>
      </c>
      <c r="N254" s="806"/>
      <c r="O254" s="50">
        <f t="shared" si="44"/>
        <v>1</v>
      </c>
      <c r="P254" s="806"/>
      <c r="Q254" s="50">
        <f t="shared" si="45"/>
        <v>1</v>
      </c>
      <c r="R254" s="355">
        <f t="shared" si="46"/>
        <v>0</v>
      </c>
      <c r="S254" s="651">
        <f t="shared" si="47"/>
        <v>0</v>
      </c>
    </row>
    <row r="255" spans="1:19">
      <c r="A255" s="808"/>
      <c r="B255" s="129"/>
      <c r="C255" s="50">
        <f t="shared" si="38"/>
        <v>1</v>
      </c>
      <c r="D255" s="806"/>
      <c r="E255" s="50">
        <f t="shared" si="39"/>
        <v>1</v>
      </c>
      <c r="F255" s="806"/>
      <c r="G255" s="50">
        <f t="shared" si="40"/>
        <v>1</v>
      </c>
      <c r="H255" s="806"/>
      <c r="I255" s="50">
        <f t="shared" si="41"/>
        <v>1</v>
      </c>
      <c r="J255" s="806"/>
      <c r="K255" s="50">
        <f t="shared" si="42"/>
        <v>1</v>
      </c>
      <c r="L255" s="806"/>
      <c r="M255" s="50">
        <f t="shared" si="43"/>
        <v>1</v>
      </c>
      <c r="N255" s="806"/>
      <c r="O255" s="50">
        <f t="shared" si="44"/>
        <v>1</v>
      </c>
      <c r="P255" s="806"/>
      <c r="Q255" s="50">
        <f t="shared" si="45"/>
        <v>1</v>
      </c>
      <c r="R255" s="355">
        <f t="shared" si="46"/>
        <v>0</v>
      </c>
      <c r="S255" s="651">
        <f t="shared" si="47"/>
        <v>0</v>
      </c>
    </row>
    <row r="256" spans="1:19">
      <c r="A256" s="808"/>
      <c r="B256" s="129"/>
      <c r="C256" s="50">
        <f t="shared" si="38"/>
        <v>1</v>
      </c>
      <c r="D256" s="806"/>
      <c r="E256" s="50">
        <f t="shared" si="39"/>
        <v>1</v>
      </c>
      <c r="F256" s="806"/>
      <c r="G256" s="50">
        <f t="shared" si="40"/>
        <v>1</v>
      </c>
      <c r="H256" s="806"/>
      <c r="I256" s="50">
        <f t="shared" si="41"/>
        <v>1</v>
      </c>
      <c r="J256" s="806"/>
      <c r="K256" s="50">
        <f t="shared" si="42"/>
        <v>1</v>
      </c>
      <c r="L256" s="806"/>
      <c r="M256" s="50">
        <f t="shared" si="43"/>
        <v>1</v>
      </c>
      <c r="N256" s="806"/>
      <c r="O256" s="50">
        <f t="shared" si="44"/>
        <v>1</v>
      </c>
      <c r="P256" s="806"/>
      <c r="Q256" s="50">
        <f t="shared" si="45"/>
        <v>1</v>
      </c>
      <c r="R256" s="355">
        <f t="shared" si="46"/>
        <v>0</v>
      </c>
      <c r="S256" s="651">
        <f t="shared" si="47"/>
        <v>0</v>
      </c>
    </row>
    <row r="257" spans="1:19">
      <c r="A257" s="808"/>
      <c r="B257" s="129"/>
      <c r="C257" s="50">
        <f t="shared" si="38"/>
        <v>1</v>
      </c>
      <c r="D257" s="806"/>
      <c r="E257" s="50">
        <f t="shared" si="39"/>
        <v>1</v>
      </c>
      <c r="F257" s="806"/>
      <c r="G257" s="50">
        <f t="shared" si="40"/>
        <v>1</v>
      </c>
      <c r="H257" s="806"/>
      <c r="I257" s="50">
        <f t="shared" si="41"/>
        <v>1</v>
      </c>
      <c r="J257" s="806"/>
      <c r="K257" s="50">
        <f t="shared" si="42"/>
        <v>1</v>
      </c>
      <c r="L257" s="806"/>
      <c r="M257" s="50">
        <f t="shared" si="43"/>
        <v>1</v>
      </c>
      <c r="N257" s="806"/>
      <c r="O257" s="50">
        <f t="shared" si="44"/>
        <v>1</v>
      </c>
      <c r="P257" s="806"/>
      <c r="Q257" s="50">
        <f t="shared" si="45"/>
        <v>1</v>
      </c>
      <c r="R257" s="355">
        <f t="shared" si="46"/>
        <v>0</v>
      </c>
      <c r="S257" s="651">
        <f t="shared" si="47"/>
        <v>0</v>
      </c>
    </row>
    <row r="258" spans="1:19">
      <c r="A258" s="808"/>
      <c r="B258" s="129"/>
      <c r="C258" s="50">
        <f t="shared" si="38"/>
        <v>1</v>
      </c>
      <c r="D258" s="806"/>
      <c r="E258" s="50">
        <f t="shared" si="39"/>
        <v>1</v>
      </c>
      <c r="F258" s="806"/>
      <c r="G258" s="50">
        <f t="shared" si="40"/>
        <v>1</v>
      </c>
      <c r="H258" s="806"/>
      <c r="I258" s="50">
        <f t="shared" si="41"/>
        <v>1</v>
      </c>
      <c r="J258" s="806"/>
      <c r="K258" s="50">
        <f t="shared" si="42"/>
        <v>1</v>
      </c>
      <c r="L258" s="806"/>
      <c r="M258" s="50">
        <f t="shared" si="43"/>
        <v>1</v>
      </c>
      <c r="N258" s="806"/>
      <c r="O258" s="50">
        <f t="shared" si="44"/>
        <v>1</v>
      </c>
      <c r="P258" s="806"/>
      <c r="Q258" s="50">
        <f t="shared" si="45"/>
        <v>1</v>
      </c>
      <c r="R258" s="355">
        <f t="shared" si="46"/>
        <v>0</v>
      </c>
      <c r="S258" s="651">
        <f t="shared" si="47"/>
        <v>0</v>
      </c>
    </row>
    <row r="259" spans="1:19">
      <c r="A259" s="808"/>
      <c r="B259" s="129"/>
      <c r="C259" s="50">
        <f t="shared" si="38"/>
        <v>1</v>
      </c>
      <c r="D259" s="806"/>
      <c r="E259" s="50">
        <f t="shared" si="39"/>
        <v>1</v>
      </c>
      <c r="F259" s="806"/>
      <c r="G259" s="50">
        <f t="shared" si="40"/>
        <v>1</v>
      </c>
      <c r="H259" s="806"/>
      <c r="I259" s="50">
        <f t="shared" si="41"/>
        <v>1</v>
      </c>
      <c r="J259" s="806"/>
      <c r="K259" s="50">
        <f t="shared" si="42"/>
        <v>1</v>
      </c>
      <c r="L259" s="806"/>
      <c r="M259" s="50">
        <f t="shared" si="43"/>
        <v>1</v>
      </c>
      <c r="N259" s="806"/>
      <c r="O259" s="50">
        <f t="shared" si="44"/>
        <v>1</v>
      </c>
      <c r="P259" s="806"/>
      <c r="Q259" s="50">
        <f t="shared" si="45"/>
        <v>1</v>
      </c>
      <c r="R259" s="355">
        <f t="shared" si="46"/>
        <v>0</v>
      </c>
      <c r="S259" s="651">
        <f t="shared" si="47"/>
        <v>0</v>
      </c>
    </row>
    <row r="260" spans="1:19">
      <c r="A260" s="808"/>
      <c r="B260" s="129"/>
      <c r="C260" s="50">
        <f t="shared" si="38"/>
        <v>1</v>
      </c>
      <c r="D260" s="806"/>
      <c r="E260" s="50">
        <f t="shared" si="39"/>
        <v>1</v>
      </c>
      <c r="F260" s="806"/>
      <c r="G260" s="50">
        <f t="shared" si="40"/>
        <v>1</v>
      </c>
      <c r="H260" s="806"/>
      <c r="I260" s="50">
        <f t="shared" si="41"/>
        <v>1</v>
      </c>
      <c r="J260" s="806"/>
      <c r="K260" s="50">
        <f t="shared" si="42"/>
        <v>1</v>
      </c>
      <c r="L260" s="806"/>
      <c r="M260" s="50">
        <f t="shared" si="43"/>
        <v>1</v>
      </c>
      <c r="N260" s="806"/>
      <c r="O260" s="50">
        <f t="shared" si="44"/>
        <v>1</v>
      </c>
      <c r="P260" s="806"/>
      <c r="Q260" s="50">
        <f t="shared" si="45"/>
        <v>1</v>
      </c>
      <c r="R260" s="355">
        <f t="shared" si="46"/>
        <v>0</v>
      </c>
      <c r="S260" s="651">
        <f t="shared" si="47"/>
        <v>0</v>
      </c>
    </row>
    <row r="261" spans="1:19">
      <c r="A261" s="808"/>
      <c r="B261" s="129"/>
      <c r="C261" s="50">
        <f t="shared" si="38"/>
        <v>1</v>
      </c>
      <c r="D261" s="806"/>
      <c r="E261" s="50">
        <f t="shared" si="39"/>
        <v>1</v>
      </c>
      <c r="F261" s="806"/>
      <c r="G261" s="50">
        <f t="shared" si="40"/>
        <v>1</v>
      </c>
      <c r="H261" s="806"/>
      <c r="I261" s="50">
        <f t="shared" si="41"/>
        <v>1</v>
      </c>
      <c r="J261" s="806"/>
      <c r="K261" s="50">
        <f t="shared" si="42"/>
        <v>1</v>
      </c>
      <c r="L261" s="806"/>
      <c r="M261" s="50">
        <f t="shared" si="43"/>
        <v>1</v>
      </c>
      <c r="N261" s="806"/>
      <c r="O261" s="50">
        <f t="shared" si="44"/>
        <v>1</v>
      </c>
      <c r="P261" s="806"/>
      <c r="Q261" s="50">
        <f t="shared" si="45"/>
        <v>1</v>
      </c>
      <c r="R261" s="355">
        <f t="shared" si="46"/>
        <v>0</v>
      </c>
      <c r="S261" s="651">
        <f t="shared" si="47"/>
        <v>0</v>
      </c>
    </row>
    <row r="262" spans="1:19">
      <c r="A262" s="808"/>
      <c r="B262" s="129"/>
      <c r="C262" s="50">
        <f t="shared" si="38"/>
        <v>1</v>
      </c>
      <c r="D262" s="806"/>
      <c r="E262" s="50">
        <f t="shared" si="39"/>
        <v>1</v>
      </c>
      <c r="F262" s="806"/>
      <c r="G262" s="50">
        <f t="shared" si="40"/>
        <v>1</v>
      </c>
      <c r="H262" s="806"/>
      <c r="I262" s="50">
        <f t="shared" si="41"/>
        <v>1</v>
      </c>
      <c r="J262" s="806"/>
      <c r="K262" s="50">
        <f t="shared" si="42"/>
        <v>1</v>
      </c>
      <c r="L262" s="806"/>
      <c r="M262" s="50">
        <f t="shared" si="43"/>
        <v>1</v>
      </c>
      <c r="N262" s="806"/>
      <c r="O262" s="50">
        <f t="shared" si="44"/>
        <v>1</v>
      </c>
      <c r="P262" s="806"/>
      <c r="Q262" s="50">
        <f t="shared" si="45"/>
        <v>1</v>
      </c>
      <c r="R262" s="355">
        <f t="shared" si="46"/>
        <v>0</v>
      </c>
      <c r="S262" s="651">
        <f t="shared" si="47"/>
        <v>0</v>
      </c>
    </row>
    <row r="263" spans="1:19">
      <c r="A263" s="808"/>
      <c r="B263" s="129"/>
      <c r="C263" s="50">
        <f t="shared" si="38"/>
        <v>1</v>
      </c>
      <c r="D263" s="806"/>
      <c r="E263" s="50">
        <f t="shared" si="39"/>
        <v>1</v>
      </c>
      <c r="F263" s="806"/>
      <c r="G263" s="50">
        <f t="shared" si="40"/>
        <v>1</v>
      </c>
      <c r="H263" s="806"/>
      <c r="I263" s="50">
        <f t="shared" si="41"/>
        <v>1</v>
      </c>
      <c r="J263" s="806"/>
      <c r="K263" s="50">
        <f t="shared" si="42"/>
        <v>1</v>
      </c>
      <c r="L263" s="806"/>
      <c r="M263" s="50">
        <f t="shared" si="43"/>
        <v>1</v>
      </c>
      <c r="N263" s="806"/>
      <c r="O263" s="50">
        <f t="shared" si="44"/>
        <v>1</v>
      </c>
      <c r="P263" s="806"/>
      <c r="Q263" s="50">
        <f t="shared" si="45"/>
        <v>1</v>
      </c>
      <c r="R263" s="355">
        <f t="shared" si="46"/>
        <v>0</v>
      </c>
      <c r="S263" s="651">
        <f t="shared" si="47"/>
        <v>0</v>
      </c>
    </row>
    <row r="264" spans="1:19">
      <c r="A264" s="808"/>
      <c r="B264" s="129"/>
      <c r="C264" s="50">
        <f t="shared" si="38"/>
        <v>1</v>
      </c>
      <c r="D264" s="806"/>
      <c r="E264" s="50">
        <f t="shared" si="39"/>
        <v>1</v>
      </c>
      <c r="F264" s="806"/>
      <c r="G264" s="50">
        <f t="shared" si="40"/>
        <v>1</v>
      </c>
      <c r="H264" s="806"/>
      <c r="I264" s="50">
        <f t="shared" si="41"/>
        <v>1</v>
      </c>
      <c r="J264" s="806"/>
      <c r="K264" s="50">
        <f t="shared" si="42"/>
        <v>1</v>
      </c>
      <c r="L264" s="806"/>
      <c r="M264" s="50">
        <f t="shared" si="43"/>
        <v>1</v>
      </c>
      <c r="N264" s="806"/>
      <c r="O264" s="50">
        <f t="shared" si="44"/>
        <v>1</v>
      </c>
      <c r="P264" s="806"/>
      <c r="Q264" s="50">
        <f t="shared" si="45"/>
        <v>1</v>
      </c>
      <c r="R264" s="355">
        <f t="shared" si="46"/>
        <v>0</v>
      </c>
      <c r="S264" s="651">
        <f t="shared" si="47"/>
        <v>0</v>
      </c>
    </row>
    <row r="265" spans="1:19">
      <c r="A265" s="808"/>
      <c r="B265" s="129"/>
      <c r="C265" s="50">
        <f t="shared" si="38"/>
        <v>1</v>
      </c>
      <c r="D265" s="806"/>
      <c r="E265" s="50">
        <f t="shared" si="39"/>
        <v>1</v>
      </c>
      <c r="F265" s="806"/>
      <c r="G265" s="50">
        <f t="shared" si="40"/>
        <v>1</v>
      </c>
      <c r="H265" s="806"/>
      <c r="I265" s="50">
        <f t="shared" si="41"/>
        <v>1</v>
      </c>
      <c r="J265" s="806"/>
      <c r="K265" s="50">
        <f t="shared" si="42"/>
        <v>1</v>
      </c>
      <c r="L265" s="806"/>
      <c r="M265" s="50">
        <f t="shared" si="43"/>
        <v>1</v>
      </c>
      <c r="N265" s="806"/>
      <c r="O265" s="50">
        <f t="shared" si="44"/>
        <v>1</v>
      </c>
      <c r="P265" s="806"/>
      <c r="Q265" s="50">
        <f t="shared" si="45"/>
        <v>1</v>
      </c>
      <c r="R265" s="355">
        <f t="shared" si="46"/>
        <v>0</v>
      </c>
      <c r="S265" s="651">
        <f t="shared" si="47"/>
        <v>0</v>
      </c>
    </row>
    <row r="266" spans="1:19">
      <c r="A266" s="808"/>
      <c r="B266" s="129"/>
      <c r="C266" s="50">
        <f t="shared" si="38"/>
        <v>1</v>
      </c>
      <c r="D266" s="806"/>
      <c r="E266" s="50">
        <f t="shared" si="39"/>
        <v>1</v>
      </c>
      <c r="F266" s="806"/>
      <c r="G266" s="50">
        <f t="shared" si="40"/>
        <v>1</v>
      </c>
      <c r="H266" s="806"/>
      <c r="I266" s="50">
        <f t="shared" si="41"/>
        <v>1</v>
      </c>
      <c r="J266" s="806"/>
      <c r="K266" s="50">
        <f t="shared" si="42"/>
        <v>1</v>
      </c>
      <c r="L266" s="806"/>
      <c r="M266" s="50">
        <f t="shared" si="43"/>
        <v>1</v>
      </c>
      <c r="N266" s="806"/>
      <c r="O266" s="50">
        <f t="shared" si="44"/>
        <v>1</v>
      </c>
      <c r="P266" s="806"/>
      <c r="Q266" s="50">
        <f t="shared" si="45"/>
        <v>1</v>
      </c>
      <c r="R266" s="355">
        <f t="shared" si="46"/>
        <v>0</v>
      </c>
      <c r="S266" s="651">
        <f t="shared" si="47"/>
        <v>0</v>
      </c>
    </row>
    <row r="267" spans="1:19">
      <c r="A267" s="808"/>
      <c r="B267" s="129"/>
      <c r="C267" s="50">
        <f t="shared" si="38"/>
        <v>1</v>
      </c>
      <c r="D267" s="806"/>
      <c r="E267" s="50">
        <f t="shared" si="39"/>
        <v>1</v>
      </c>
      <c r="F267" s="806"/>
      <c r="G267" s="50">
        <f t="shared" si="40"/>
        <v>1</v>
      </c>
      <c r="H267" s="806"/>
      <c r="I267" s="50">
        <f t="shared" si="41"/>
        <v>1</v>
      </c>
      <c r="J267" s="806"/>
      <c r="K267" s="50">
        <f t="shared" si="42"/>
        <v>1</v>
      </c>
      <c r="L267" s="806"/>
      <c r="M267" s="50">
        <f t="shared" si="43"/>
        <v>1</v>
      </c>
      <c r="N267" s="806"/>
      <c r="O267" s="50">
        <f t="shared" si="44"/>
        <v>1</v>
      </c>
      <c r="P267" s="806"/>
      <c r="Q267" s="50">
        <f t="shared" si="45"/>
        <v>1</v>
      </c>
      <c r="R267" s="355">
        <f t="shared" si="46"/>
        <v>0</v>
      </c>
      <c r="S267" s="651">
        <f t="shared" si="47"/>
        <v>0</v>
      </c>
    </row>
    <row r="268" spans="1:19">
      <c r="A268" s="808"/>
      <c r="B268" s="129"/>
      <c r="C268" s="50">
        <f t="shared" si="38"/>
        <v>1</v>
      </c>
      <c r="D268" s="806"/>
      <c r="E268" s="50">
        <f t="shared" si="39"/>
        <v>1</v>
      </c>
      <c r="F268" s="806"/>
      <c r="G268" s="50">
        <f t="shared" si="40"/>
        <v>1</v>
      </c>
      <c r="H268" s="806"/>
      <c r="I268" s="50">
        <f t="shared" si="41"/>
        <v>1</v>
      </c>
      <c r="J268" s="806"/>
      <c r="K268" s="50">
        <f t="shared" si="42"/>
        <v>1</v>
      </c>
      <c r="L268" s="806"/>
      <c r="M268" s="50">
        <f t="shared" si="43"/>
        <v>1</v>
      </c>
      <c r="N268" s="806"/>
      <c r="O268" s="50">
        <f t="shared" si="44"/>
        <v>1</v>
      </c>
      <c r="P268" s="806"/>
      <c r="Q268" s="50">
        <f t="shared" si="45"/>
        <v>1</v>
      </c>
      <c r="R268" s="355">
        <f t="shared" si="46"/>
        <v>0</v>
      </c>
      <c r="S268" s="651">
        <f t="shared" si="47"/>
        <v>0</v>
      </c>
    </row>
    <row r="269" spans="1:19">
      <c r="A269" s="808"/>
      <c r="B269" s="129"/>
      <c r="C269" s="50">
        <f t="shared" si="38"/>
        <v>1</v>
      </c>
      <c r="D269" s="806"/>
      <c r="E269" s="50">
        <f t="shared" si="39"/>
        <v>1</v>
      </c>
      <c r="F269" s="806"/>
      <c r="G269" s="50">
        <f t="shared" si="40"/>
        <v>1</v>
      </c>
      <c r="H269" s="806"/>
      <c r="I269" s="50">
        <f t="shared" si="41"/>
        <v>1</v>
      </c>
      <c r="J269" s="806"/>
      <c r="K269" s="50">
        <f t="shared" si="42"/>
        <v>1</v>
      </c>
      <c r="L269" s="806"/>
      <c r="M269" s="50">
        <f t="shared" si="43"/>
        <v>1</v>
      </c>
      <c r="N269" s="806"/>
      <c r="O269" s="50">
        <f t="shared" si="44"/>
        <v>1</v>
      </c>
      <c r="P269" s="806"/>
      <c r="Q269" s="50">
        <f t="shared" si="45"/>
        <v>1</v>
      </c>
      <c r="R269" s="355">
        <f t="shared" si="46"/>
        <v>0</v>
      </c>
      <c r="S269" s="651">
        <f t="shared" si="47"/>
        <v>0</v>
      </c>
    </row>
    <row r="270" spans="1:19">
      <c r="A270" s="808"/>
      <c r="B270" s="129"/>
      <c r="C270" s="50">
        <f t="shared" si="38"/>
        <v>1</v>
      </c>
      <c r="D270" s="806"/>
      <c r="E270" s="50">
        <f t="shared" si="39"/>
        <v>1</v>
      </c>
      <c r="F270" s="806"/>
      <c r="G270" s="50">
        <f t="shared" si="40"/>
        <v>1</v>
      </c>
      <c r="H270" s="806"/>
      <c r="I270" s="50">
        <f t="shared" si="41"/>
        <v>1</v>
      </c>
      <c r="J270" s="806"/>
      <c r="K270" s="50">
        <f t="shared" si="42"/>
        <v>1</v>
      </c>
      <c r="L270" s="806"/>
      <c r="M270" s="50">
        <f t="shared" si="43"/>
        <v>1</v>
      </c>
      <c r="N270" s="806"/>
      <c r="O270" s="50">
        <f t="shared" si="44"/>
        <v>1</v>
      </c>
      <c r="P270" s="806"/>
      <c r="Q270" s="50">
        <f t="shared" si="45"/>
        <v>1</v>
      </c>
      <c r="R270" s="355">
        <f t="shared" si="46"/>
        <v>0</v>
      </c>
      <c r="S270" s="651">
        <f t="shared" si="47"/>
        <v>0</v>
      </c>
    </row>
    <row r="271" spans="1:19">
      <c r="A271" s="808"/>
      <c r="B271" s="129"/>
      <c r="C271" s="50">
        <f t="shared" si="38"/>
        <v>1</v>
      </c>
      <c r="D271" s="806"/>
      <c r="E271" s="50">
        <f t="shared" si="39"/>
        <v>1</v>
      </c>
      <c r="F271" s="806"/>
      <c r="G271" s="50">
        <f t="shared" si="40"/>
        <v>1</v>
      </c>
      <c r="H271" s="806"/>
      <c r="I271" s="50">
        <f t="shared" si="41"/>
        <v>1</v>
      </c>
      <c r="J271" s="806"/>
      <c r="K271" s="50">
        <f t="shared" si="42"/>
        <v>1</v>
      </c>
      <c r="L271" s="806"/>
      <c r="M271" s="50">
        <f t="shared" si="43"/>
        <v>1</v>
      </c>
      <c r="N271" s="806"/>
      <c r="O271" s="50">
        <f t="shared" si="44"/>
        <v>1</v>
      </c>
      <c r="P271" s="806"/>
      <c r="Q271" s="50">
        <f t="shared" si="45"/>
        <v>1</v>
      </c>
      <c r="R271" s="355">
        <f t="shared" si="46"/>
        <v>0</v>
      </c>
      <c r="S271" s="651">
        <f t="shared" si="47"/>
        <v>0</v>
      </c>
    </row>
    <row r="272" spans="1:19">
      <c r="A272" s="808"/>
      <c r="B272" s="129"/>
      <c r="C272" s="50">
        <f t="shared" si="38"/>
        <v>1</v>
      </c>
      <c r="D272" s="806"/>
      <c r="E272" s="50">
        <f t="shared" si="39"/>
        <v>1</v>
      </c>
      <c r="F272" s="806"/>
      <c r="G272" s="50">
        <f t="shared" si="40"/>
        <v>1</v>
      </c>
      <c r="H272" s="806"/>
      <c r="I272" s="50">
        <f t="shared" si="41"/>
        <v>1</v>
      </c>
      <c r="J272" s="806"/>
      <c r="K272" s="50">
        <f t="shared" si="42"/>
        <v>1</v>
      </c>
      <c r="L272" s="806"/>
      <c r="M272" s="50">
        <f t="shared" si="43"/>
        <v>1</v>
      </c>
      <c r="N272" s="806"/>
      <c r="O272" s="50">
        <f t="shared" si="44"/>
        <v>1</v>
      </c>
      <c r="P272" s="806"/>
      <c r="Q272" s="50">
        <f t="shared" si="45"/>
        <v>1</v>
      </c>
      <c r="R272" s="355">
        <f t="shared" si="46"/>
        <v>0</v>
      </c>
      <c r="S272" s="651">
        <f t="shared" si="47"/>
        <v>0</v>
      </c>
    </row>
    <row r="273" spans="1:19">
      <c r="A273" s="808"/>
      <c r="B273" s="129"/>
      <c r="C273" s="50">
        <f t="shared" si="38"/>
        <v>1</v>
      </c>
      <c r="D273" s="806"/>
      <c r="E273" s="50">
        <f t="shared" si="39"/>
        <v>1</v>
      </c>
      <c r="F273" s="806"/>
      <c r="G273" s="50">
        <f t="shared" si="40"/>
        <v>1</v>
      </c>
      <c r="H273" s="806"/>
      <c r="I273" s="50">
        <f t="shared" si="41"/>
        <v>1</v>
      </c>
      <c r="J273" s="806"/>
      <c r="K273" s="50">
        <f t="shared" si="42"/>
        <v>1</v>
      </c>
      <c r="L273" s="806"/>
      <c r="M273" s="50">
        <f t="shared" si="43"/>
        <v>1</v>
      </c>
      <c r="N273" s="806"/>
      <c r="O273" s="50">
        <f t="shared" si="44"/>
        <v>1</v>
      </c>
      <c r="P273" s="806"/>
      <c r="Q273" s="50">
        <f t="shared" si="45"/>
        <v>1</v>
      </c>
      <c r="R273" s="355">
        <f t="shared" si="46"/>
        <v>0</v>
      </c>
      <c r="S273" s="651">
        <f t="shared" si="47"/>
        <v>0</v>
      </c>
    </row>
    <row r="274" spans="1:19">
      <c r="A274" s="808"/>
      <c r="B274" s="129"/>
      <c r="C274" s="50">
        <f t="shared" si="38"/>
        <v>1</v>
      </c>
      <c r="D274" s="806"/>
      <c r="E274" s="50">
        <f t="shared" si="39"/>
        <v>1</v>
      </c>
      <c r="F274" s="806"/>
      <c r="G274" s="50">
        <f t="shared" si="40"/>
        <v>1</v>
      </c>
      <c r="H274" s="806"/>
      <c r="I274" s="50">
        <f t="shared" si="41"/>
        <v>1</v>
      </c>
      <c r="J274" s="806"/>
      <c r="K274" s="50">
        <f t="shared" si="42"/>
        <v>1</v>
      </c>
      <c r="L274" s="806"/>
      <c r="M274" s="50">
        <f t="shared" si="43"/>
        <v>1</v>
      </c>
      <c r="N274" s="806"/>
      <c r="O274" s="50">
        <f t="shared" si="44"/>
        <v>1</v>
      </c>
      <c r="P274" s="806"/>
      <c r="Q274" s="50">
        <f t="shared" si="45"/>
        <v>1</v>
      </c>
      <c r="R274" s="355">
        <f t="shared" si="46"/>
        <v>0</v>
      </c>
      <c r="S274" s="651">
        <f t="shared" si="47"/>
        <v>0</v>
      </c>
    </row>
    <row r="275" spans="1:19">
      <c r="A275" s="808"/>
      <c r="B275" s="129"/>
      <c r="C275" s="50">
        <f t="shared" si="38"/>
        <v>1</v>
      </c>
      <c r="D275" s="806"/>
      <c r="E275" s="50">
        <f t="shared" si="39"/>
        <v>1</v>
      </c>
      <c r="F275" s="806"/>
      <c r="G275" s="50">
        <f t="shared" si="40"/>
        <v>1</v>
      </c>
      <c r="H275" s="806"/>
      <c r="I275" s="50">
        <f t="shared" si="41"/>
        <v>1</v>
      </c>
      <c r="J275" s="806"/>
      <c r="K275" s="50">
        <f t="shared" si="42"/>
        <v>1</v>
      </c>
      <c r="L275" s="806"/>
      <c r="M275" s="50">
        <f t="shared" si="43"/>
        <v>1</v>
      </c>
      <c r="N275" s="806"/>
      <c r="O275" s="50">
        <f t="shared" si="44"/>
        <v>1</v>
      </c>
      <c r="P275" s="806"/>
      <c r="Q275" s="50">
        <f t="shared" si="45"/>
        <v>1</v>
      </c>
      <c r="R275" s="355">
        <f t="shared" si="46"/>
        <v>0</v>
      </c>
      <c r="S275" s="651">
        <f t="shared" si="47"/>
        <v>0</v>
      </c>
    </row>
    <row r="276" spans="1:19">
      <c r="A276" s="808"/>
      <c r="B276" s="129"/>
      <c r="C276" s="50">
        <f t="shared" si="38"/>
        <v>1</v>
      </c>
      <c r="D276" s="806"/>
      <c r="E276" s="50">
        <f t="shared" si="39"/>
        <v>1</v>
      </c>
      <c r="F276" s="806"/>
      <c r="G276" s="50">
        <f t="shared" si="40"/>
        <v>1</v>
      </c>
      <c r="H276" s="806"/>
      <c r="I276" s="50">
        <f t="shared" si="41"/>
        <v>1</v>
      </c>
      <c r="J276" s="806"/>
      <c r="K276" s="50">
        <f t="shared" si="42"/>
        <v>1</v>
      </c>
      <c r="L276" s="806"/>
      <c r="M276" s="50">
        <f t="shared" si="43"/>
        <v>1</v>
      </c>
      <c r="N276" s="806"/>
      <c r="O276" s="50">
        <f t="shared" si="44"/>
        <v>1</v>
      </c>
      <c r="P276" s="806"/>
      <c r="Q276" s="50">
        <f t="shared" si="45"/>
        <v>1</v>
      </c>
      <c r="R276" s="355">
        <f t="shared" si="46"/>
        <v>0</v>
      </c>
      <c r="S276" s="651">
        <f t="shared" si="47"/>
        <v>0</v>
      </c>
    </row>
    <row r="277" spans="1:19">
      <c r="A277" s="808"/>
      <c r="B277" s="129"/>
      <c r="C277" s="50">
        <f t="shared" si="38"/>
        <v>1</v>
      </c>
      <c r="D277" s="806"/>
      <c r="E277" s="50">
        <f t="shared" si="39"/>
        <v>1</v>
      </c>
      <c r="F277" s="806"/>
      <c r="G277" s="50">
        <f t="shared" si="40"/>
        <v>1</v>
      </c>
      <c r="H277" s="806"/>
      <c r="I277" s="50">
        <f t="shared" si="41"/>
        <v>1</v>
      </c>
      <c r="J277" s="806"/>
      <c r="K277" s="50">
        <f t="shared" si="42"/>
        <v>1</v>
      </c>
      <c r="L277" s="806"/>
      <c r="M277" s="50">
        <f t="shared" si="43"/>
        <v>1</v>
      </c>
      <c r="N277" s="806"/>
      <c r="O277" s="50">
        <f t="shared" si="44"/>
        <v>1</v>
      </c>
      <c r="P277" s="806"/>
      <c r="Q277" s="50">
        <f t="shared" si="45"/>
        <v>1</v>
      </c>
      <c r="R277" s="355">
        <f t="shared" si="46"/>
        <v>0</v>
      </c>
      <c r="S277" s="651">
        <f t="shared" si="47"/>
        <v>0</v>
      </c>
    </row>
    <row r="278" spans="1:19">
      <c r="A278" s="808"/>
      <c r="B278" s="129"/>
      <c r="C278" s="50">
        <f t="shared" si="38"/>
        <v>1</v>
      </c>
      <c r="D278" s="806"/>
      <c r="E278" s="50">
        <f t="shared" si="39"/>
        <v>1</v>
      </c>
      <c r="F278" s="806"/>
      <c r="G278" s="50">
        <f t="shared" si="40"/>
        <v>1</v>
      </c>
      <c r="H278" s="806"/>
      <c r="I278" s="50">
        <f t="shared" si="41"/>
        <v>1</v>
      </c>
      <c r="J278" s="806"/>
      <c r="K278" s="50">
        <f t="shared" si="42"/>
        <v>1</v>
      </c>
      <c r="L278" s="806"/>
      <c r="M278" s="50">
        <f t="shared" si="43"/>
        <v>1</v>
      </c>
      <c r="N278" s="806"/>
      <c r="O278" s="50">
        <f t="shared" si="44"/>
        <v>1</v>
      </c>
      <c r="P278" s="806"/>
      <c r="Q278" s="50">
        <f t="shared" si="45"/>
        <v>1</v>
      </c>
      <c r="R278" s="355">
        <f t="shared" si="46"/>
        <v>0</v>
      </c>
      <c r="S278" s="651">
        <f t="shared" si="47"/>
        <v>0</v>
      </c>
    </row>
    <row r="279" spans="1:19">
      <c r="A279" s="808"/>
      <c r="B279" s="129"/>
      <c r="C279" s="50">
        <f t="shared" si="38"/>
        <v>1</v>
      </c>
      <c r="D279" s="806"/>
      <c r="E279" s="50">
        <f t="shared" si="39"/>
        <v>1</v>
      </c>
      <c r="F279" s="806"/>
      <c r="G279" s="50">
        <f t="shared" si="40"/>
        <v>1</v>
      </c>
      <c r="H279" s="806"/>
      <c r="I279" s="50">
        <f t="shared" si="41"/>
        <v>1</v>
      </c>
      <c r="J279" s="806"/>
      <c r="K279" s="50">
        <f t="shared" si="42"/>
        <v>1</v>
      </c>
      <c r="L279" s="806"/>
      <c r="M279" s="50">
        <f t="shared" si="43"/>
        <v>1</v>
      </c>
      <c r="N279" s="806"/>
      <c r="O279" s="50">
        <f t="shared" si="44"/>
        <v>1</v>
      </c>
      <c r="P279" s="806"/>
      <c r="Q279" s="50">
        <f t="shared" si="45"/>
        <v>1</v>
      </c>
      <c r="R279" s="355">
        <f t="shared" si="46"/>
        <v>0</v>
      </c>
      <c r="S279" s="651">
        <f t="shared" si="47"/>
        <v>0</v>
      </c>
    </row>
    <row r="280" spans="1:19">
      <c r="A280" s="808"/>
      <c r="B280" s="129"/>
      <c r="C280" s="50">
        <f t="shared" si="38"/>
        <v>1</v>
      </c>
      <c r="D280" s="806"/>
      <c r="E280" s="50">
        <f t="shared" si="39"/>
        <v>1</v>
      </c>
      <c r="F280" s="806"/>
      <c r="G280" s="50">
        <f t="shared" si="40"/>
        <v>1</v>
      </c>
      <c r="H280" s="806"/>
      <c r="I280" s="50">
        <f t="shared" si="41"/>
        <v>1</v>
      </c>
      <c r="J280" s="806"/>
      <c r="K280" s="50">
        <f t="shared" si="42"/>
        <v>1</v>
      </c>
      <c r="L280" s="806"/>
      <c r="M280" s="50">
        <f t="shared" si="43"/>
        <v>1</v>
      </c>
      <c r="N280" s="806"/>
      <c r="O280" s="50">
        <f t="shared" si="44"/>
        <v>1</v>
      </c>
      <c r="P280" s="806"/>
      <c r="Q280" s="50">
        <f t="shared" si="45"/>
        <v>1</v>
      </c>
      <c r="R280" s="355">
        <f t="shared" si="46"/>
        <v>0</v>
      </c>
      <c r="S280" s="651">
        <f t="shared" si="47"/>
        <v>0</v>
      </c>
    </row>
    <row r="281" spans="1:19">
      <c r="A281" s="808"/>
      <c r="B281" s="129"/>
      <c r="C281" s="50">
        <f t="shared" si="38"/>
        <v>1</v>
      </c>
      <c r="D281" s="806"/>
      <c r="E281" s="50">
        <f t="shared" si="39"/>
        <v>1</v>
      </c>
      <c r="F281" s="806"/>
      <c r="G281" s="50">
        <f t="shared" si="40"/>
        <v>1</v>
      </c>
      <c r="H281" s="806"/>
      <c r="I281" s="50">
        <f t="shared" si="41"/>
        <v>1</v>
      </c>
      <c r="J281" s="806"/>
      <c r="K281" s="50">
        <f t="shared" si="42"/>
        <v>1</v>
      </c>
      <c r="L281" s="806"/>
      <c r="M281" s="50">
        <f t="shared" si="43"/>
        <v>1</v>
      </c>
      <c r="N281" s="806"/>
      <c r="O281" s="50">
        <f t="shared" si="44"/>
        <v>1</v>
      </c>
      <c r="P281" s="806"/>
      <c r="Q281" s="50">
        <f t="shared" si="45"/>
        <v>1</v>
      </c>
      <c r="R281" s="355">
        <f t="shared" si="46"/>
        <v>0</v>
      </c>
      <c r="S281" s="651">
        <f t="shared" si="47"/>
        <v>0</v>
      </c>
    </row>
    <row r="282" spans="1:19">
      <c r="A282" s="808"/>
      <c r="B282" s="129"/>
      <c r="C282" s="50">
        <f t="shared" ref="C282:C345" si="48">IF(B282="",1,(LOOKUP(B282,$3:$3,$4:$4)-LOOKUP($B$24,$3:$3,$4:$4)+100)/100)</f>
        <v>1</v>
      </c>
      <c r="D282" s="806"/>
      <c r="E282" s="50">
        <f t="shared" ref="E282:E345" si="49">(SUMIF($5:$5,D282,$6:$6)-SUMIF($5:$5,$D$24,$6:$6)+100)/100</f>
        <v>1</v>
      </c>
      <c r="F282" s="806"/>
      <c r="G282" s="50">
        <f t="shared" ref="G282:G345" si="50">(SUMIF($7:$7,F282,$8:$8)-SUMIF($7:$7,$F$24,$8:$8)+100)/100</f>
        <v>1</v>
      </c>
      <c r="H282" s="806"/>
      <c r="I282" s="50">
        <f t="shared" ref="I282:I345" si="51">(SUMIF($9:$9,H282,$10:$10)-SUMIF($9:$9,$H$24,$10:$10)+100)/100</f>
        <v>1</v>
      </c>
      <c r="J282" s="806"/>
      <c r="K282" s="50">
        <f t="shared" ref="K282:K345" si="52">(SUMIF($11:$11,J282,$12:$12)-SUMIF($11:$11,$J$24,$12:$12)+100)/100</f>
        <v>1</v>
      </c>
      <c r="L282" s="806"/>
      <c r="M282" s="50">
        <f t="shared" ref="M282:M345" si="53">(SUMIF($13:$13,L282,$14:$14)-SUMIF($13:$13,$L$24,$14:$14)+100)/100</f>
        <v>1</v>
      </c>
      <c r="N282" s="806"/>
      <c r="O282" s="50">
        <f t="shared" ref="O282:O345" si="54">(SUMIF($15:$15,N282,$16:$16)-SUMIF($15:$15,$N$24,$16:$16)+100)/100</f>
        <v>1</v>
      </c>
      <c r="P282" s="806"/>
      <c r="Q282" s="50">
        <f t="shared" ref="Q282:Q345" si="55">(SUMIF($17:$17,P282,$18:$18)-SUMIF($17:$17,$P$24,$18:$18)+100)/100</f>
        <v>1</v>
      </c>
      <c r="R282" s="355">
        <f t="shared" ref="R282:R345" si="56">IF(B282="",0,ROUND($R$24*C282*E282*G282*I282*K282*M282*O282*Q282,0))</f>
        <v>0</v>
      </c>
      <c r="S282" s="651">
        <f t="shared" si="47"/>
        <v>0</v>
      </c>
    </row>
    <row r="283" spans="1:19">
      <c r="A283" s="808"/>
      <c r="B283" s="129"/>
      <c r="C283" s="50">
        <f t="shared" si="48"/>
        <v>1</v>
      </c>
      <c r="D283" s="806"/>
      <c r="E283" s="50">
        <f t="shared" si="49"/>
        <v>1</v>
      </c>
      <c r="F283" s="806"/>
      <c r="G283" s="50">
        <f t="shared" si="50"/>
        <v>1</v>
      </c>
      <c r="H283" s="806"/>
      <c r="I283" s="50">
        <f t="shared" si="51"/>
        <v>1</v>
      </c>
      <c r="J283" s="806"/>
      <c r="K283" s="50">
        <f t="shared" si="52"/>
        <v>1</v>
      </c>
      <c r="L283" s="806"/>
      <c r="M283" s="50">
        <f t="shared" si="53"/>
        <v>1</v>
      </c>
      <c r="N283" s="806"/>
      <c r="O283" s="50">
        <f t="shared" si="54"/>
        <v>1</v>
      </c>
      <c r="P283" s="806"/>
      <c r="Q283" s="50">
        <f t="shared" si="55"/>
        <v>1</v>
      </c>
      <c r="R283" s="355">
        <f t="shared" si="56"/>
        <v>0</v>
      </c>
      <c r="S283" s="651">
        <f t="shared" si="47"/>
        <v>0</v>
      </c>
    </row>
    <row r="284" spans="1:19">
      <c r="A284" s="808"/>
      <c r="B284" s="129"/>
      <c r="C284" s="50">
        <f t="shared" si="48"/>
        <v>1</v>
      </c>
      <c r="D284" s="806"/>
      <c r="E284" s="50">
        <f t="shared" si="49"/>
        <v>1</v>
      </c>
      <c r="F284" s="806"/>
      <c r="G284" s="50">
        <f t="shared" si="50"/>
        <v>1</v>
      </c>
      <c r="H284" s="806"/>
      <c r="I284" s="50">
        <f t="shared" si="51"/>
        <v>1</v>
      </c>
      <c r="J284" s="806"/>
      <c r="K284" s="50">
        <f t="shared" si="52"/>
        <v>1</v>
      </c>
      <c r="L284" s="806"/>
      <c r="M284" s="50">
        <f t="shared" si="53"/>
        <v>1</v>
      </c>
      <c r="N284" s="806"/>
      <c r="O284" s="50">
        <f t="shared" si="54"/>
        <v>1</v>
      </c>
      <c r="P284" s="806"/>
      <c r="Q284" s="50">
        <f t="shared" si="55"/>
        <v>1</v>
      </c>
      <c r="R284" s="355">
        <f t="shared" si="56"/>
        <v>0</v>
      </c>
      <c r="S284" s="651">
        <f t="shared" si="47"/>
        <v>0</v>
      </c>
    </row>
    <row r="285" spans="1:19">
      <c r="A285" s="808"/>
      <c r="B285" s="129"/>
      <c r="C285" s="50">
        <f t="shared" si="48"/>
        <v>1</v>
      </c>
      <c r="D285" s="806"/>
      <c r="E285" s="50">
        <f t="shared" si="49"/>
        <v>1</v>
      </c>
      <c r="F285" s="806"/>
      <c r="G285" s="50">
        <f t="shared" si="50"/>
        <v>1</v>
      </c>
      <c r="H285" s="806"/>
      <c r="I285" s="50">
        <f t="shared" si="51"/>
        <v>1</v>
      </c>
      <c r="J285" s="806"/>
      <c r="K285" s="50">
        <f t="shared" si="52"/>
        <v>1</v>
      </c>
      <c r="L285" s="806"/>
      <c r="M285" s="50">
        <f t="shared" si="53"/>
        <v>1</v>
      </c>
      <c r="N285" s="806"/>
      <c r="O285" s="50">
        <f t="shared" si="54"/>
        <v>1</v>
      </c>
      <c r="P285" s="806"/>
      <c r="Q285" s="50">
        <f t="shared" si="55"/>
        <v>1</v>
      </c>
      <c r="R285" s="355">
        <f t="shared" si="56"/>
        <v>0</v>
      </c>
      <c r="S285" s="651">
        <f t="shared" si="47"/>
        <v>0</v>
      </c>
    </row>
    <row r="286" spans="1:19">
      <c r="A286" s="808"/>
      <c r="B286" s="129"/>
      <c r="C286" s="50">
        <f t="shared" si="48"/>
        <v>1</v>
      </c>
      <c r="D286" s="806"/>
      <c r="E286" s="50">
        <f t="shared" si="49"/>
        <v>1</v>
      </c>
      <c r="F286" s="806"/>
      <c r="G286" s="50">
        <f t="shared" si="50"/>
        <v>1</v>
      </c>
      <c r="H286" s="806"/>
      <c r="I286" s="50">
        <f t="shared" si="51"/>
        <v>1</v>
      </c>
      <c r="J286" s="806"/>
      <c r="K286" s="50">
        <f t="shared" si="52"/>
        <v>1</v>
      </c>
      <c r="L286" s="806"/>
      <c r="M286" s="50">
        <f t="shared" si="53"/>
        <v>1</v>
      </c>
      <c r="N286" s="806"/>
      <c r="O286" s="50">
        <f t="shared" si="54"/>
        <v>1</v>
      </c>
      <c r="P286" s="806"/>
      <c r="Q286" s="50">
        <f t="shared" si="55"/>
        <v>1</v>
      </c>
      <c r="R286" s="355">
        <f t="shared" si="56"/>
        <v>0</v>
      </c>
      <c r="S286" s="651">
        <f t="shared" si="47"/>
        <v>0</v>
      </c>
    </row>
    <row r="287" spans="1:19">
      <c r="A287" s="808"/>
      <c r="B287" s="129"/>
      <c r="C287" s="50">
        <f t="shared" si="48"/>
        <v>1</v>
      </c>
      <c r="D287" s="806"/>
      <c r="E287" s="50">
        <f t="shared" si="49"/>
        <v>1</v>
      </c>
      <c r="F287" s="806"/>
      <c r="G287" s="50">
        <f t="shared" si="50"/>
        <v>1</v>
      </c>
      <c r="H287" s="806"/>
      <c r="I287" s="50">
        <f t="shared" si="51"/>
        <v>1</v>
      </c>
      <c r="J287" s="806"/>
      <c r="K287" s="50">
        <f t="shared" si="52"/>
        <v>1</v>
      </c>
      <c r="L287" s="806"/>
      <c r="M287" s="50">
        <f t="shared" si="53"/>
        <v>1</v>
      </c>
      <c r="N287" s="806"/>
      <c r="O287" s="50">
        <f t="shared" si="54"/>
        <v>1</v>
      </c>
      <c r="P287" s="806"/>
      <c r="Q287" s="50">
        <f t="shared" si="55"/>
        <v>1</v>
      </c>
      <c r="R287" s="355">
        <f t="shared" si="56"/>
        <v>0</v>
      </c>
      <c r="S287" s="651">
        <f t="shared" ref="S287:S320" si="57">ROUND(R287*B287/10000,0)</f>
        <v>0</v>
      </c>
    </row>
    <row r="288" spans="1:19">
      <c r="A288" s="808"/>
      <c r="B288" s="129"/>
      <c r="C288" s="50">
        <f t="shared" si="48"/>
        <v>1</v>
      </c>
      <c r="D288" s="806"/>
      <c r="E288" s="50">
        <f t="shared" si="49"/>
        <v>1</v>
      </c>
      <c r="F288" s="806"/>
      <c r="G288" s="50">
        <f t="shared" si="50"/>
        <v>1</v>
      </c>
      <c r="H288" s="806"/>
      <c r="I288" s="50">
        <f t="shared" si="51"/>
        <v>1</v>
      </c>
      <c r="J288" s="806"/>
      <c r="K288" s="50">
        <f t="shared" si="52"/>
        <v>1</v>
      </c>
      <c r="L288" s="806"/>
      <c r="M288" s="50">
        <f t="shared" si="53"/>
        <v>1</v>
      </c>
      <c r="N288" s="806"/>
      <c r="O288" s="50">
        <f t="shared" si="54"/>
        <v>1</v>
      </c>
      <c r="P288" s="806"/>
      <c r="Q288" s="50">
        <f t="shared" si="55"/>
        <v>1</v>
      </c>
      <c r="R288" s="355">
        <f t="shared" si="56"/>
        <v>0</v>
      </c>
      <c r="S288" s="651">
        <f t="shared" si="57"/>
        <v>0</v>
      </c>
    </row>
    <row r="289" spans="1:19">
      <c r="A289" s="808"/>
      <c r="B289" s="129"/>
      <c r="C289" s="50">
        <f t="shared" si="48"/>
        <v>1</v>
      </c>
      <c r="D289" s="806"/>
      <c r="E289" s="50">
        <f t="shared" si="49"/>
        <v>1</v>
      </c>
      <c r="F289" s="806"/>
      <c r="G289" s="50">
        <f t="shared" si="50"/>
        <v>1</v>
      </c>
      <c r="H289" s="806"/>
      <c r="I289" s="50">
        <f t="shared" si="51"/>
        <v>1</v>
      </c>
      <c r="J289" s="806"/>
      <c r="K289" s="50">
        <f t="shared" si="52"/>
        <v>1</v>
      </c>
      <c r="L289" s="806"/>
      <c r="M289" s="50">
        <f t="shared" si="53"/>
        <v>1</v>
      </c>
      <c r="N289" s="806"/>
      <c r="O289" s="50">
        <f t="shared" si="54"/>
        <v>1</v>
      </c>
      <c r="P289" s="806"/>
      <c r="Q289" s="50">
        <f t="shared" si="55"/>
        <v>1</v>
      </c>
      <c r="R289" s="355">
        <f t="shared" si="56"/>
        <v>0</v>
      </c>
      <c r="S289" s="651">
        <f t="shared" si="57"/>
        <v>0</v>
      </c>
    </row>
    <row r="290" spans="1:19">
      <c r="A290" s="808"/>
      <c r="B290" s="129"/>
      <c r="C290" s="50">
        <f t="shared" si="48"/>
        <v>1</v>
      </c>
      <c r="D290" s="806"/>
      <c r="E290" s="50">
        <f t="shared" si="49"/>
        <v>1</v>
      </c>
      <c r="F290" s="806"/>
      <c r="G290" s="50">
        <f t="shared" si="50"/>
        <v>1</v>
      </c>
      <c r="H290" s="806"/>
      <c r="I290" s="50">
        <f t="shared" si="51"/>
        <v>1</v>
      </c>
      <c r="J290" s="806"/>
      <c r="K290" s="50">
        <f t="shared" si="52"/>
        <v>1</v>
      </c>
      <c r="L290" s="806"/>
      <c r="M290" s="50">
        <f t="shared" si="53"/>
        <v>1</v>
      </c>
      <c r="N290" s="806"/>
      <c r="O290" s="50">
        <f t="shared" si="54"/>
        <v>1</v>
      </c>
      <c r="P290" s="806"/>
      <c r="Q290" s="50">
        <f t="shared" si="55"/>
        <v>1</v>
      </c>
      <c r="R290" s="355">
        <f t="shared" si="56"/>
        <v>0</v>
      </c>
      <c r="S290" s="651">
        <f t="shared" si="57"/>
        <v>0</v>
      </c>
    </row>
    <row r="291" spans="1:19">
      <c r="A291" s="808"/>
      <c r="B291" s="129"/>
      <c r="C291" s="50">
        <f t="shared" si="48"/>
        <v>1</v>
      </c>
      <c r="D291" s="806"/>
      <c r="E291" s="50">
        <f t="shared" si="49"/>
        <v>1</v>
      </c>
      <c r="F291" s="806"/>
      <c r="G291" s="50">
        <f t="shared" si="50"/>
        <v>1</v>
      </c>
      <c r="H291" s="806"/>
      <c r="I291" s="50">
        <f t="shared" si="51"/>
        <v>1</v>
      </c>
      <c r="J291" s="806"/>
      <c r="K291" s="50">
        <f t="shared" si="52"/>
        <v>1</v>
      </c>
      <c r="L291" s="806"/>
      <c r="M291" s="50">
        <f t="shared" si="53"/>
        <v>1</v>
      </c>
      <c r="N291" s="806"/>
      <c r="O291" s="50">
        <f t="shared" si="54"/>
        <v>1</v>
      </c>
      <c r="P291" s="806"/>
      <c r="Q291" s="50">
        <f t="shared" si="55"/>
        <v>1</v>
      </c>
      <c r="R291" s="355">
        <f t="shared" si="56"/>
        <v>0</v>
      </c>
      <c r="S291" s="651">
        <f t="shared" si="57"/>
        <v>0</v>
      </c>
    </row>
    <row r="292" spans="1:19">
      <c r="A292" s="808"/>
      <c r="B292" s="129"/>
      <c r="C292" s="50">
        <f t="shared" si="48"/>
        <v>1</v>
      </c>
      <c r="D292" s="806"/>
      <c r="E292" s="50">
        <f t="shared" si="49"/>
        <v>1</v>
      </c>
      <c r="F292" s="806"/>
      <c r="G292" s="50">
        <f t="shared" si="50"/>
        <v>1</v>
      </c>
      <c r="H292" s="806"/>
      <c r="I292" s="50">
        <f t="shared" si="51"/>
        <v>1</v>
      </c>
      <c r="J292" s="806"/>
      <c r="K292" s="50">
        <f t="shared" si="52"/>
        <v>1</v>
      </c>
      <c r="L292" s="806"/>
      <c r="M292" s="50">
        <f t="shared" si="53"/>
        <v>1</v>
      </c>
      <c r="N292" s="806"/>
      <c r="O292" s="50">
        <f t="shared" si="54"/>
        <v>1</v>
      </c>
      <c r="P292" s="806"/>
      <c r="Q292" s="50">
        <f t="shared" si="55"/>
        <v>1</v>
      </c>
      <c r="R292" s="355">
        <f t="shared" si="56"/>
        <v>0</v>
      </c>
      <c r="S292" s="651">
        <f t="shared" si="57"/>
        <v>0</v>
      </c>
    </row>
    <row r="293" spans="1:19">
      <c r="A293" s="808"/>
      <c r="B293" s="129"/>
      <c r="C293" s="50">
        <f t="shared" si="48"/>
        <v>1</v>
      </c>
      <c r="D293" s="806"/>
      <c r="E293" s="50">
        <f t="shared" si="49"/>
        <v>1</v>
      </c>
      <c r="F293" s="806"/>
      <c r="G293" s="50">
        <f t="shared" si="50"/>
        <v>1</v>
      </c>
      <c r="H293" s="806"/>
      <c r="I293" s="50">
        <f t="shared" si="51"/>
        <v>1</v>
      </c>
      <c r="J293" s="806"/>
      <c r="K293" s="50">
        <f t="shared" si="52"/>
        <v>1</v>
      </c>
      <c r="L293" s="806"/>
      <c r="M293" s="50">
        <f t="shared" si="53"/>
        <v>1</v>
      </c>
      <c r="N293" s="806"/>
      <c r="O293" s="50">
        <f t="shared" si="54"/>
        <v>1</v>
      </c>
      <c r="P293" s="806"/>
      <c r="Q293" s="50">
        <f t="shared" si="55"/>
        <v>1</v>
      </c>
      <c r="R293" s="355">
        <f t="shared" si="56"/>
        <v>0</v>
      </c>
      <c r="S293" s="651">
        <f t="shared" si="57"/>
        <v>0</v>
      </c>
    </row>
    <row r="294" spans="1:19">
      <c r="A294" s="808"/>
      <c r="B294" s="129"/>
      <c r="C294" s="50">
        <f t="shared" si="48"/>
        <v>1</v>
      </c>
      <c r="D294" s="806"/>
      <c r="E294" s="50">
        <f t="shared" si="49"/>
        <v>1</v>
      </c>
      <c r="F294" s="806"/>
      <c r="G294" s="50">
        <f t="shared" si="50"/>
        <v>1</v>
      </c>
      <c r="H294" s="806"/>
      <c r="I294" s="50">
        <f t="shared" si="51"/>
        <v>1</v>
      </c>
      <c r="J294" s="806"/>
      <c r="K294" s="50">
        <f t="shared" si="52"/>
        <v>1</v>
      </c>
      <c r="L294" s="806"/>
      <c r="M294" s="50">
        <f t="shared" si="53"/>
        <v>1</v>
      </c>
      <c r="N294" s="806"/>
      <c r="O294" s="50">
        <f t="shared" si="54"/>
        <v>1</v>
      </c>
      <c r="P294" s="806"/>
      <c r="Q294" s="50">
        <f t="shared" si="55"/>
        <v>1</v>
      </c>
      <c r="R294" s="355">
        <f t="shared" si="56"/>
        <v>0</v>
      </c>
      <c r="S294" s="651">
        <f t="shared" si="57"/>
        <v>0</v>
      </c>
    </row>
    <row r="295" spans="1:19">
      <c r="A295" s="808"/>
      <c r="B295" s="129"/>
      <c r="C295" s="50">
        <f t="shared" si="48"/>
        <v>1</v>
      </c>
      <c r="D295" s="806"/>
      <c r="E295" s="50">
        <f t="shared" si="49"/>
        <v>1</v>
      </c>
      <c r="F295" s="806"/>
      <c r="G295" s="50">
        <f t="shared" si="50"/>
        <v>1</v>
      </c>
      <c r="H295" s="806"/>
      <c r="I295" s="50">
        <f t="shared" si="51"/>
        <v>1</v>
      </c>
      <c r="J295" s="806"/>
      <c r="K295" s="50">
        <f t="shared" si="52"/>
        <v>1</v>
      </c>
      <c r="L295" s="806"/>
      <c r="M295" s="50">
        <f t="shared" si="53"/>
        <v>1</v>
      </c>
      <c r="N295" s="806"/>
      <c r="O295" s="50">
        <f t="shared" si="54"/>
        <v>1</v>
      </c>
      <c r="P295" s="806"/>
      <c r="Q295" s="50">
        <f t="shared" si="55"/>
        <v>1</v>
      </c>
      <c r="R295" s="355">
        <f t="shared" si="56"/>
        <v>0</v>
      </c>
      <c r="S295" s="651">
        <f t="shared" si="57"/>
        <v>0</v>
      </c>
    </row>
    <row r="296" spans="1:19">
      <c r="A296" s="808"/>
      <c r="B296" s="129"/>
      <c r="C296" s="50">
        <f t="shared" si="48"/>
        <v>1</v>
      </c>
      <c r="D296" s="806"/>
      <c r="E296" s="50">
        <f t="shared" si="49"/>
        <v>1</v>
      </c>
      <c r="F296" s="806"/>
      <c r="G296" s="50">
        <f t="shared" si="50"/>
        <v>1</v>
      </c>
      <c r="H296" s="806"/>
      <c r="I296" s="50">
        <f t="shared" si="51"/>
        <v>1</v>
      </c>
      <c r="J296" s="806"/>
      <c r="K296" s="50">
        <f t="shared" si="52"/>
        <v>1</v>
      </c>
      <c r="L296" s="806"/>
      <c r="M296" s="50">
        <f t="shared" si="53"/>
        <v>1</v>
      </c>
      <c r="N296" s="806"/>
      <c r="O296" s="50">
        <f t="shared" si="54"/>
        <v>1</v>
      </c>
      <c r="P296" s="806"/>
      <c r="Q296" s="50">
        <f t="shared" si="55"/>
        <v>1</v>
      </c>
      <c r="R296" s="355">
        <f t="shared" si="56"/>
        <v>0</v>
      </c>
      <c r="S296" s="651">
        <f t="shared" si="57"/>
        <v>0</v>
      </c>
    </row>
    <row r="297" spans="1:19">
      <c r="A297" s="808"/>
      <c r="B297" s="129"/>
      <c r="C297" s="50">
        <f t="shared" si="48"/>
        <v>1</v>
      </c>
      <c r="D297" s="806"/>
      <c r="E297" s="50">
        <f t="shared" si="49"/>
        <v>1</v>
      </c>
      <c r="F297" s="806"/>
      <c r="G297" s="50">
        <f t="shared" si="50"/>
        <v>1</v>
      </c>
      <c r="H297" s="806"/>
      <c r="I297" s="50">
        <f t="shared" si="51"/>
        <v>1</v>
      </c>
      <c r="J297" s="806"/>
      <c r="K297" s="50">
        <f t="shared" si="52"/>
        <v>1</v>
      </c>
      <c r="L297" s="806"/>
      <c r="M297" s="50">
        <f t="shared" si="53"/>
        <v>1</v>
      </c>
      <c r="N297" s="806"/>
      <c r="O297" s="50">
        <f t="shared" si="54"/>
        <v>1</v>
      </c>
      <c r="P297" s="806"/>
      <c r="Q297" s="50">
        <f t="shared" si="55"/>
        <v>1</v>
      </c>
      <c r="R297" s="355">
        <f t="shared" si="56"/>
        <v>0</v>
      </c>
      <c r="S297" s="651">
        <f t="shared" si="57"/>
        <v>0</v>
      </c>
    </row>
    <row r="298" spans="1:19">
      <c r="A298" s="808"/>
      <c r="B298" s="129"/>
      <c r="C298" s="50">
        <f t="shared" si="48"/>
        <v>1</v>
      </c>
      <c r="D298" s="806"/>
      <c r="E298" s="50">
        <f t="shared" si="49"/>
        <v>1</v>
      </c>
      <c r="F298" s="806"/>
      <c r="G298" s="50">
        <f t="shared" si="50"/>
        <v>1</v>
      </c>
      <c r="H298" s="806"/>
      <c r="I298" s="50">
        <f t="shared" si="51"/>
        <v>1</v>
      </c>
      <c r="J298" s="806"/>
      <c r="K298" s="50">
        <f t="shared" si="52"/>
        <v>1</v>
      </c>
      <c r="L298" s="806"/>
      <c r="M298" s="50">
        <f t="shared" si="53"/>
        <v>1</v>
      </c>
      <c r="N298" s="806"/>
      <c r="O298" s="50">
        <f t="shared" si="54"/>
        <v>1</v>
      </c>
      <c r="P298" s="806"/>
      <c r="Q298" s="50">
        <f t="shared" si="55"/>
        <v>1</v>
      </c>
      <c r="R298" s="355">
        <f t="shared" si="56"/>
        <v>0</v>
      </c>
      <c r="S298" s="651">
        <f t="shared" si="57"/>
        <v>0</v>
      </c>
    </row>
    <row r="299" spans="1:19">
      <c r="A299" s="808"/>
      <c r="B299" s="129"/>
      <c r="C299" s="50">
        <f t="shared" si="48"/>
        <v>1</v>
      </c>
      <c r="D299" s="806"/>
      <c r="E299" s="50">
        <f t="shared" si="49"/>
        <v>1</v>
      </c>
      <c r="F299" s="806"/>
      <c r="G299" s="50">
        <f t="shared" si="50"/>
        <v>1</v>
      </c>
      <c r="H299" s="806"/>
      <c r="I299" s="50">
        <f t="shared" si="51"/>
        <v>1</v>
      </c>
      <c r="J299" s="806"/>
      <c r="K299" s="50">
        <f t="shared" si="52"/>
        <v>1</v>
      </c>
      <c r="L299" s="806"/>
      <c r="M299" s="50">
        <f t="shared" si="53"/>
        <v>1</v>
      </c>
      <c r="N299" s="806"/>
      <c r="O299" s="50">
        <f t="shared" si="54"/>
        <v>1</v>
      </c>
      <c r="P299" s="806"/>
      <c r="Q299" s="50">
        <f t="shared" si="55"/>
        <v>1</v>
      </c>
      <c r="R299" s="355">
        <f t="shared" si="56"/>
        <v>0</v>
      </c>
      <c r="S299" s="651">
        <f t="shared" si="57"/>
        <v>0</v>
      </c>
    </row>
    <row r="300" spans="1:19">
      <c r="A300" s="808"/>
      <c r="B300" s="129"/>
      <c r="C300" s="50">
        <f t="shared" si="48"/>
        <v>1</v>
      </c>
      <c r="D300" s="806"/>
      <c r="E300" s="50">
        <f t="shared" si="49"/>
        <v>1</v>
      </c>
      <c r="F300" s="806"/>
      <c r="G300" s="50">
        <f t="shared" si="50"/>
        <v>1</v>
      </c>
      <c r="H300" s="806"/>
      <c r="I300" s="50">
        <f t="shared" si="51"/>
        <v>1</v>
      </c>
      <c r="J300" s="806"/>
      <c r="K300" s="50">
        <f t="shared" si="52"/>
        <v>1</v>
      </c>
      <c r="L300" s="806"/>
      <c r="M300" s="50">
        <f t="shared" si="53"/>
        <v>1</v>
      </c>
      <c r="N300" s="806"/>
      <c r="O300" s="50">
        <f t="shared" si="54"/>
        <v>1</v>
      </c>
      <c r="P300" s="806"/>
      <c r="Q300" s="50">
        <f t="shared" si="55"/>
        <v>1</v>
      </c>
      <c r="R300" s="355">
        <f t="shared" si="56"/>
        <v>0</v>
      </c>
      <c r="S300" s="651">
        <f t="shared" si="57"/>
        <v>0</v>
      </c>
    </row>
    <row r="301" spans="1:19">
      <c r="A301" s="808"/>
      <c r="B301" s="129"/>
      <c r="C301" s="50">
        <f t="shared" si="48"/>
        <v>1</v>
      </c>
      <c r="D301" s="806"/>
      <c r="E301" s="50">
        <f t="shared" si="49"/>
        <v>1</v>
      </c>
      <c r="F301" s="806"/>
      <c r="G301" s="50">
        <f t="shared" si="50"/>
        <v>1</v>
      </c>
      <c r="H301" s="806"/>
      <c r="I301" s="50">
        <f t="shared" si="51"/>
        <v>1</v>
      </c>
      <c r="J301" s="806"/>
      <c r="K301" s="50">
        <f t="shared" si="52"/>
        <v>1</v>
      </c>
      <c r="L301" s="806"/>
      <c r="M301" s="50">
        <f t="shared" si="53"/>
        <v>1</v>
      </c>
      <c r="N301" s="806"/>
      <c r="O301" s="50">
        <f t="shared" si="54"/>
        <v>1</v>
      </c>
      <c r="P301" s="806"/>
      <c r="Q301" s="50">
        <f t="shared" si="55"/>
        <v>1</v>
      </c>
      <c r="R301" s="355">
        <f t="shared" si="56"/>
        <v>0</v>
      </c>
      <c r="S301" s="651">
        <f t="shared" si="57"/>
        <v>0</v>
      </c>
    </row>
    <row r="302" spans="1:19">
      <c r="A302" s="808"/>
      <c r="B302" s="129"/>
      <c r="C302" s="50">
        <f t="shared" si="48"/>
        <v>1</v>
      </c>
      <c r="D302" s="806"/>
      <c r="E302" s="50">
        <f t="shared" si="49"/>
        <v>1</v>
      </c>
      <c r="F302" s="806"/>
      <c r="G302" s="50">
        <f t="shared" si="50"/>
        <v>1</v>
      </c>
      <c r="H302" s="806"/>
      <c r="I302" s="50">
        <f t="shared" si="51"/>
        <v>1</v>
      </c>
      <c r="J302" s="806"/>
      <c r="K302" s="50">
        <f t="shared" si="52"/>
        <v>1</v>
      </c>
      <c r="L302" s="806"/>
      <c r="M302" s="50">
        <f t="shared" si="53"/>
        <v>1</v>
      </c>
      <c r="N302" s="806"/>
      <c r="O302" s="50">
        <f t="shared" si="54"/>
        <v>1</v>
      </c>
      <c r="P302" s="806"/>
      <c r="Q302" s="50">
        <f t="shared" si="55"/>
        <v>1</v>
      </c>
      <c r="R302" s="355">
        <f t="shared" si="56"/>
        <v>0</v>
      </c>
      <c r="S302" s="651">
        <f t="shared" si="57"/>
        <v>0</v>
      </c>
    </row>
    <row r="303" spans="1:19">
      <c r="A303" s="808"/>
      <c r="B303" s="129"/>
      <c r="C303" s="50">
        <f t="shared" si="48"/>
        <v>1</v>
      </c>
      <c r="D303" s="806"/>
      <c r="E303" s="50">
        <f t="shared" si="49"/>
        <v>1</v>
      </c>
      <c r="F303" s="806"/>
      <c r="G303" s="50">
        <f t="shared" si="50"/>
        <v>1</v>
      </c>
      <c r="H303" s="806"/>
      <c r="I303" s="50">
        <f t="shared" si="51"/>
        <v>1</v>
      </c>
      <c r="J303" s="806"/>
      <c r="K303" s="50">
        <f t="shared" si="52"/>
        <v>1</v>
      </c>
      <c r="L303" s="806"/>
      <c r="M303" s="50">
        <f t="shared" si="53"/>
        <v>1</v>
      </c>
      <c r="N303" s="806"/>
      <c r="O303" s="50">
        <f t="shared" si="54"/>
        <v>1</v>
      </c>
      <c r="P303" s="806"/>
      <c r="Q303" s="50">
        <f t="shared" si="55"/>
        <v>1</v>
      </c>
      <c r="R303" s="355">
        <f t="shared" si="56"/>
        <v>0</v>
      </c>
      <c r="S303" s="651">
        <f t="shared" si="57"/>
        <v>0</v>
      </c>
    </row>
    <row r="304" spans="1:19">
      <c r="A304" s="808"/>
      <c r="B304" s="129"/>
      <c r="C304" s="50">
        <f t="shared" si="48"/>
        <v>1</v>
      </c>
      <c r="D304" s="806"/>
      <c r="E304" s="50">
        <f t="shared" si="49"/>
        <v>1</v>
      </c>
      <c r="F304" s="806"/>
      <c r="G304" s="50">
        <f t="shared" si="50"/>
        <v>1</v>
      </c>
      <c r="H304" s="806"/>
      <c r="I304" s="50">
        <f t="shared" si="51"/>
        <v>1</v>
      </c>
      <c r="J304" s="806"/>
      <c r="K304" s="50">
        <f t="shared" si="52"/>
        <v>1</v>
      </c>
      <c r="L304" s="806"/>
      <c r="M304" s="50">
        <f t="shared" si="53"/>
        <v>1</v>
      </c>
      <c r="N304" s="806"/>
      <c r="O304" s="50">
        <f t="shared" si="54"/>
        <v>1</v>
      </c>
      <c r="P304" s="806"/>
      <c r="Q304" s="50">
        <f t="shared" si="55"/>
        <v>1</v>
      </c>
      <c r="R304" s="355">
        <f t="shared" si="56"/>
        <v>0</v>
      </c>
      <c r="S304" s="651">
        <f t="shared" si="57"/>
        <v>0</v>
      </c>
    </row>
    <row r="305" spans="1:19">
      <c r="A305" s="808"/>
      <c r="B305" s="129"/>
      <c r="C305" s="50">
        <f t="shared" si="48"/>
        <v>1</v>
      </c>
      <c r="D305" s="806"/>
      <c r="E305" s="50">
        <f t="shared" si="49"/>
        <v>1</v>
      </c>
      <c r="F305" s="806"/>
      <c r="G305" s="50">
        <f t="shared" si="50"/>
        <v>1</v>
      </c>
      <c r="H305" s="806"/>
      <c r="I305" s="50">
        <f t="shared" si="51"/>
        <v>1</v>
      </c>
      <c r="J305" s="806"/>
      <c r="K305" s="50">
        <f t="shared" si="52"/>
        <v>1</v>
      </c>
      <c r="L305" s="806"/>
      <c r="M305" s="50">
        <f t="shared" si="53"/>
        <v>1</v>
      </c>
      <c r="N305" s="806"/>
      <c r="O305" s="50">
        <f t="shared" si="54"/>
        <v>1</v>
      </c>
      <c r="P305" s="806"/>
      <c r="Q305" s="50">
        <f t="shared" si="55"/>
        <v>1</v>
      </c>
      <c r="R305" s="355">
        <f t="shared" si="56"/>
        <v>0</v>
      </c>
      <c r="S305" s="651">
        <f t="shared" si="57"/>
        <v>0</v>
      </c>
    </row>
    <row r="306" spans="1:19">
      <c r="A306" s="808"/>
      <c r="B306" s="129"/>
      <c r="C306" s="50">
        <f t="shared" si="48"/>
        <v>1</v>
      </c>
      <c r="D306" s="806"/>
      <c r="E306" s="50">
        <f t="shared" si="49"/>
        <v>1</v>
      </c>
      <c r="F306" s="806"/>
      <c r="G306" s="50">
        <f t="shared" si="50"/>
        <v>1</v>
      </c>
      <c r="H306" s="806"/>
      <c r="I306" s="50">
        <f t="shared" si="51"/>
        <v>1</v>
      </c>
      <c r="J306" s="806"/>
      <c r="K306" s="50">
        <f t="shared" si="52"/>
        <v>1</v>
      </c>
      <c r="L306" s="806"/>
      <c r="M306" s="50">
        <f t="shared" si="53"/>
        <v>1</v>
      </c>
      <c r="N306" s="806"/>
      <c r="O306" s="50">
        <f t="shared" si="54"/>
        <v>1</v>
      </c>
      <c r="P306" s="806"/>
      <c r="Q306" s="50">
        <f t="shared" si="55"/>
        <v>1</v>
      </c>
      <c r="R306" s="355">
        <f t="shared" si="56"/>
        <v>0</v>
      </c>
      <c r="S306" s="651">
        <f t="shared" si="57"/>
        <v>0</v>
      </c>
    </row>
    <row r="307" spans="1:19">
      <c r="A307" s="808"/>
      <c r="B307" s="129"/>
      <c r="C307" s="50">
        <f t="shared" si="48"/>
        <v>1</v>
      </c>
      <c r="D307" s="806"/>
      <c r="E307" s="50">
        <f t="shared" si="49"/>
        <v>1</v>
      </c>
      <c r="F307" s="806"/>
      <c r="G307" s="50">
        <f t="shared" si="50"/>
        <v>1</v>
      </c>
      <c r="H307" s="806"/>
      <c r="I307" s="50">
        <f t="shared" si="51"/>
        <v>1</v>
      </c>
      <c r="J307" s="806"/>
      <c r="K307" s="50">
        <f t="shared" si="52"/>
        <v>1</v>
      </c>
      <c r="L307" s="806"/>
      <c r="M307" s="50">
        <f t="shared" si="53"/>
        <v>1</v>
      </c>
      <c r="N307" s="806"/>
      <c r="O307" s="50">
        <f t="shared" si="54"/>
        <v>1</v>
      </c>
      <c r="P307" s="806"/>
      <c r="Q307" s="50">
        <f t="shared" si="55"/>
        <v>1</v>
      </c>
      <c r="R307" s="355">
        <f t="shared" si="56"/>
        <v>0</v>
      </c>
      <c r="S307" s="651">
        <f t="shared" si="57"/>
        <v>0</v>
      </c>
    </row>
    <row r="308" spans="1:19">
      <c r="A308" s="808"/>
      <c r="B308" s="129"/>
      <c r="C308" s="50">
        <f t="shared" si="48"/>
        <v>1</v>
      </c>
      <c r="D308" s="806"/>
      <c r="E308" s="50">
        <f t="shared" si="49"/>
        <v>1</v>
      </c>
      <c r="F308" s="806"/>
      <c r="G308" s="50">
        <f t="shared" si="50"/>
        <v>1</v>
      </c>
      <c r="H308" s="806"/>
      <c r="I308" s="50">
        <f t="shared" si="51"/>
        <v>1</v>
      </c>
      <c r="J308" s="806"/>
      <c r="K308" s="50">
        <f t="shared" si="52"/>
        <v>1</v>
      </c>
      <c r="L308" s="806"/>
      <c r="M308" s="50">
        <f t="shared" si="53"/>
        <v>1</v>
      </c>
      <c r="N308" s="806"/>
      <c r="O308" s="50">
        <f t="shared" si="54"/>
        <v>1</v>
      </c>
      <c r="P308" s="806"/>
      <c r="Q308" s="50">
        <f t="shared" si="55"/>
        <v>1</v>
      </c>
      <c r="R308" s="355">
        <f t="shared" si="56"/>
        <v>0</v>
      </c>
      <c r="S308" s="651">
        <f t="shared" si="57"/>
        <v>0</v>
      </c>
    </row>
    <row r="309" spans="1:19">
      <c r="A309" s="808"/>
      <c r="B309" s="129"/>
      <c r="C309" s="50">
        <f t="shared" si="48"/>
        <v>1</v>
      </c>
      <c r="D309" s="806"/>
      <c r="E309" s="50">
        <f t="shared" si="49"/>
        <v>1</v>
      </c>
      <c r="F309" s="806"/>
      <c r="G309" s="50">
        <f t="shared" si="50"/>
        <v>1</v>
      </c>
      <c r="H309" s="806"/>
      <c r="I309" s="50">
        <f t="shared" si="51"/>
        <v>1</v>
      </c>
      <c r="J309" s="806"/>
      <c r="K309" s="50">
        <f t="shared" si="52"/>
        <v>1</v>
      </c>
      <c r="L309" s="806"/>
      <c r="M309" s="50">
        <f t="shared" si="53"/>
        <v>1</v>
      </c>
      <c r="N309" s="806"/>
      <c r="O309" s="50">
        <f t="shared" si="54"/>
        <v>1</v>
      </c>
      <c r="P309" s="806"/>
      <c r="Q309" s="50">
        <f t="shared" si="55"/>
        <v>1</v>
      </c>
      <c r="R309" s="355">
        <f t="shared" si="56"/>
        <v>0</v>
      </c>
      <c r="S309" s="651">
        <f t="shared" si="57"/>
        <v>0</v>
      </c>
    </row>
    <row r="310" spans="1:19">
      <c r="A310" s="808"/>
      <c r="B310" s="129"/>
      <c r="C310" s="50">
        <f t="shared" si="48"/>
        <v>1</v>
      </c>
      <c r="D310" s="806"/>
      <c r="E310" s="50">
        <f t="shared" si="49"/>
        <v>1</v>
      </c>
      <c r="F310" s="806"/>
      <c r="G310" s="50">
        <f t="shared" si="50"/>
        <v>1</v>
      </c>
      <c r="H310" s="806"/>
      <c r="I310" s="50">
        <f t="shared" si="51"/>
        <v>1</v>
      </c>
      <c r="J310" s="806"/>
      <c r="K310" s="50">
        <f t="shared" si="52"/>
        <v>1</v>
      </c>
      <c r="L310" s="806"/>
      <c r="M310" s="50">
        <f t="shared" si="53"/>
        <v>1</v>
      </c>
      <c r="N310" s="806"/>
      <c r="O310" s="50">
        <f t="shared" si="54"/>
        <v>1</v>
      </c>
      <c r="P310" s="806"/>
      <c r="Q310" s="50">
        <f t="shared" si="55"/>
        <v>1</v>
      </c>
      <c r="R310" s="355">
        <f t="shared" si="56"/>
        <v>0</v>
      </c>
      <c r="S310" s="651">
        <f t="shared" si="57"/>
        <v>0</v>
      </c>
    </row>
    <row r="311" spans="1:19">
      <c r="A311" s="808"/>
      <c r="B311" s="129"/>
      <c r="C311" s="50">
        <f t="shared" si="48"/>
        <v>1</v>
      </c>
      <c r="D311" s="806"/>
      <c r="E311" s="50">
        <f t="shared" si="49"/>
        <v>1</v>
      </c>
      <c r="F311" s="806"/>
      <c r="G311" s="50">
        <f t="shared" si="50"/>
        <v>1</v>
      </c>
      <c r="H311" s="806"/>
      <c r="I311" s="50">
        <f t="shared" si="51"/>
        <v>1</v>
      </c>
      <c r="J311" s="806"/>
      <c r="K311" s="50">
        <f t="shared" si="52"/>
        <v>1</v>
      </c>
      <c r="L311" s="806"/>
      <c r="M311" s="50">
        <f t="shared" si="53"/>
        <v>1</v>
      </c>
      <c r="N311" s="806"/>
      <c r="O311" s="50">
        <f t="shared" si="54"/>
        <v>1</v>
      </c>
      <c r="P311" s="806"/>
      <c r="Q311" s="50">
        <f t="shared" si="55"/>
        <v>1</v>
      </c>
      <c r="R311" s="355">
        <f t="shared" si="56"/>
        <v>0</v>
      </c>
      <c r="S311" s="651">
        <f t="shared" si="57"/>
        <v>0</v>
      </c>
    </row>
    <row r="312" spans="1:19">
      <c r="A312" s="808"/>
      <c r="B312" s="129"/>
      <c r="C312" s="50">
        <f t="shared" si="48"/>
        <v>1</v>
      </c>
      <c r="D312" s="806"/>
      <c r="E312" s="50">
        <f t="shared" si="49"/>
        <v>1</v>
      </c>
      <c r="F312" s="806"/>
      <c r="G312" s="50">
        <f t="shared" si="50"/>
        <v>1</v>
      </c>
      <c r="H312" s="806"/>
      <c r="I312" s="50">
        <f t="shared" si="51"/>
        <v>1</v>
      </c>
      <c r="J312" s="806"/>
      <c r="K312" s="50">
        <f t="shared" si="52"/>
        <v>1</v>
      </c>
      <c r="L312" s="806"/>
      <c r="M312" s="50">
        <f t="shared" si="53"/>
        <v>1</v>
      </c>
      <c r="N312" s="806"/>
      <c r="O312" s="50">
        <f t="shared" si="54"/>
        <v>1</v>
      </c>
      <c r="P312" s="806"/>
      <c r="Q312" s="50">
        <f t="shared" si="55"/>
        <v>1</v>
      </c>
      <c r="R312" s="355">
        <f t="shared" si="56"/>
        <v>0</v>
      </c>
      <c r="S312" s="651">
        <f t="shared" si="57"/>
        <v>0</v>
      </c>
    </row>
    <row r="313" spans="1:19">
      <c r="A313" s="808"/>
      <c r="B313" s="129"/>
      <c r="C313" s="50">
        <f t="shared" si="48"/>
        <v>1</v>
      </c>
      <c r="D313" s="806"/>
      <c r="E313" s="50">
        <f t="shared" si="49"/>
        <v>1</v>
      </c>
      <c r="F313" s="806"/>
      <c r="G313" s="50">
        <f t="shared" si="50"/>
        <v>1</v>
      </c>
      <c r="H313" s="806"/>
      <c r="I313" s="50">
        <f t="shared" si="51"/>
        <v>1</v>
      </c>
      <c r="J313" s="806"/>
      <c r="K313" s="50">
        <f t="shared" si="52"/>
        <v>1</v>
      </c>
      <c r="L313" s="806"/>
      <c r="M313" s="50">
        <f t="shared" si="53"/>
        <v>1</v>
      </c>
      <c r="N313" s="806"/>
      <c r="O313" s="50">
        <f t="shared" si="54"/>
        <v>1</v>
      </c>
      <c r="P313" s="806"/>
      <c r="Q313" s="50">
        <f t="shared" si="55"/>
        <v>1</v>
      </c>
      <c r="R313" s="355">
        <f t="shared" si="56"/>
        <v>0</v>
      </c>
      <c r="S313" s="651">
        <f t="shared" si="57"/>
        <v>0</v>
      </c>
    </row>
    <row r="314" spans="1:19">
      <c r="A314" s="808"/>
      <c r="B314" s="129"/>
      <c r="C314" s="50">
        <f t="shared" si="48"/>
        <v>1</v>
      </c>
      <c r="D314" s="806"/>
      <c r="E314" s="50">
        <f t="shared" si="49"/>
        <v>1</v>
      </c>
      <c r="F314" s="806"/>
      <c r="G314" s="50">
        <f t="shared" si="50"/>
        <v>1</v>
      </c>
      <c r="H314" s="806"/>
      <c r="I314" s="50">
        <f t="shared" si="51"/>
        <v>1</v>
      </c>
      <c r="J314" s="806"/>
      <c r="K314" s="50">
        <f t="shared" si="52"/>
        <v>1</v>
      </c>
      <c r="L314" s="806"/>
      <c r="M314" s="50">
        <f t="shared" si="53"/>
        <v>1</v>
      </c>
      <c r="N314" s="806"/>
      <c r="O314" s="50">
        <f t="shared" si="54"/>
        <v>1</v>
      </c>
      <c r="P314" s="806"/>
      <c r="Q314" s="50">
        <f t="shared" si="55"/>
        <v>1</v>
      </c>
      <c r="R314" s="355">
        <f t="shared" si="56"/>
        <v>0</v>
      </c>
      <c r="S314" s="651">
        <f t="shared" si="57"/>
        <v>0</v>
      </c>
    </row>
    <row r="315" spans="1:19">
      <c r="A315" s="808"/>
      <c r="B315" s="129"/>
      <c r="C315" s="50">
        <f t="shared" si="48"/>
        <v>1</v>
      </c>
      <c r="D315" s="806"/>
      <c r="E315" s="50">
        <f t="shared" si="49"/>
        <v>1</v>
      </c>
      <c r="F315" s="806"/>
      <c r="G315" s="50">
        <f t="shared" si="50"/>
        <v>1</v>
      </c>
      <c r="H315" s="806"/>
      <c r="I315" s="50">
        <f t="shared" si="51"/>
        <v>1</v>
      </c>
      <c r="J315" s="806"/>
      <c r="K315" s="50">
        <f t="shared" si="52"/>
        <v>1</v>
      </c>
      <c r="L315" s="806"/>
      <c r="M315" s="50">
        <f t="shared" si="53"/>
        <v>1</v>
      </c>
      <c r="N315" s="806"/>
      <c r="O315" s="50">
        <f t="shared" si="54"/>
        <v>1</v>
      </c>
      <c r="P315" s="806"/>
      <c r="Q315" s="50">
        <f t="shared" si="55"/>
        <v>1</v>
      </c>
      <c r="R315" s="355">
        <f t="shared" si="56"/>
        <v>0</v>
      </c>
      <c r="S315" s="651">
        <f t="shared" si="57"/>
        <v>0</v>
      </c>
    </row>
    <row r="316" spans="1:19">
      <c r="A316" s="808"/>
      <c r="B316" s="129"/>
      <c r="C316" s="50">
        <f t="shared" si="48"/>
        <v>1</v>
      </c>
      <c r="D316" s="806"/>
      <c r="E316" s="50">
        <f t="shared" si="49"/>
        <v>1</v>
      </c>
      <c r="F316" s="806"/>
      <c r="G316" s="50">
        <f t="shared" si="50"/>
        <v>1</v>
      </c>
      <c r="H316" s="806"/>
      <c r="I316" s="50">
        <f t="shared" si="51"/>
        <v>1</v>
      </c>
      <c r="J316" s="806"/>
      <c r="K316" s="50">
        <f t="shared" si="52"/>
        <v>1</v>
      </c>
      <c r="L316" s="806"/>
      <c r="M316" s="50">
        <f t="shared" si="53"/>
        <v>1</v>
      </c>
      <c r="N316" s="806"/>
      <c r="O316" s="50">
        <f t="shared" si="54"/>
        <v>1</v>
      </c>
      <c r="P316" s="806"/>
      <c r="Q316" s="50">
        <f t="shared" si="55"/>
        <v>1</v>
      </c>
      <c r="R316" s="355">
        <f t="shared" si="56"/>
        <v>0</v>
      </c>
      <c r="S316" s="651">
        <f t="shared" si="57"/>
        <v>0</v>
      </c>
    </row>
    <row r="317" spans="1:19">
      <c r="A317" s="808"/>
      <c r="B317" s="129"/>
      <c r="C317" s="50">
        <f t="shared" si="48"/>
        <v>1</v>
      </c>
      <c r="D317" s="806"/>
      <c r="E317" s="50">
        <f t="shared" si="49"/>
        <v>1</v>
      </c>
      <c r="F317" s="806"/>
      <c r="G317" s="50">
        <f t="shared" si="50"/>
        <v>1</v>
      </c>
      <c r="H317" s="806"/>
      <c r="I317" s="50">
        <f t="shared" si="51"/>
        <v>1</v>
      </c>
      <c r="J317" s="806"/>
      <c r="K317" s="50">
        <f t="shared" si="52"/>
        <v>1</v>
      </c>
      <c r="L317" s="806"/>
      <c r="M317" s="50">
        <f t="shared" si="53"/>
        <v>1</v>
      </c>
      <c r="N317" s="806"/>
      <c r="O317" s="50">
        <f t="shared" si="54"/>
        <v>1</v>
      </c>
      <c r="P317" s="806"/>
      <c r="Q317" s="50">
        <f t="shared" si="55"/>
        <v>1</v>
      </c>
      <c r="R317" s="355">
        <f t="shared" si="56"/>
        <v>0</v>
      </c>
      <c r="S317" s="651">
        <f t="shared" si="57"/>
        <v>0</v>
      </c>
    </row>
    <row r="318" spans="1:19">
      <c r="A318" s="808"/>
      <c r="B318" s="129"/>
      <c r="C318" s="50">
        <f t="shared" si="48"/>
        <v>1</v>
      </c>
      <c r="D318" s="806"/>
      <c r="E318" s="50">
        <f t="shared" si="49"/>
        <v>1</v>
      </c>
      <c r="F318" s="806"/>
      <c r="G318" s="50">
        <f t="shared" si="50"/>
        <v>1</v>
      </c>
      <c r="H318" s="806"/>
      <c r="I318" s="50">
        <f t="shared" si="51"/>
        <v>1</v>
      </c>
      <c r="J318" s="806"/>
      <c r="K318" s="50">
        <f t="shared" si="52"/>
        <v>1</v>
      </c>
      <c r="L318" s="806"/>
      <c r="M318" s="50">
        <f t="shared" si="53"/>
        <v>1</v>
      </c>
      <c r="N318" s="806"/>
      <c r="O318" s="50">
        <f t="shared" si="54"/>
        <v>1</v>
      </c>
      <c r="P318" s="806"/>
      <c r="Q318" s="50">
        <f t="shared" si="55"/>
        <v>1</v>
      </c>
      <c r="R318" s="355">
        <f t="shared" si="56"/>
        <v>0</v>
      </c>
      <c r="S318" s="651">
        <f t="shared" si="57"/>
        <v>0</v>
      </c>
    </row>
    <row r="319" spans="1:19">
      <c r="A319" s="808"/>
      <c r="B319" s="129"/>
      <c r="C319" s="50">
        <f t="shared" si="48"/>
        <v>1</v>
      </c>
      <c r="D319" s="806"/>
      <c r="E319" s="50">
        <f t="shared" si="49"/>
        <v>1</v>
      </c>
      <c r="F319" s="806"/>
      <c r="G319" s="50">
        <f t="shared" si="50"/>
        <v>1</v>
      </c>
      <c r="H319" s="806"/>
      <c r="I319" s="50">
        <f t="shared" si="51"/>
        <v>1</v>
      </c>
      <c r="J319" s="806"/>
      <c r="K319" s="50">
        <f t="shared" si="52"/>
        <v>1</v>
      </c>
      <c r="L319" s="806"/>
      <c r="M319" s="50">
        <f t="shared" si="53"/>
        <v>1</v>
      </c>
      <c r="N319" s="806"/>
      <c r="O319" s="50">
        <f t="shared" si="54"/>
        <v>1</v>
      </c>
      <c r="P319" s="806"/>
      <c r="Q319" s="50">
        <f t="shared" si="55"/>
        <v>1</v>
      </c>
      <c r="R319" s="355">
        <f t="shared" si="56"/>
        <v>0</v>
      </c>
      <c r="S319" s="651">
        <f t="shared" si="57"/>
        <v>0</v>
      </c>
    </row>
    <row r="320" spans="1:19">
      <c r="A320" s="808"/>
      <c r="B320" s="129"/>
      <c r="C320" s="50">
        <f t="shared" si="48"/>
        <v>1</v>
      </c>
      <c r="D320" s="806"/>
      <c r="E320" s="50">
        <f t="shared" si="49"/>
        <v>1</v>
      </c>
      <c r="F320" s="806"/>
      <c r="G320" s="50">
        <f t="shared" si="50"/>
        <v>1</v>
      </c>
      <c r="H320" s="806"/>
      <c r="I320" s="50">
        <f t="shared" si="51"/>
        <v>1</v>
      </c>
      <c r="J320" s="806"/>
      <c r="K320" s="50">
        <f t="shared" si="52"/>
        <v>1</v>
      </c>
      <c r="L320" s="806"/>
      <c r="M320" s="50">
        <f t="shared" si="53"/>
        <v>1</v>
      </c>
      <c r="N320" s="806"/>
      <c r="O320" s="50">
        <f t="shared" si="54"/>
        <v>1</v>
      </c>
      <c r="P320" s="806"/>
      <c r="Q320" s="50">
        <f t="shared" si="55"/>
        <v>1</v>
      </c>
      <c r="R320" s="355">
        <f t="shared" si="56"/>
        <v>0</v>
      </c>
      <c r="S320" s="651">
        <f t="shared" si="57"/>
        <v>0</v>
      </c>
    </row>
    <row r="321" spans="1:19">
      <c r="A321" s="808"/>
      <c r="B321" s="129"/>
      <c r="C321" s="50">
        <f t="shared" si="48"/>
        <v>1</v>
      </c>
      <c r="D321" s="806"/>
      <c r="E321" s="50">
        <f t="shared" si="49"/>
        <v>1</v>
      </c>
      <c r="F321" s="806"/>
      <c r="G321" s="50">
        <f t="shared" si="50"/>
        <v>1</v>
      </c>
      <c r="H321" s="806"/>
      <c r="I321" s="50">
        <f t="shared" si="51"/>
        <v>1</v>
      </c>
      <c r="J321" s="806"/>
      <c r="K321" s="50">
        <f t="shared" si="52"/>
        <v>1</v>
      </c>
      <c r="L321" s="806"/>
      <c r="M321" s="50">
        <f t="shared" si="53"/>
        <v>1</v>
      </c>
      <c r="N321" s="806"/>
      <c r="O321" s="50">
        <f t="shared" si="54"/>
        <v>1</v>
      </c>
      <c r="P321" s="806"/>
      <c r="Q321" s="50">
        <f t="shared" si="55"/>
        <v>1</v>
      </c>
      <c r="R321" s="355">
        <f t="shared" si="56"/>
        <v>0</v>
      </c>
      <c r="S321" s="651">
        <f t="shared" ref="S321:S384" si="58">ROUND(R321*B321/10000,0)</f>
        <v>0</v>
      </c>
    </row>
    <row r="322" spans="1:19">
      <c r="A322" s="808"/>
      <c r="B322" s="129"/>
      <c r="C322" s="50">
        <f t="shared" si="48"/>
        <v>1</v>
      </c>
      <c r="D322" s="806"/>
      <c r="E322" s="50">
        <f t="shared" si="49"/>
        <v>1</v>
      </c>
      <c r="F322" s="806"/>
      <c r="G322" s="50">
        <f t="shared" si="50"/>
        <v>1</v>
      </c>
      <c r="H322" s="806"/>
      <c r="I322" s="50">
        <f t="shared" si="51"/>
        <v>1</v>
      </c>
      <c r="J322" s="806"/>
      <c r="K322" s="50">
        <f t="shared" si="52"/>
        <v>1</v>
      </c>
      <c r="L322" s="806"/>
      <c r="M322" s="50">
        <f t="shared" si="53"/>
        <v>1</v>
      </c>
      <c r="N322" s="806"/>
      <c r="O322" s="50">
        <f t="shared" si="54"/>
        <v>1</v>
      </c>
      <c r="P322" s="806"/>
      <c r="Q322" s="50">
        <f t="shared" si="55"/>
        <v>1</v>
      </c>
      <c r="R322" s="355">
        <f t="shared" si="56"/>
        <v>0</v>
      </c>
      <c r="S322" s="651">
        <f t="shared" si="58"/>
        <v>0</v>
      </c>
    </row>
    <row r="323" spans="1:19">
      <c r="A323" s="808"/>
      <c r="B323" s="129"/>
      <c r="C323" s="50">
        <f t="shared" si="48"/>
        <v>1</v>
      </c>
      <c r="D323" s="806"/>
      <c r="E323" s="50">
        <f t="shared" si="49"/>
        <v>1</v>
      </c>
      <c r="F323" s="806"/>
      <c r="G323" s="50">
        <f t="shared" si="50"/>
        <v>1</v>
      </c>
      <c r="H323" s="806"/>
      <c r="I323" s="50">
        <f t="shared" si="51"/>
        <v>1</v>
      </c>
      <c r="J323" s="806"/>
      <c r="K323" s="50">
        <f t="shared" si="52"/>
        <v>1</v>
      </c>
      <c r="L323" s="806"/>
      <c r="M323" s="50">
        <f t="shared" si="53"/>
        <v>1</v>
      </c>
      <c r="N323" s="806"/>
      <c r="O323" s="50">
        <f t="shared" si="54"/>
        <v>1</v>
      </c>
      <c r="P323" s="806"/>
      <c r="Q323" s="50">
        <f t="shared" si="55"/>
        <v>1</v>
      </c>
      <c r="R323" s="355">
        <f t="shared" si="56"/>
        <v>0</v>
      </c>
      <c r="S323" s="651">
        <f t="shared" si="58"/>
        <v>0</v>
      </c>
    </row>
    <row r="324" spans="1:19">
      <c r="A324" s="808"/>
      <c r="B324" s="129"/>
      <c r="C324" s="50">
        <f t="shared" si="48"/>
        <v>1</v>
      </c>
      <c r="D324" s="806"/>
      <c r="E324" s="50">
        <f t="shared" si="49"/>
        <v>1</v>
      </c>
      <c r="F324" s="806"/>
      <c r="G324" s="50">
        <f t="shared" si="50"/>
        <v>1</v>
      </c>
      <c r="H324" s="806"/>
      <c r="I324" s="50">
        <f t="shared" si="51"/>
        <v>1</v>
      </c>
      <c r="J324" s="806"/>
      <c r="K324" s="50">
        <f t="shared" si="52"/>
        <v>1</v>
      </c>
      <c r="L324" s="806"/>
      <c r="M324" s="50">
        <f t="shared" si="53"/>
        <v>1</v>
      </c>
      <c r="N324" s="806"/>
      <c r="O324" s="50">
        <f t="shared" si="54"/>
        <v>1</v>
      </c>
      <c r="P324" s="806"/>
      <c r="Q324" s="50">
        <f t="shared" si="55"/>
        <v>1</v>
      </c>
      <c r="R324" s="355">
        <f t="shared" si="56"/>
        <v>0</v>
      </c>
      <c r="S324" s="651">
        <f t="shared" si="58"/>
        <v>0</v>
      </c>
    </row>
    <row r="325" spans="1:19">
      <c r="A325" s="808"/>
      <c r="B325" s="129"/>
      <c r="C325" s="50">
        <f t="shared" si="48"/>
        <v>1</v>
      </c>
      <c r="D325" s="806"/>
      <c r="E325" s="50">
        <f t="shared" si="49"/>
        <v>1</v>
      </c>
      <c r="F325" s="806"/>
      <c r="G325" s="50">
        <f t="shared" si="50"/>
        <v>1</v>
      </c>
      <c r="H325" s="806"/>
      <c r="I325" s="50">
        <f t="shared" si="51"/>
        <v>1</v>
      </c>
      <c r="J325" s="806"/>
      <c r="K325" s="50">
        <f t="shared" si="52"/>
        <v>1</v>
      </c>
      <c r="L325" s="806"/>
      <c r="M325" s="50">
        <f t="shared" si="53"/>
        <v>1</v>
      </c>
      <c r="N325" s="806"/>
      <c r="O325" s="50">
        <f t="shared" si="54"/>
        <v>1</v>
      </c>
      <c r="P325" s="806"/>
      <c r="Q325" s="50">
        <f t="shared" si="55"/>
        <v>1</v>
      </c>
      <c r="R325" s="355">
        <f t="shared" si="56"/>
        <v>0</v>
      </c>
      <c r="S325" s="651">
        <f t="shared" si="58"/>
        <v>0</v>
      </c>
    </row>
    <row r="326" spans="1:19">
      <c r="A326" s="808"/>
      <c r="B326" s="129"/>
      <c r="C326" s="50">
        <f t="shared" si="48"/>
        <v>1</v>
      </c>
      <c r="D326" s="806"/>
      <c r="E326" s="50">
        <f t="shared" si="49"/>
        <v>1</v>
      </c>
      <c r="F326" s="806"/>
      <c r="G326" s="50">
        <f t="shared" si="50"/>
        <v>1</v>
      </c>
      <c r="H326" s="806"/>
      <c r="I326" s="50">
        <f t="shared" si="51"/>
        <v>1</v>
      </c>
      <c r="J326" s="806"/>
      <c r="K326" s="50">
        <f t="shared" si="52"/>
        <v>1</v>
      </c>
      <c r="L326" s="806"/>
      <c r="M326" s="50">
        <f t="shared" si="53"/>
        <v>1</v>
      </c>
      <c r="N326" s="806"/>
      <c r="O326" s="50">
        <f t="shared" si="54"/>
        <v>1</v>
      </c>
      <c r="P326" s="806"/>
      <c r="Q326" s="50">
        <f t="shared" si="55"/>
        <v>1</v>
      </c>
      <c r="R326" s="355">
        <f t="shared" si="56"/>
        <v>0</v>
      </c>
      <c r="S326" s="651">
        <f t="shared" si="58"/>
        <v>0</v>
      </c>
    </row>
    <row r="327" spans="1:19">
      <c r="A327" s="808"/>
      <c r="B327" s="129"/>
      <c r="C327" s="50">
        <f t="shared" si="48"/>
        <v>1</v>
      </c>
      <c r="D327" s="806"/>
      <c r="E327" s="50">
        <f t="shared" si="49"/>
        <v>1</v>
      </c>
      <c r="F327" s="806"/>
      <c r="G327" s="50">
        <f t="shared" si="50"/>
        <v>1</v>
      </c>
      <c r="H327" s="806"/>
      <c r="I327" s="50">
        <f t="shared" si="51"/>
        <v>1</v>
      </c>
      <c r="J327" s="806"/>
      <c r="K327" s="50">
        <f t="shared" si="52"/>
        <v>1</v>
      </c>
      <c r="L327" s="806"/>
      <c r="M327" s="50">
        <f t="shared" si="53"/>
        <v>1</v>
      </c>
      <c r="N327" s="806"/>
      <c r="O327" s="50">
        <f t="shared" si="54"/>
        <v>1</v>
      </c>
      <c r="P327" s="806"/>
      <c r="Q327" s="50">
        <f t="shared" si="55"/>
        <v>1</v>
      </c>
      <c r="R327" s="355">
        <f t="shared" si="56"/>
        <v>0</v>
      </c>
      <c r="S327" s="651">
        <f t="shared" si="58"/>
        <v>0</v>
      </c>
    </row>
    <row r="328" spans="1:19">
      <c r="A328" s="808"/>
      <c r="B328" s="129"/>
      <c r="C328" s="50">
        <f t="shared" si="48"/>
        <v>1</v>
      </c>
      <c r="D328" s="806"/>
      <c r="E328" s="50">
        <f t="shared" si="49"/>
        <v>1</v>
      </c>
      <c r="F328" s="806"/>
      <c r="G328" s="50">
        <f t="shared" si="50"/>
        <v>1</v>
      </c>
      <c r="H328" s="806"/>
      <c r="I328" s="50">
        <f t="shared" si="51"/>
        <v>1</v>
      </c>
      <c r="J328" s="806"/>
      <c r="K328" s="50">
        <f t="shared" si="52"/>
        <v>1</v>
      </c>
      <c r="L328" s="806"/>
      <c r="M328" s="50">
        <f t="shared" si="53"/>
        <v>1</v>
      </c>
      <c r="N328" s="806"/>
      <c r="O328" s="50">
        <f t="shared" si="54"/>
        <v>1</v>
      </c>
      <c r="P328" s="806"/>
      <c r="Q328" s="50">
        <f t="shared" si="55"/>
        <v>1</v>
      </c>
      <c r="R328" s="355">
        <f t="shared" si="56"/>
        <v>0</v>
      </c>
      <c r="S328" s="651">
        <f t="shared" si="58"/>
        <v>0</v>
      </c>
    </row>
    <row r="329" spans="1:19">
      <c r="A329" s="808"/>
      <c r="B329" s="129"/>
      <c r="C329" s="50">
        <f t="shared" si="48"/>
        <v>1</v>
      </c>
      <c r="D329" s="806"/>
      <c r="E329" s="50">
        <f t="shared" si="49"/>
        <v>1</v>
      </c>
      <c r="F329" s="806"/>
      <c r="G329" s="50">
        <f t="shared" si="50"/>
        <v>1</v>
      </c>
      <c r="H329" s="806"/>
      <c r="I329" s="50">
        <f t="shared" si="51"/>
        <v>1</v>
      </c>
      <c r="J329" s="806"/>
      <c r="K329" s="50">
        <f t="shared" si="52"/>
        <v>1</v>
      </c>
      <c r="L329" s="806"/>
      <c r="M329" s="50">
        <f t="shared" si="53"/>
        <v>1</v>
      </c>
      <c r="N329" s="806"/>
      <c r="O329" s="50">
        <f t="shared" si="54"/>
        <v>1</v>
      </c>
      <c r="P329" s="806"/>
      <c r="Q329" s="50">
        <f t="shared" si="55"/>
        <v>1</v>
      </c>
      <c r="R329" s="355">
        <f t="shared" si="56"/>
        <v>0</v>
      </c>
      <c r="S329" s="651">
        <f t="shared" si="58"/>
        <v>0</v>
      </c>
    </row>
    <row r="330" spans="1:19">
      <c r="A330" s="808"/>
      <c r="B330" s="129"/>
      <c r="C330" s="50">
        <f t="shared" si="48"/>
        <v>1</v>
      </c>
      <c r="D330" s="806"/>
      <c r="E330" s="50">
        <f t="shared" si="49"/>
        <v>1</v>
      </c>
      <c r="F330" s="806"/>
      <c r="G330" s="50">
        <f t="shared" si="50"/>
        <v>1</v>
      </c>
      <c r="H330" s="806"/>
      <c r="I330" s="50">
        <f t="shared" si="51"/>
        <v>1</v>
      </c>
      <c r="J330" s="806"/>
      <c r="K330" s="50">
        <f t="shared" si="52"/>
        <v>1</v>
      </c>
      <c r="L330" s="806"/>
      <c r="M330" s="50">
        <f t="shared" si="53"/>
        <v>1</v>
      </c>
      <c r="N330" s="806"/>
      <c r="O330" s="50">
        <f t="shared" si="54"/>
        <v>1</v>
      </c>
      <c r="P330" s="806"/>
      <c r="Q330" s="50">
        <f t="shared" si="55"/>
        <v>1</v>
      </c>
      <c r="R330" s="355">
        <f t="shared" si="56"/>
        <v>0</v>
      </c>
      <c r="S330" s="651">
        <f t="shared" si="58"/>
        <v>0</v>
      </c>
    </row>
    <row r="331" spans="1:19">
      <c r="A331" s="808"/>
      <c r="B331" s="129"/>
      <c r="C331" s="50">
        <f t="shared" si="48"/>
        <v>1</v>
      </c>
      <c r="D331" s="806"/>
      <c r="E331" s="50">
        <f t="shared" si="49"/>
        <v>1</v>
      </c>
      <c r="F331" s="806"/>
      <c r="G331" s="50">
        <f t="shared" si="50"/>
        <v>1</v>
      </c>
      <c r="H331" s="806"/>
      <c r="I331" s="50">
        <f t="shared" si="51"/>
        <v>1</v>
      </c>
      <c r="J331" s="806"/>
      <c r="K331" s="50">
        <f t="shared" si="52"/>
        <v>1</v>
      </c>
      <c r="L331" s="806"/>
      <c r="M331" s="50">
        <f t="shared" si="53"/>
        <v>1</v>
      </c>
      <c r="N331" s="806"/>
      <c r="O331" s="50">
        <f t="shared" si="54"/>
        <v>1</v>
      </c>
      <c r="P331" s="806"/>
      <c r="Q331" s="50">
        <f t="shared" si="55"/>
        <v>1</v>
      </c>
      <c r="R331" s="355">
        <f t="shared" si="56"/>
        <v>0</v>
      </c>
      <c r="S331" s="651">
        <f t="shared" si="58"/>
        <v>0</v>
      </c>
    </row>
    <row r="332" spans="1:19">
      <c r="A332" s="808"/>
      <c r="B332" s="129"/>
      <c r="C332" s="50">
        <f t="shared" si="48"/>
        <v>1</v>
      </c>
      <c r="D332" s="806"/>
      <c r="E332" s="50">
        <f t="shared" si="49"/>
        <v>1</v>
      </c>
      <c r="F332" s="806"/>
      <c r="G332" s="50">
        <f t="shared" si="50"/>
        <v>1</v>
      </c>
      <c r="H332" s="806"/>
      <c r="I332" s="50">
        <f t="shared" si="51"/>
        <v>1</v>
      </c>
      <c r="J332" s="806"/>
      <c r="K332" s="50">
        <f t="shared" si="52"/>
        <v>1</v>
      </c>
      <c r="L332" s="806"/>
      <c r="M332" s="50">
        <f t="shared" si="53"/>
        <v>1</v>
      </c>
      <c r="N332" s="806"/>
      <c r="O332" s="50">
        <f t="shared" si="54"/>
        <v>1</v>
      </c>
      <c r="P332" s="806"/>
      <c r="Q332" s="50">
        <f t="shared" si="55"/>
        <v>1</v>
      </c>
      <c r="R332" s="355">
        <f t="shared" si="56"/>
        <v>0</v>
      </c>
      <c r="S332" s="651">
        <f t="shared" si="58"/>
        <v>0</v>
      </c>
    </row>
    <row r="333" spans="1:19">
      <c r="A333" s="808"/>
      <c r="B333" s="129"/>
      <c r="C333" s="50">
        <f t="shared" si="48"/>
        <v>1</v>
      </c>
      <c r="D333" s="806"/>
      <c r="E333" s="50">
        <f t="shared" si="49"/>
        <v>1</v>
      </c>
      <c r="F333" s="806"/>
      <c r="G333" s="50">
        <f t="shared" si="50"/>
        <v>1</v>
      </c>
      <c r="H333" s="806"/>
      <c r="I333" s="50">
        <f t="shared" si="51"/>
        <v>1</v>
      </c>
      <c r="J333" s="806"/>
      <c r="K333" s="50">
        <f t="shared" si="52"/>
        <v>1</v>
      </c>
      <c r="L333" s="806"/>
      <c r="M333" s="50">
        <f t="shared" si="53"/>
        <v>1</v>
      </c>
      <c r="N333" s="806"/>
      <c r="O333" s="50">
        <f t="shared" si="54"/>
        <v>1</v>
      </c>
      <c r="P333" s="806"/>
      <c r="Q333" s="50">
        <f t="shared" si="55"/>
        <v>1</v>
      </c>
      <c r="R333" s="355">
        <f t="shared" si="56"/>
        <v>0</v>
      </c>
      <c r="S333" s="651">
        <f t="shared" si="58"/>
        <v>0</v>
      </c>
    </row>
    <row r="334" spans="1:19">
      <c r="A334" s="808"/>
      <c r="B334" s="129"/>
      <c r="C334" s="50">
        <f t="shared" si="48"/>
        <v>1</v>
      </c>
      <c r="D334" s="806"/>
      <c r="E334" s="50">
        <f t="shared" si="49"/>
        <v>1</v>
      </c>
      <c r="F334" s="806"/>
      <c r="G334" s="50">
        <f t="shared" si="50"/>
        <v>1</v>
      </c>
      <c r="H334" s="806"/>
      <c r="I334" s="50">
        <f t="shared" si="51"/>
        <v>1</v>
      </c>
      <c r="J334" s="806"/>
      <c r="K334" s="50">
        <f t="shared" si="52"/>
        <v>1</v>
      </c>
      <c r="L334" s="806"/>
      <c r="M334" s="50">
        <f t="shared" si="53"/>
        <v>1</v>
      </c>
      <c r="N334" s="806"/>
      <c r="O334" s="50">
        <f t="shared" si="54"/>
        <v>1</v>
      </c>
      <c r="P334" s="806"/>
      <c r="Q334" s="50">
        <f t="shared" si="55"/>
        <v>1</v>
      </c>
      <c r="R334" s="355">
        <f t="shared" si="56"/>
        <v>0</v>
      </c>
      <c r="S334" s="651">
        <f t="shared" si="58"/>
        <v>0</v>
      </c>
    </row>
    <row r="335" spans="1:19">
      <c r="A335" s="808"/>
      <c r="B335" s="129"/>
      <c r="C335" s="50">
        <f t="shared" si="48"/>
        <v>1</v>
      </c>
      <c r="D335" s="806"/>
      <c r="E335" s="50">
        <f t="shared" si="49"/>
        <v>1</v>
      </c>
      <c r="F335" s="806"/>
      <c r="G335" s="50">
        <f t="shared" si="50"/>
        <v>1</v>
      </c>
      <c r="H335" s="806"/>
      <c r="I335" s="50">
        <f t="shared" si="51"/>
        <v>1</v>
      </c>
      <c r="J335" s="806"/>
      <c r="K335" s="50">
        <f t="shared" si="52"/>
        <v>1</v>
      </c>
      <c r="L335" s="806"/>
      <c r="M335" s="50">
        <f t="shared" si="53"/>
        <v>1</v>
      </c>
      <c r="N335" s="806"/>
      <c r="O335" s="50">
        <f t="shared" si="54"/>
        <v>1</v>
      </c>
      <c r="P335" s="806"/>
      <c r="Q335" s="50">
        <f t="shared" si="55"/>
        <v>1</v>
      </c>
      <c r="R335" s="355">
        <f t="shared" si="56"/>
        <v>0</v>
      </c>
      <c r="S335" s="651">
        <f t="shared" si="58"/>
        <v>0</v>
      </c>
    </row>
    <row r="336" spans="1:19">
      <c r="A336" s="808"/>
      <c r="B336" s="129"/>
      <c r="C336" s="50">
        <f t="shared" si="48"/>
        <v>1</v>
      </c>
      <c r="D336" s="806"/>
      <c r="E336" s="50">
        <f t="shared" si="49"/>
        <v>1</v>
      </c>
      <c r="F336" s="806"/>
      <c r="G336" s="50">
        <f t="shared" si="50"/>
        <v>1</v>
      </c>
      <c r="H336" s="806"/>
      <c r="I336" s="50">
        <f t="shared" si="51"/>
        <v>1</v>
      </c>
      <c r="J336" s="806"/>
      <c r="K336" s="50">
        <f t="shared" si="52"/>
        <v>1</v>
      </c>
      <c r="L336" s="806"/>
      <c r="M336" s="50">
        <f t="shared" si="53"/>
        <v>1</v>
      </c>
      <c r="N336" s="806"/>
      <c r="O336" s="50">
        <f t="shared" si="54"/>
        <v>1</v>
      </c>
      <c r="P336" s="806"/>
      <c r="Q336" s="50">
        <f t="shared" si="55"/>
        <v>1</v>
      </c>
      <c r="R336" s="355">
        <f t="shared" si="56"/>
        <v>0</v>
      </c>
      <c r="S336" s="651">
        <f t="shared" si="58"/>
        <v>0</v>
      </c>
    </row>
    <row r="337" spans="1:19">
      <c r="A337" s="808"/>
      <c r="B337" s="129"/>
      <c r="C337" s="50">
        <f t="shared" si="48"/>
        <v>1</v>
      </c>
      <c r="D337" s="806"/>
      <c r="E337" s="50">
        <f t="shared" si="49"/>
        <v>1</v>
      </c>
      <c r="F337" s="806"/>
      <c r="G337" s="50">
        <f t="shared" si="50"/>
        <v>1</v>
      </c>
      <c r="H337" s="806"/>
      <c r="I337" s="50">
        <f t="shared" si="51"/>
        <v>1</v>
      </c>
      <c r="J337" s="806"/>
      <c r="K337" s="50">
        <f t="shared" si="52"/>
        <v>1</v>
      </c>
      <c r="L337" s="806"/>
      <c r="M337" s="50">
        <f t="shared" si="53"/>
        <v>1</v>
      </c>
      <c r="N337" s="806"/>
      <c r="O337" s="50">
        <f t="shared" si="54"/>
        <v>1</v>
      </c>
      <c r="P337" s="806"/>
      <c r="Q337" s="50">
        <f t="shared" si="55"/>
        <v>1</v>
      </c>
      <c r="R337" s="355">
        <f t="shared" si="56"/>
        <v>0</v>
      </c>
      <c r="S337" s="651">
        <f t="shared" si="58"/>
        <v>0</v>
      </c>
    </row>
    <row r="338" spans="1:19">
      <c r="A338" s="808"/>
      <c r="B338" s="129"/>
      <c r="C338" s="50">
        <f t="shared" si="48"/>
        <v>1</v>
      </c>
      <c r="D338" s="806"/>
      <c r="E338" s="50">
        <f t="shared" si="49"/>
        <v>1</v>
      </c>
      <c r="F338" s="806"/>
      <c r="G338" s="50">
        <f t="shared" si="50"/>
        <v>1</v>
      </c>
      <c r="H338" s="806"/>
      <c r="I338" s="50">
        <f t="shared" si="51"/>
        <v>1</v>
      </c>
      <c r="J338" s="806"/>
      <c r="K338" s="50">
        <f t="shared" si="52"/>
        <v>1</v>
      </c>
      <c r="L338" s="806"/>
      <c r="M338" s="50">
        <f t="shared" si="53"/>
        <v>1</v>
      </c>
      <c r="N338" s="806"/>
      <c r="O338" s="50">
        <f t="shared" si="54"/>
        <v>1</v>
      </c>
      <c r="P338" s="806"/>
      <c r="Q338" s="50">
        <f t="shared" si="55"/>
        <v>1</v>
      </c>
      <c r="R338" s="355">
        <f t="shared" si="56"/>
        <v>0</v>
      </c>
      <c r="S338" s="651">
        <f t="shared" si="58"/>
        <v>0</v>
      </c>
    </row>
    <row r="339" spans="1:19">
      <c r="A339" s="808"/>
      <c r="B339" s="129"/>
      <c r="C339" s="50">
        <f t="shared" si="48"/>
        <v>1</v>
      </c>
      <c r="D339" s="806"/>
      <c r="E339" s="50">
        <f t="shared" si="49"/>
        <v>1</v>
      </c>
      <c r="F339" s="806"/>
      <c r="G339" s="50">
        <f t="shared" si="50"/>
        <v>1</v>
      </c>
      <c r="H339" s="806"/>
      <c r="I339" s="50">
        <f t="shared" si="51"/>
        <v>1</v>
      </c>
      <c r="J339" s="806"/>
      <c r="K339" s="50">
        <f t="shared" si="52"/>
        <v>1</v>
      </c>
      <c r="L339" s="806"/>
      <c r="M339" s="50">
        <f t="shared" si="53"/>
        <v>1</v>
      </c>
      <c r="N339" s="806"/>
      <c r="O339" s="50">
        <f t="shared" si="54"/>
        <v>1</v>
      </c>
      <c r="P339" s="806"/>
      <c r="Q339" s="50">
        <f t="shared" si="55"/>
        <v>1</v>
      </c>
      <c r="R339" s="355">
        <f t="shared" si="56"/>
        <v>0</v>
      </c>
      <c r="S339" s="651">
        <f t="shared" si="58"/>
        <v>0</v>
      </c>
    </row>
    <row r="340" spans="1:19">
      <c r="A340" s="808"/>
      <c r="B340" s="129"/>
      <c r="C340" s="50">
        <f t="shared" si="48"/>
        <v>1</v>
      </c>
      <c r="D340" s="806"/>
      <c r="E340" s="50">
        <f t="shared" si="49"/>
        <v>1</v>
      </c>
      <c r="F340" s="806"/>
      <c r="G340" s="50">
        <f t="shared" si="50"/>
        <v>1</v>
      </c>
      <c r="H340" s="806"/>
      <c r="I340" s="50">
        <f t="shared" si="51"/>
        <v>1</v>
      </c>
      <c r="J340" s="806"/>
      <c r="K340" s="50">
        <f t="shared" si="52"/>
        <v>1</v>
      </c>
      <c r="L340" s="806"/>
      <c r="M340" s="50">
        <f t="shared" si="53"/>
        <v>1</v>
      </c>
      <c r="N340" s="806"/>
      <c r="O340" s="50">
        <f t="shared" si="54"/>
        <v>1</v>
      </c>
      <c r="P340" s="806"/>
      <c r="Q340" s="50">
        <f t="shared" si="55"/>
        <v>1</v>
      </c>
      <c r="R340" s="355">
        <f t="shared" si="56"/>
        <v>0</v>
      </c>
      <c r="S340" s="651">
        <f t="shared" si="58"/>
        <v>0</v>
      </c>
    </row>
    <row r="341" spans="1:19">
      <c r="A341" s="808"/>
      <c r="B341" s="129"/>
      <c r="C341" s="50">
        <f t="shared" si="48"/>
        <v>1</v>
      </c>
      <c r="D341" s="806"/>
      <c r="E341" s="50">
        <f t="shared" si="49"/>
        <v>1</v>
      </c>
      <c r="F341" s="806"/>
      <c r="G341" s="50">
        <f t="shared" si="50"/>
        <v>1</v>
      </c>
      <c r="H341" s="806"/>
      <c r="I341" s="50">
        <f t="shared" si="51"/>
        <v>1</v>
      </c>
      <c r="J341" s="806"/>
      <c r="K341" s="50">
        <f t="shared" si="52"/>
        <v>1</v>
      </c>
      <c r="L341" s="806"/>
      <c r="M341" s="50">
        <f t="shared" si="53"/>
        <v>1</v>
      </c>
      <c r="N341" s="806"/>
      <c r="O341" s="50">
        <f t="shared" si="54"/>
        <v>1</v>
      </c>
      <c r="P341" s="806"/>
      <c r="Q341" s="50">
        <f t="shared" si="55"/>
        <v>1</v>
      </c>
      <c r="R341" s="355">
        <f t="shared" si="56"/>
        <v>0</v>
      </c>
      <c r="S341" s="651">
        <f t="shared" si="58"/>
        <v>0</v>
      </c>
    </row>
    <row r="342" spans="1:19">
      <c r="A342" s="808"/>
      <c r="B342" s="129"/>
      <c r="C342" s="50">
        <f t="shared" si="48"/>
        <v>1</v>
      </c>
      <c r="D342" s="806"/>
      <c r="E342" s="50">
        <f t="shared" si="49"/>
        <v>1</v>
      </c>
      <c r="F342" s="806"/>
      <c r="G342" s="50">
        <f t="shared" si="50"/>
        <v>1</v>
      </c>
      <c r="H342" s="806"/>
      <c r="I342" s="50">
        <f t="shared" si="51"/>
        <v>1</v>
      </c>
      <c r="J342" s="806"/>
      <c r="K342" s="50">
        <f t="shared" si="52"/>
        <v>1</v>
      </c>
      <c r="L342" s="806"/>
      <c r="M342" s="50">
        <f t="shared" si="53"/>
        <v>1</v>
      </c>
      <c r="N342" s="806"/>
      <c r="O342" s="50">
        <f t="shared" si="54"/>
        <v>1</v>
      </c>
      <c r="P342" s="806"/>
      <c r="Q342" s="50">
        <f t="shared" si="55"/>
        <v>1</v>
      </c>
      <c r="R342" s="355">
        <f t="shared" si="56"/>
        <v>0</v>
      </c>
      <c r="S342" s="651">
        <f t="shared" si="58"/>
        <v>0</v>
      </c>
    </row>
    <row r="343" spans="1:19">
      <c r="A343" s="808"/>
      <c r="B343" s="129"/>
      <c r="C343" s="50">
        <f t="shared" si="48"/>
        <v>1</v>
      </c>
      <c r="D343" s="806"/>
      <c r="E343" s="50">
        <f t="shared" si="49"/>
        <v>1</v>
      </c>
      <c r="F343" s="806"/>
      <c r="G343" s="50">
        <f t="shared" si="50"/>
        <v>1</v>
      </c>
      <c r="H343" s="806"/>
      <c r="I343" s="50">
        <f t="shared" si="51"/>
        <v>1</v>
      </c>
      <c r="J343" s="806"/>
      <c r="K343" s="50">
        <f t="shared" si="52"/>
        <v>1</v>
      </c>
      <c r="L343" s="806"/>
      <c r="M343" s="50">
        <f t="shared" si="53"/>
        <v>1</v>
      </c>
      <c r="N343" s="806"/>
      <c r="O343" s="50">
        <f t="shared" si="54"/>
        <v>1</v>
      </c>
      <c r="P343" s="806"/>
      <c r="Q343" s="50">
        <f t="shared" si="55"/>
        <v>1</v>
      </c>
      <c r="R343" s="355">
        <f t="shared" si="56"/>
        <v>0</v>
      </c>
      <c r="S343" s="651">
        <f t="shared" si="58"/>
        <v>0</v>
      </c>
    </row>
    <row r="344" spans="1:19">
      <c r="A344" s="808"/>
      <c r="B344" s="129"/>
      <c r="C344" s="50">
        <f t="shared" si="48"/>
        <v>1</v>
      </c>
      <c r="D344" s="806"/>
      <c r="E344" s="50">
        <f t="shared" si="49"/>
        <v>1</v>
      </c>
      <c r="F344" s="806"/>
      <c r="G344" s="50">
        <f t="shared" si="50"/>
        <v>1</v>
      </c>
      <c r="H344" s="806"/>
      <c r="I344" s="50">
        <f t="shared" si="51"/>
        <v>1</v>
      </c>
      <c r="J344" s="806"/>
      <c r="K344" s="50">
        <f t="shared" si="52"/>
        <v>1</v>
      </c>
      <c r="L344" s="806"/>
      <c r="M344" s="50">
        <f t="shared" si="53"/>
        <v>1</v>
      </c>
      <c r="N344" s="806"/>
      <c r="O344" s="50">
        <f t="shared" si="54"/>
        <v>1</v>
      </c>
      <c r="P344" s="806"/>
      <c r="Q344" s="50">
        <f t="shared" si="55"/>
        <v>1</v>
      </c>
      <c r="R344" s="355">
        <f t="shared" si="56"/>
        <v>0</v>
      </c>
      <c r="S344" s="651">
        <f t="shared" si="58"/>
        <v>0</v>
      </c>
    </row>
    <row r="345" spans="1:19">
      <c r="A345" s="808"/>
      <c r="B345" s="129"/>
      <c r="C345" s="50">
        <f t="shared" si="48"/>
        <v>1</v>
      </c>
      <c r="D345" s="806"/>
      <c r="E345" s="50">
        <f t="shared" si="49"/>
        <v>1</v>
      </c>
      <c r="F345" s="806"/>
      <c r="G345" s="50">
        <f t="shared" si="50"/>
        <v>1</v>
      </c>
      <c r="H345" s="806"/>
      <c r="I345" s="50">
        <f t="shared" si="51"/>
        <v>1</v>
      </c>
      <c r="J345" s="806"/>
      <c r="K345" s="50">
        <f t="shared" si="52"/>
        <v>1</v>
      </c>
      <c r="L345" s="806"/>
      <c r="M345" s="50">
        <f t="shared" si="53"/>
        <v>1</v>
      </c>
      <c r="N345" s="806"/>
      <c r="O345" s="50">
        <f t="shared" si="54"/>
        <v>1</v>
      </c>
      <c r="P345" s="806"/>
      <c r="Q345" s="50">
        <f t="shared" si="55"/>
        <v>1</v>
      </c>
      <c r="R345" s="355">
        <f t="shared" si="56"/>
        <v>0</v>
      </c>
      <c r="S345" s="651">
        <f t="shared" si="58"/>
        <v>0</v>
      </c>
    </row>
    <row r="346" spans="1:19">
      <c r="A346" s="808"/>
      <c r="B346" s="129"/>
      <c r="C346" s="50">
        <f t="shared" ref="C346:C409" si="59">IF(B346="",1,(LOOKUP(B346,$3:$3,$4:$4)-LOOKUP($B$24,$3:$3,$4:$4)+100)/100)</f>
        <v>1</v>
      </c>
      <c r="D346" s="806"/>
      <c r="E346" s="50">
        <f t="shared" ref="E346:E409" si="60">(SUMIF($5:$5,D346,$6:$6)-SUMIF($5:$5,$D$24,$6:$6)+100)/100</f>
        <v>1</v>
      </c>
      <c r="F346" s="806"/>
      <c r="G346" s="50">
        <f t="shared" ref="G346:G409" si="61">(SUMIF($7:$7,F346,$8:$8)-SUMIF($7:$7,$F$24,$8:$8)+100)/100</f>
        <v>1</v>
      </c>
      <c r="H346" s="806"/>
      <c r="I346" s="50">
        <f t="shared" ref="I346:I409" si="62">(SUMIF($9:$9,H346,$10:$10)-SUMIF($9:$9,$H$24,$10:$10)+100)/100</f>
        <v>1</v>
      </c>
      <c r="J346" s="806"/>
      <c r="K346" s="50">
        <f t="shared" ref="K346:K409" si="63">(SUMIF($11:$11,J346,$12:$12)-SUMIF($11:$11,$J$24,$12:$12)+100)/100</f>
        <v>1</v>
      </c>
      <c r="L346" s="806"/>
      <c r="M346" s="50">
        <f t="shared" ref="M346:M409" si="64">(SUMIF($13:$13,L346,$14:$14)-SUMIF($13:$13,$L$24,$14:$14)+100)/100</f>
        <v>1</v>
      </c>
      <c r="N346" s="806"/>
      <c r="O346" s="50">
        <f t="shared" ref="O346:O409" si="65">(SUMIF($15:$15,N346,$16:$16)-SUMIF($15:$15,$N$24,$16:$16)+100)/100</f>
        <v>1</v>
      </c>
      <c r="P346" s="806"/>
      <c r="Q346" s="50">
        <f t="shared" ref="Q346:Q409" si="66">(SUMIF($17:$17,P346,$18:$18)-SUMIF($17:$17,$P$24,$18:$18)+100)/100</f>
        <v>1</v>
      </c>
      <c r="R346" s="355">
        <f t="shared" ref="R346:R409" si="67">IF(B346="",0,ROUND($R$24*C346*E346*G346*I346*K346*M346*O346*Q346,0))</f>
        <v>0</v>
      </c>
      <c r="S346" s="651">
        <f t="shared" si="58"/>
        <v>0</v>
      </c>
    </row>
    <row r="347" spans="1:19">
      <c r="A347" s="808"/>
      <c r="B347" s="129"/>
      <c r="C347" s="50">
        <f t="shared" si="59"/>
        <v>1</v>
      </c>
      <c r="D347" s="806"/>
      <c r="E347" s="50">
        <f t="shared" si="60"/>
        <v>1</v>
      </c>
      <c r="F347" s="806"/>
      <c r="G347" s="50">
        <f t="shared" si="61"/>
        <v>1</v>
      </c>
      <c r="H347" s="806"/>
      <c r="I347" s="50">
        <f t="shared" si="62"/>
        <v>1</v>
      </c>
      <c r="J347" s="806"/>
      <c r="K347" s="50">
        <f t="shared" si="63"/>
        <v>1</v>
      </c>
      <c r="L347" s="806"/>
      <c r="M347" s="50">
        <f t="shared" si="64"/>
        <v>1</v>
      </c>
      <c r="N347" s="806"/>
      <c r="O347" s="50">
        <f t="shared" si="65"/>
        <v>1</v>
      </c>
      <c r="P347" s="806"/>
      <c r="Q347" s="50">
        <f t="shared" si="66"/>
        <v>1</v>
      </c>
      <c r="R347" s="355">
        <f t="shared" si="67"/>
        <v>0</v>
      </c>
      <c r="S347" s="651">
        <f t="shared" si="58"/>
        <v>0</v>
      </c>
    </row>
    <row r="348" spans="1:19">
      <c r="A348" s="808"/>
      <c r="B348" s="129"/>
      <c r="C348" s="50">
        <f t="shared" si="59"/>
        <v>1</v>
      </c>
      <c r="D348" s="806"/>
      <c r="E348" s="50">
        <f t="shared" si="60"/>
        <v>1</v>
      </c>
      <c r="F348" s="806"/>
      <c r="G348" s="50">
        <f t="shared" si="61"/>
        <v>1</v>
      </c>
      <c r="H348" s="806"/>
      <c r="I348" s="50">
        <f t="shared" si="62"/>
        <v>1</v>
      </c>
      <c r="J348" s="806"/>
      <c r="K348" s="50">
        <f t="shared" si="63"/>
        <v>1</v>
      </c>
      <c r="L348" s="806"/>
      <c r="M348" s="50">
        <f t="shared" si="64"/>
        <v>1</v>
      </c>
      <c r="N348" s="806"/>
      <c r="O348" s="50">
        <f t="shared" si="65"/>
        <v>1</v>
      </c>
      <c r="P348" s="806"/>
      <c r="Q348" s="50">
        <f t="shared" si="66"/>
        <v>1</v>
      </c>
      <c r="R348" s="355">
        <f t="shared" si="67"/>
        <v>0</v>
      </c>
      <c r="S348" s="651">
        <f t="shared" si="58"/>
        <v>0</v>
      </c>
    </row>
    <row r="349" spans="1:19">
      <c r="A349" s="808"/>
      <c r="B349" s="129"/>
      <c r="C349" s="50">
        <f t="shared" si="59"/>
        <v>1</v>
      </c>
      <c r="D349" s="806"/>
      <c r="E349" s="50">
        <f t="shared" si="60"/>
        <v>1</v>
      </c>
      <c r="F349" s="806"/>
      <c r="G349" s="50">
        <f t="shared" si="61"/>
        <v>1</v>
      </c>
      <c r="H349" s="806"/>
      <c r="I349" s="50">
        <f t="shared" si="62"/>
        <v>1</v>
      </c>
      <c r="J349" s="806"/>
      <c r="K349" s="50">
        <f t="shared" si="63"/>
        <v>1</v>
      </c>
      <c r="L349" s="806"/>
      <c r="M349" s="50">
        <f t="shared" si="64"/>
        <v>1</v>
      </c>
      <c r="N349" s="806"/>
      <c r="O349" s="50">
        <f t="shared" si="65"/>
        <v>1</v>
      </c>
      <c r="P349" s="806"/>
      <c r="Q349" s="50">
        <f t="shared" si="66"/>
        <v>1</v>
      </c>
      <c r="R349" s="355">
        <f t="shared" si="67"/>
        <v>0</v>
      </c>
      <c r="S349" s="651">
        <f t="shared" si="58"/>
        <v>0</v>
      </c>
    </row>
    <row r="350" spans="1:19">
      <c r="A350" s="808"/>
      <c r="B350" s="129"/>
      <c r="C350" s="50">
        <f t="shared" si="59"/>
        <v>1</v>
      </c>
      <c r="D350" s="806"/>
      <c r="E350" s="50">
        <f t="shared" si="60"/>
        <v>1</v>
      </c>
      <c r="F350" s="806"/>
      <c r="G350" s="50">
        <f t="shared" si="61"/>
        <v>1</v>
      </c>
      <c r="H350" s="806"/>
      <c r="I350" s="50">
        <f t="shared" si="62"/>
        <v>1</v>
      </c>
      <c r="J350" s="806"/>
      <c r="K350" s="50">
        <f t="shared" si="63"/>
        <v>1</v>
      </c>
      <c r="L350" s="806"/>
      <c r="M350" s="50">
        <f t="shared" si="64"/>
        <v>1</v>
      </c>
      <c r="N350" s="806"/>
      <c r="O350" s="50">
        <f t="shared" si="65"/>
        <v>1</v>
      </c>
      <c r="P350" s="806"/>
      <c r="Q350" s="50">
        <f t="shared" si="66"/>
        <v>1</v>
      </c>
      <c r="R350" s="355">
        <f t="shared" si="67"/>
        <v>0</v>
      </c>
      <c r="S350" s="651">
        <f t="shared" si="58"/>
        <v>0</v>
      </c>
    </row>
    <row r="351" spans="1:19">
      <c r="A351" s="808"/>
      <c r="B351" s="129"/>
      <c r="C351" s="50">
        <f t="shared" si="59"/>
        <v>1</v>
      </c>
      <c r="D351" s="806"/>
      <c r="E351" s="50">
        <f t="shared" si="60"/>
        <v>1</v>
      </c>
      <c r="F351" s="806"/>
      <c r="G351" s="50">
        <f t="shared" si="61"/>
        <v>1</v>
      </c>
      <c r="H351" s="806"/>
      <c r="I351" s="50">
        <f t="shared" si="62"/>
        <v>1</v>
      </c>
      <c r="J351" s="806"/>
      <c r="K351" s="50">
        <f t="shared" si="63"/>
        <v>1</v>
      </c>
      <c r="L351" s="806"/>
      <c r="M351" s="50">
        <f t="shared" si="64"/>
        <v>1</v>
      </c>
      <c r="N351" s="806"/>
      <c r="O351" s="50">
        <f t="shared" si="65"/>
        <v>1</v>
      </c>
      <c r="P351" s="806"/>
      <c r="Q351" s="50">
        <f t="shared" si="66"/>
        <v>1</v>
      </c>
      <c r="R351" s="355">
        <f t="shared" si="67"/>
        <v>0</v>
      </c>
      <c r="S351" s="651">
        <f t="shared" si="58"/>
        <v>0</v>
      </c>
    </row>
    <row r="352" spans="1:19">
      <c r="A352" s="808"/>
      <c r="B352" s="129"/>
      <c r="C352" s="50">
        <f t="shared" si="59"/>
        <v>1</v>
      </c>
      <c r="D352" s="806"/>
      <c r="E352" s="50">
        <f t="shared" si="60"/>
        <v>1</v>
      </c>
      <c r="F352" s="806"/>
      <c r="G352" s="50">
        <f t="shared" si="61"/>
        <v>1</v>
      </c>
      <c r="H352" s="806"/>
      <c r="I352" s="50">
        <f t="shared" si="62"/>
        <v>1</v>
      </c>
      <c r="J352" s="806"/>
      <c r="K352" s="50">
        <f t="shared" si="63"/>
        <v>1</v>
      </c>
      <c r="L352" s="806"/>
      <c r="M352" s="50">
        <f t="shared" si="64"/>
        <v>1</v>
      </c>
      <c r="N352" s="806"/>
      <c r="O352" s="50">
        <f t="shared" si="65"/>
        <v>1</v>
      </c>
      <c r="P352" s="806"/>
      <c r="Q352" s="50">
        <f t="shared" si="66"/>
        <v>1</v>
      </c>
      <c r="R352" s="355">
        <f t="shared" si="67"/>
        <v>0</v>
      </c>
      <c r="S352" s="651">
        <f t="shared" si="58"/>
        <v>0</v>
      </c>
    </row>
    <row r="353" spans="1:19">
      <c r="A353" s="808"/>
      <c r="B353" s="129"/>
      <c r="C353" s="50">
        <f t="shared" si="59"/>
        <v>1</v>
      </c>
      <c r="D353" s="806"/>
      <c r="E353" s="50">
        <f t="shared" si="60"/>
        <v>1</v>
      </c>
      <c r="F353" s="806"/>
      <c r="G353" s="50">
        <f t="shared" si="61"/>
        <v>1</v>
      </c>
      <c r="H353" s="806"/>
      <c r="I353" s="50">
        <f t="shared" si="62"/>
        <v>1</v>
      </c>
      <c r="J353" s="806"/>
      <c r="K353" s="50">
        <f t="shared" si="63"/>
        <v>1</v>
      </c>
      <c r="L353" s="806"/>
      <c r="M353" s="50">
        <f t="shared" si="64"/>
        <v>1</v>
      </c>
      <c r="N353" s="806"/>
      <c r="O353" s="50">
        <f t="shared" si="65"/>
        <v>1</v>
      </c>
      <c r="P353" s="806"/>
      <c r="Q353" s="50">
        <f t="shared" si="66"/>
        <v>1</v>
      </c>
      <c r="R353" s="355">
        <f t="shared" si="67"/>
        <v>0</v>
      </c>
      <c r="S353" s="651">
        <f t="shared" si="58"/>
        <v>0</v>
      </c>
    </row>
    <row r="354" spans="1:19">
      <c r="A354" s="808"/>
      <c r="B354" s="129"/>
      <c r="C354" s="50">
        <f t="shared" si="59"/>
        <v>1</v>
      </c>
      <c r="D354" s="806"/>
      <c r="E354" s="50">
        <f t="shared" si="60"/>
        <v>1</v>
      </c>
      <c r="F354" s="806"/>
      <c r="G354" s="50">
        <f t="shared" si="61"/>
        <v>1</v>
      </c>
      <c r="H354" s="806"/>
      <c r="I354" s="50">
        <f t="shared" si="62"/>
        <v>1</v>
      </c>
      <c r="J354" s="806"/>
      <c r="K354" s="50">
        <f t="shared" si="63"/>
        <v>1</v>
      </c>
      <c r="L354" s="806"/>
      <c r="M354" s="50">
        <f t="shared" si="64"/>
        <v>1</v>
      </c>
      <c r="N354" s="806"/>
      <c r="O354" s="50">
        <f t="shared" si="65"/>
        <v>1</v>
      </c>
      <c r="P354" s="806"/>
      <c r="Q354" s="50">
        <f t="shared" si="66"/>
        <v>1</v>
      </c>
      <c r="R354" s="355">
        <f t="shared" si="67"/>
        <v>0</v>
      </c>
      <c r="S354" s="651">
        <f t="shared" si="58"/>
        <v>0</v>
      </c>
    </row>
    <row r="355" spans="1:19">
      <c r="A355" s="808"/>
      <c r="B355" s="129"/>
      <c r="C355" s="50">
        <f t="shared" si="59"/>
        <v>1</v>
      </c>
      <c r="D355" s="806"/>
      <c r="E355" s="50">
        <f t="shared" si="60"/>
        <v>1</v>
      </c>
      <c r="F355" s="806"/>
      <c r="G355" s="50">
        <f t="shared" si="61"/>
        <v>1</v>
      </c>
      <c r="H355" s="806"/>
      <c r="I355" s="50">
        <f t="shared" si="62"/>
        <v>1</v>
      </c>
      <c r="J355" s="806"/>
      <c r="K355" s="50">
        <f t="shared" si="63"/>
        <v>1</v>
      </c>
      <c r="L355" s="806"/>
      <c r="M355" s="50">
        <f t="shared" si="64"/>
        <v>1</v>
      </c>
      <c r="N355" s="806"/>
      <c r="O355" s="50">
        <f t="shared" si="65"/>
        <v>1</v>
      </c>
      <c r="P355" s="806"/>
      <c r="Q355" s="50">
        <f t="shared" si="66"/>
        <v>1</v>
      </c>
      <c r="R355" s="355">
        <f t="shared" si="67"/>
        <v>0</v>
      </c>
      <c r="S355" s="651">
        <f t="shared" si="58"/>
        <v>0</v>
      </c>
    </row>
    <row r="356" spans="1:19">
      <c r="A356" s="808"/>
      <c r="B356" s="129"/>
      <c r="C356" s="50">
        <f t="shared" si="59"/>
        <v>1</v>
      </c>
      <c r="D356" s="806"/>
      <c r="E356" s="50">
        <f t="shared" si="60"/>
        <v>1</v>
      </c>
      <c r="F356" s="806"/>
      <c r="G356" s="50">
        <f t="shared" si="61"/>
        <v>1</v>
      </c>
      <c r="H356" s="806"/>
      <c r="I356" s="50">
        <f t="shared" si="62"/>
        <v>1</v>
      </c>
      <c r="J356" s="806"/>
      <c r="K356" s="50">
        <f t="shared" si="63"/>
        <v>1</v>
      </c>
      <c r="L356" s="806"/>
      <c r="M356" s="50">
        <f t="shared" si="64"/>
        <v>1</v>
      </c>
      <c r="N356" s="806"/>
      <c r="O356" s="50">
        <f t="shared" si="65"/>
        <v>1</v>
      </c>
      <c r="P356" s="806"/>
      <c r="Q356" s="50">
        <f t="shared" si="66"/>
        <v>1</v>
      </c>
      <c r="R356" s="355">
        <f t="shared" si="67"/>
        <v>0</v>
      </c>
      <c r="S356" s="651">
        <f t="shared" si="58"/>
        <v>0</v>
      </c>
    </row>
    <row r="357" spans="1:19">
      <c r="A357" s="808"/>
      <c r="B357" s="129"/>
      <c r="C357" s="50">
        <f t="shared" si="59"/>
        <v>1</v>
      </c>
      <c r="D357" s="806"/>
      <c r="E357" s="50">
        <f t="shared" si="60"/>
        <v>1</v>
      </c>
      <c r="F357" s="806"/>
      <c r="G357" s="50">
        <f t="shared" si="61"/>
        <v>1</v>
      </c>
      <c r="H357" s="806"/>
      <c r="I357" s="50">
        <f t="shared" si="62"/>
        <v>1</v>
      </c>
      <c r="J357" s="806"/>
      <c r="K357" s="50">
        <f t="shared" si="63"/>
        <v>1</v>
      </c>
      <c r="L357" s="806"/>
      <c r="M357" s="50">
        <f t="shared" si="64"/>
        <v>1</v>
      </c>
      <c r="N357" s="806"/>
      <c r="O357" s="50">
        <f t="shared" si="65"/>
        <v>1</v>
      </c>
      <c r="P357" s="806"/>
      <c r="Q357" s="50">
        <f t="shared" si="66"/>
        <v>1</v>
      </c>
      <c r="R357" s="355">
        <f t="shared" si="67"/>
        <v>0</v>
      </c>
      <c r="S357" s="651">
        <f t="shared" si="58"/>
        <v>0</v>
      </c>
    </row>
    <row r="358" spans="1:19">
      <c r="A358" s="808"/>
      <c r="B358" s="129"/>
      <c r="C358" s="50">
        <f t="shared" si="59"/>
        <v>1</v>
      </c>
      <c r="D358" s="806"/>
      <c r="E358" s="50">
        <f t="shared" si="60"/>
        <v>1</v>
      </c>
      <c r="F358" s="806"/>
      <c r="G358" s="50">
        <f t="shared" si="61"/>
        <v>1</v>
      </c>
      <c r="H358" s="806"/>
      <c r="I358" s="50">
        <f t="shared" si="62"/>
        <v>1</v>
      </c>
      <c r="J358" s="806"/>
      <c r="K358" s="50">
        <f t="shared" si="63"/>
        <v>1</v>
      </c>
      <c r="L358" s="806"/>
      <c r="M358" s="50">
        <f t="shared" si="64"/>
        <v>1</v>
      </c>
      <c r="N358" s="806"/>
      <c r="O358" s="50">
        <f t="shared" si="65"/>
        <v>1</v>
      </c>
      <c r="P358" s="806"/>
      <c r="Q358" s="50">
        <f t="shared" si="66"/>
        <v>1</v>
      </c>
      <c r="R358" s="355">
        <f t="shared" si="67"/>
        <v>0</v>
      </c>
      <c r="S358" s="651">
        <f t="shared" si="58"/>
        <v>0</v>
      </c>
    </row>
    <row r="359" spans="1:19">
      <c r="A359" s="808"/>
      <c r="B359" s="129"/>
      <c r="C359" s="50">
        <f t="shared" si="59"/>
        <v>1</v>
      </c>
      <c r="D359" s="806"/>
      <c r="E359" s="50">
        <f t="shared" si="60"/>
        <v>1</v>
      </c>
      <c r="F359" s="806"/>
      <c r="G359" s="50">
        <f t="shared" si="61"/>
        <v>1</v>
      </c>
      <c r="H359" s="806"/>
      <c r="I359" s="50">
        <f t="shared" si="62"/>
        <v>1</v>
      </c>
      <c r="J359" s="806"/>
      <c r="K359" s="50">
        <f t="shared" si="63"/>
        <v>1</v>
      </c>
      <c r="L359" s="806"/>
      <c r="M359" s="50">
        <f t="shared" si="64"/>
        <v>1</v>
      </c>
      <c r="N359" s="806"/>
      <c r="O359" s="50">
        <f t="shared" si="65"/>
        <v>1</v>
      </c>
      <c r="P359" s="806"/>
      <c r="Q359" s="50">
        <f t="shared" si="66"/>
        <v>1</v>
      </c>
      <c r="R359" s="355">
        <f t="shared" si="67"/>
        <v>0</v>
      </c>
      <c r="S359" s="651">
        <f t="shared" si="58"/>
        <v>0</v>
      </c>
    </row>
    <row r="360" spans="1:19">
      <c r="A360" s="808"/>
      <c r="B360" s="129"/>
      <c r="C360" s="50">
        <f t="shared" si="59"/>
        <v>1</v>
      </c>
      <c r="D360" s="806"/>
      <c r="E360" s="50">
        <f t="shared" si="60"/>
        <v>1</v>
      </c>
      <c r="F360" s="806"/>
      <c r="G360" s="50">
        <f t="shared" si="61"/>
        <v>1</v>
      </c>
      <c r="H360" s="806"/>
      <c r="I360" s="50">
        <f t="shared" si="62"/>
        <v>1</v>
      </c>
      <c r="J360" s="806"/>
      <c r="K360" s="50">
        <f t="shared" si="63"/>
        <v>1</v>
      </c>
      <c r="L360" s="806"/>
      <c r="M360" s="50">
        <f t="shared" si="64"/>
        <v>1</v>
      </c>
      <c r="N360" s="806"/>
      <c r="O360" s="50">
        <f t="shared" si="65"/>
        <v>1</v>
      </c>
      <c r="P360" s="806"/>
      <c r="Q360" s="50">
        <f t="shared" si="66"/>
        <v>1</v>
      </c>
      <c r="R360" s="355">
        <f t="shared" si="67"/>
        <v>0</v>
      </c>
      <c r="S360" s="651">
        <f t="shared" si="58"/>
        <v>0</v>
      </c>
    </row>
    <row r="361" spans="1:19">
      <c r="A361" s="808"/>
      <c r="B361" s="129"/>
      <c r="C361" s="50">
        <f t="shared" si="59"/>
        <v>1</v>
      </c>
      <c r="D361" s="806"/>
      <c r="E361" s="50">
        <f t="shared" si="60"/>
        <v>1</v>
      </c>
      <c r="F361" s="806"/>
      <c r="G361" s="50">
        <f t="shared" si="61"/>
        <v>1</v>
      </c>
      <c r="H361" s="806"/>
      <c r="I361" s="50">
        <f t="shared" si="62"/>
        <v>1</v>
      </c>
      <c r="J361" s="806"/>
      <c r="K361" s="50">
        <f t="shared" si="63"/>
        <v>1</v>
      </c>
      <c r="L361" s="806"/>
      <c r="M361" s="50">
        <f t="shared" si="64"/>
        <v>1</v>
      </c>
      <c r="N361" s="806"/>
      <c r="O361" s="50">
        <f t="shared" si="65"/>
        <v>1</v>
      </c>
      <c r="P361" s="806"/>
      <c r="Q361" s="50">
        <f t="shared" si="66"/>
        <v>1</v>
      </c>
      <c r="R361" s="355">
        <f t="shared" si="67"/>
        <v>0</v>
      </c>
      <c r="S361" s="651">
        <f t="shared" si="58"/>
        <v>0</v>
      </c>
    </row>
    <row r="362" spans="1:19">
      <c r="A362" s="808"/>
      <c r="B362" s="129"/>
      <c r="C362" s="50">
        <f t="shared" si="59"/>
        <v>1</v>
      </c>
      <c r="D362" s="806"/>
      <c r="E362" s="50">
        <f t="shared" si="60"/>
        <v>1</v>
      </c>
      <c r="F362" s="806"/>
      <c r="G362" s="50">
        <f t="shared" si="61"/>
        <v>1</v>
      </c>
      <c r="H362" s="806"/>
      <c r="I362" s="50">
        <f t="shared" si="62"/>
        <v>1</v>
      </c>
      <c r="J362" s="806"/>
      <c r="K362" s="50">
        <f t="shared" si="63"/>
        <v>1</v>
      </c>
      <c r="L362" s="806"/>
      <c r="M362" s="50">
        <f t="shared" si="64"/>
        <v>1</v>
      </c>
      <c r="N362" s="806"/>
      <c r="O362" s="50">
        <f t="shared" si="65"/>
        <v>1</v>
      </c>
      <c r="P362" s="806"/>
      <c r="Q362" s="50">
        <f t="shared" si="66"/>
        <v>1</v>
      </c>
      <c r="R362" s="355">
        <f t="shared" si="67"/>
        <v>0</v>
      </c>
      <c r="S362" s="651">
        <f t="shared" si="58"/>
        <v>0</v>
      </c>
    </row>
    <row r="363" spans="1:19">
      <c r="A363" s="808"/>
      <c r="B363" s="129"/>
      <c r="C363" s="50">
        <f t="shared" si="59"/>
        <v>1</v>
      </c>
      <c r="D363" s="806"/>
      <c r="E363" s="50">
        <f t="shared" si="60"/>
        <v>1</v>
      </c>
      <c r="F363" s="806"/>
      <c r="G363" s="50">
        <f t="shared" si="61"/>
        <v>1</v>
      </c>
      <c r="H363" s="806"/>
      <c r="I363" s="50">
        <f t="shared" si="62"/>
        <v>1</v>
      </c>
      <c r="J363" s="806"/>
      <c r="K363" s="50">
        <f t="shared" si="63"/>
        <v>1</v>
      </c>
      <c r="L363" s="806"/>
      <c r="M363" s="50">
        <f t="shared" si="64"/>
        <v>1</v>
      </c>
      <c r="N363" s="806"/>
      <c r="O363" s="50">
        <f t="shared" si="65"/>
        <v>1</v>
      </c>
      <c r="P363" s="806"/>
      <c r="Q363" s="50">
        <f t="shared" si="66"/>
        <v>1</v>
      </c>
      <c r="R363" s="355">
        <f t="shared" si="67"/>
        <v>0</v>
      </c>
      <c r="S363" s="651">
        <f t="shared" si="58"/>
        <v>0</v>
      </c>
    </row>
    <row r="364" spans="1:19">
      <c r="A364" s="808"/>
      <c r="B364" s="129"/>
      <c r="C364" s="50">
        <f t="shared" si="59"/>
        <v>1</v>
      </c>
      <c r="D364" s="806"/>
      <c r="E364" s="50">
        <f t="shared" si="60"/>
        <v>1</v>
      </c>
      <c r="F364" s="806"/>
      <c r="G364" s="50">
        <f t="shared" si="61"/>
        <v>1</v>
      </c>
      <c r="H364" s="806"/>
      <c r="I364" s="50">
        <f t="shared" si="62"/>
        <v>1</v>
      </c>
      <c r="J364" s="806"/>
      <c r="K364" s="50">
        <f t="shared" si="63"/>
        <v>1</v>
      </c>
      <c r="L364" s="806"/>
      <c r="M364" s="50">
        <f t="shared" si="64"/>
        <v>1</v>
      </c>
      <c r="N364" s="806"/>
      <c r="O364" s="50">
        <f t="shared" si="65"/>
        <v>1</v>
      </c>
      <c r="P364" s="806"/>
      <c r="Q364" s="50">
        <f t="shared" si="66"/>
        <v>1</v>
      </c>
      <c r="R364" s="355">
        <f t="shared" si="67"/>
        <v>0</v>
      </c>
      <c r="S364" s="651">
        <f t="shared" si="58"/>
        <v>0</v>
      </c>
    </row>
    <row r="365" spans="1:19">
      <c r="A365" s="808"/>
      <c r="B365" s="129"/>
      <c r="C365" s="50">
        <f t="shared" si="59"/>
        <v>1</v>
      </c>
      <c r="D365" s="806"/>
      <c r="E365" s="50">
        <f t="shared" si="60"/>
        <v>1</v>
      </c>
      <c r="F365" s="806"/>
      <c r="G365" s="50">
        <f t="shared" si="61"/>
        <v>1</v>
      </c>
      <c r="H365" s="806"/>
      <c r="I365" s="50">
        <f t="shared" si="62"/>
        <v>1</v>
      </c>
      <c r="J365" s="806"/>
      <c r="K365" s="50">
        <f t="shared" si="63"/>
        <v>1</v>
      </c>
      <c r="L365" s="806"/>
      <c r="M365" s="50">
        <f t="shared" si="64"/>
        <v>1</v>
      </c>
      <c r="N365" s="806"/>
      <c r="O365" s="50">
        <f t="shared" si="65"/>
        <v>1</v>
      </c>
      <c r="P365" s="806"/>
      <c r="Q365" s="50">
        <f t="shared" si="66"/>
        <v>1</v>
      </c>
      <c r="R365" s="355">
        <f t="shared" si="67"/>
        <v>0</v>
      </c>
      <c r="S365" s="651">
        <f t="shared" si="58"/>
        <v>0</v>
      </c>
    </row>
    <row r="366" spans="1:19">
      <c r="A366" s="808"/>
      <c r="B366" s="129"/>
      <c r="C366" s="50">
        <f t="shared" si="59"/>
        <v>1</v>
      </c>
      <c r="D366" s="806"/>
      <c r="E366" s="50">
        <f t="shared" si="60"/>
        <v>1</v>
      </c>
      <c r="F366" s="806"/>
      <c r="G366" s="50">
        <f t="shared" si="61"/>
        <v>1</v>
      </c>
      <c r="H366" s="806"/>
      <c r="I366" s="50">
        <f t="shared" si="62"/>
        <v>1</v>
      </c>
      <c r="J366" s="806"/>
      <c r="K366" s="50">
        <f t="shared" si="63"/>
        <v>1</v>
      </c>
      <c r="L366" s="806"/>
      <c r="M366" s="50">
        <f t="shared" si="64"/>
        <v>1</v>
      </c>
      <c r="N366" s="806"/>
      <c r="O366" s="50">
        <f t="shared" si="65"/>
        <v>1</v>
      </c>
      <c r="P366" s="806"/>
      <c r="Q366" s="50">
        <f t="shared" si="66"/>
        <v>1</v>
      </c>
      <c r="R366" s="355">
        <f t="shared" si="67"/>
        <v>0</v>
      </c>
      <c r="S366" s="651">
        <f t="shared" si="58"/>
        <v>0</v>
      </c>
    </row>
    <row r="367" spans="1:19">
      <c r="A367" s="808"/>
      <c r="B367" s="129"/>
      <c r="C367" s="50">
        <f t="shared" si="59"/>
        <v>1</v>
      </c>
      <c r="D367" s="806"/>
      <c r="E367" s="50">
        <f t="shared" si="60"/>
        <v>1</v>
      </c>
      <c r="F367" s="806"/>
      <c r="G367" s="50">
        <f t="shared" si="61"/>
        <v>1</v>
      </c>
      <c r="H367" s="806"/>
      <c r="I367" s="50">
        <f t="shared" si="62"/>
        <v>1</v>
      </c>
      <c r="J367" s="806"/>
      <c r="K367" s="50">
        <f t="shared" si="63"/>
        <v>1</v>
      </c>
      <c r="L367" s="806"/>
      <c r="M367" s="50">
        <f t="shared" si="64"/>
        <v>1</v>
      </c>
      <c r="N367" s="806"/>
      <c r="O367" s="50">
        <f t="shared" si="65"/>
        <v>1</v>
      </c>
      <c r="P367" s="806"/>
      <c r="Q367" s="50">
        <f t="shared" si="66"/>
        <v>1</v>
      </c>
      <c r="R367" s="355">
        <f t="shared" si="67"/>
        <v>0</v>
      </c>
      <c r="S367" s="651">
        <f t="shared" si="58"/>
        <v>0</v>
      </c>
    </row>
    <row r="368" spans="1:19">
      <c r="A368" s="808"/>
      <c r="B368" s="129"/>
      <c r="C368" s="50">
        <f t="shared" si="59"/>
        <v>1</v>
      </c>
      <c r="D368" s="806"/>
      <c r="E368" s="50">
        <f t="shared" si="60"/>
        <v>1</v>
      </c>
      <c r="F368" s="806"/>
      <c r="G368" s="50">
        <f t="shared" si="61"/>
        <v>1</v>
      </c>
      <c r="H368" s="806"/>
      <c r="I368" s="50">
        <f t="shared" si="62"/>
        <v>1</v>
      </c>
      <c r="J368" s="806"/>
      <c r="K368" s="50">
        <f t="shared" si="63"/>
        <v>1</v>
      </c>
      <c r="L368" s="806"/>
      <c r="M368" s="50">
        <f t="shared" si="64"/>
        <v>1</v>
      </c>
      <c r="N368" s="806"/>
      <c r="O368" s="50">
        <f t="shared" si="65"/>
        <v>1</v>
      </c>
      <c r="P368" s="806"/>
      <c r="Q368" s="50">
        <f t="shared" si="66"/>
        <v>1</v>
      </c>
      <c r="R368" s="355">
        <f t="shared" si="67"/>
        <v>0</v>
      </c>
      <c r="S368" s="651">
        <f t="shared" si="58"/>
        <v>0</v>
      </c>
    </row>
    <row r="369" spans="1:19">
      <c r="A369" s="808"/>
      <c r="B369" s="129"/>
      <c r="C369" s="50">
        <f t="shared" si="59"/>
        <v>1</v>
      </c>
      <c r="D369" s="806"/>
      <c r="E369" s="50">
        <f t="shared" si="60"/>
        <v>1</v>
      </c>
      <c r="F369" s="806"/>
      <c r="G369" s="50">
        <f t="shared" si="61"/>
        <v>1</v>
      </c>
      <c r="H369" s="806"/>
      <c r="I369" s="50">
        <f t="shared" si="62"/>
        <v>1</v>
      </c>
      <c r="J369" s="806"/>
      <c r="K369" s="50">
        <f t="shared" si="63"/>
        <v>1</v>
      </c>
      <c r="L369" s="806"/>
      <c r="M369" s="50">
        <f t="shared" si="64"/>
        <v>1</v>
      </c>
      <c r="N369" s="806"/>
      <c r="O369" s="50">
        <f t="shared" si="65"/>
        <v>1</v>
      </c>
      <c r="P369" s="806"/>
      <c r="Q369" s="50">
        <f t="shared" si="66"/>
        <v>1</v>
      </c>
      <c r="R369" s="355">
        <f t="shared" si="67"/>
        <v>0</v>
      </c>
      <c r="S369" s="651">
        <f t="shared" si="58"/>
        <v>0</v>
      </c>
    </row>
    <row r="370" spans="1:19">
      <c r="A370" s="808"/>
      <c r="B370" s="129"/>
      <c r="C370" s="50">
        <f t="shared" si="59"/>
        <v>1</v>
      </c>
      <c r="D370" s="806"/>
      <c r="E370" s="50">
        <f t="shared" si="60"/>
        <v>1</v>
      </c>
      <c r="F370" s="806"/>
      <c r="G370" s="50">
        <f t="shared" si="61"/>
        <v>1</v>
      </c>
      <c r="H370" s="806"/>
      <c r="I370" s="50">
        <f t="shared" si="62"/>
        <v>1</v>
      </c>
      <c r="J370" s="806"/>
      <c r="K370" s="50">
        <f t="shared" si="63"/>
        <v>1</v>
      </c>
      <c r="L370" s="806"/>
      <c r="M370" s="50">
        <f t="shared" si="64"/>
        <v>1</v>
      </c>
      <c r="N370" s="806"/>
      <c r="O370" s="50">
        <f t="shared" si="65"/>
        <v>1</v>
      </c>
      <c r="P370" s="806"/>
      <c r="Q370" s="50">
        <f t="shared" si="66"/>
        <v>1</v>
      </c>
      <c r="R370" s="355">
        <f t="shared" si="67"/>
        <v>0</v>
      </c>
      <c r="S370" s="651">
        <f t="shared" si="58"/>
        <v>0</v>
      </c>
    </row>
    <row r="371" spans="1:19">
      <c r="A371" s="808"/>
      <c r="B371" s="129"/>
      <c r="C371" s="50">
        <f t="shared" si="59"/>
        <v>1</v>
      </c>
      <c r="D371" s="806"/>
      <c r="E371" s="50">
        <f t="shared" si="60"/>
        <v>1</v>
      </c>
      <c r="F371" s="806"/>
      <c r="G371" s="50">
        <f t="shared" si="61"/>
        <v>1</v>
      </c>
      <c r="H371" s="806"/>
      <c r="I371" s="50">
        <f t="shared" si="62"/>
        <v>1</v>
      </c>
      <c r="J371" s="806"/>
      <c r="K371" s="50">
        <f t="shared" si="63"/>
        <v>1</v>
      </c>
      <c r="L371" s="806"/>
      <c r="M371" s="50">
        <f t="shared" si="64"/>
        <v>1</v>
      </c>
      <c r="N371" s="806"/>
      <c r="O371" s="50">
        <f t="shared" si="65"/>
        <v>1</v>
      </c>
      <c r="P371" s="806"/>
      <c r="Q371" s="50">
        <f t="shared" si="66"/>
        <v>1</v>
      </c>
      <c r="R371" s="355">
        <f t="shared" si="67"/>
        <v>0</v>
      </c>
      <c r="S371" s="651">
        <f t="shared" si="58"/>
        <v>0</v>
      </c>
    </row>
    <row r="372" spans="1:19">
      <c r="A372" s="808"/>
      <c r="B372" s="129"/>
      <c r="C372" s="50">
        <f t="shared" si="59"/>
        <v>1</v>
      </c>
      <c r="D372" s="806"/>
      <c r="E372" s="50">
        <f t="shared" si="60"/>
        <v>1</v>
      </c>
      <c r="F372" s="806"/>
      <c r="G372" s="50">
        <f t="shared" si="61"/>
        <v>1</v>
      </c>
      <c r="H372" s="806"/>
      <c r="I372" s="50">
        <f t="shared" si="62"/>
        <v>1</v>
      </c>
      <c r="J372" s="806"/>
      <c r="K372" s="50">
        <f t="shared" si="63"/>
        <v>1</v>
      </c>
      <c r="L372" s="806"/>
      <c r="M372" s="50">
        <f t="shared" si="64"/>
        <v>1</v>
      </c>
      <c r="N372" s="806"/>
      <c r="O372" s="50">
        <f t="shared" si="65"/>
        <v>1</v>
      </c>
      <c r="P372" s="806"/>
      <c r="Q372" s="50">
        <f t="shared" si="66"/>
        <v>1</v>
      </c>
      <c r="R372" s="355">
        <f t="shared" si="67"/>
        <v>0</v>
      </c>
      <c r="S372" s="651">
        <f t="shared" si="58"/>
        <v>0</v>
      </c>
    </row>
    <row r="373" spans="1:19">
      <c r="A373" s="808"/>
      <c r="B373" s="129"/>
      <c r="C373" s="50">
        <f t="shared" si="59"/>
        <v>1</v>
      </c>
      <c r="D373" s="806"/>
      <c r="E373" s="50">
        <f t="shared" si="60"/>
        <v>1</v>
      </c>
      <c r="F373" s="806"/>
      <c r="G373" s="50">
        <f t="shared" si="61"/>
        <v>1</v>
      </c>
      <c r="H373" s="806"/>
      <c r="I373" s="50">
        <f t="shared" si="62"/>
        <v>1</v>
      </c>
      <c r="J373" s="806"/>
      <c r="K373" s="50">
        <f t="shared" si="63"/>
        <v>1</v>
      </c>
      <c r="L373" s="806"/>
      <c r="M373" s="50">
        <f t="shared" si="64"/>
        <v>1</v>
      </c>
      <c r="N373" s="806"/>
      <c r="O373" s="50">
        <f t="shared" si="65"/>
        <v>1</v>
      </c>
      <c r="P373" s="806"/>
      <c r="Q373" s="50">
        <f t="shared" si="66"/>
        <v>1</v>
      </c>
      <c r="R373" s="355">
        <f t="shared" si="67"/>
        <v>0</v>
      </c>
      <c r="S373" s="651">
        <f t="shared" si="58"/>
        <v>0</v>
      </c>
    </row>
    <row r="374" spans="1:19">
      <c r="A374" s="808"/>
      <c r="B374" s="129"/>
      <c r="C374" s="50">
        <f t="shared" si="59"/>
        <v>1</v>
      </c>
      <c r="D374" s="806"/>
      <c r="E374" s="50">
        <f t="shared" si="60"/>
        <v>1</v>
      </c>
      <c r="F374" s="806"/>
      <c r="G374" s="50">
        <f t="shared" si="61"/>
        <v>1</v>
      </c>
      <c r="H374" s="806"/>
      <c r="I374" s="50">
        <f t="shared" si="62"/>
        <v>1</v>
      </c>
      <c r="J374" s="806"/>
      <c r="K374" s="50">
        <f t="shared" si="63"/>
        <v>1</v>
      </c>
      <c r="L374" s="806"/>
      <c r="M374" s="50">
        <f t="shared" si="64"/>
        <v>1</v>
      </c>
      <c r="N374" s="806"/>
      <c r="O374" s="50">
        <f t="shared" si="65"/>
        <v>1</v>
      </c>
      <c r="P374" s="806"/>
      <c r="Q374" s="50">
        <f t="shared" si="66"/>
        <v>1</v>
      </c>
      <c r="R374" s="355">
        <f t="shared" si="67"/>
        <v>0</v>
      </c>
      <c r="S374" s="651">
        <f t="shared" si="58"/>
        <v>0</v>
      </c>
    </row>
    <row r="375" spans="1:19">
      <c r="A375" s="808"/>
      <c r="B375" s="129"/>
      <c r="C375" s="50">
        <f t="shared" si="59"/>
        <v>1</v>
      </c>
      <c r="D375" s="806"/>
      <c r="E375" s="50">
        <f t="shared" si="60"/>
        <v>1</v>
      </c>
      <c r="F375" s="806"/>
      <c r="G375" s="50">
        <f t="shared" si="61"/>
        <v>1</v>
      </c>
      <c r="H375" s="806"/>
      <c r="I375" s="50">
        <f t="shared" si="62"/>
        <v>1</v>
      </c>
      <c r="J375" s="806"/>
      <c r="K375" s="50">
        <f t="shared" si="63"/>
        <v>1</v>
      </c>
      <c r="L375" s="806"/>
      <c r="M375" s="50">
        <f t="shared" si="64"/>
        <v>1</v>
      </c>
      <c r="N375" s="806"/>
      <c r="O375" s="50">
        <f t="shared" si="65"/>
        <v>1</v>
      </c>
      <c r="P375" s="806"/>
      <c r="Q375" s="50">
        <f t="shared" si="66"/>
        <v>1</v>
      </c>
      <c r="R375" s="355">
        <f t="shared" si="67"/>
        <v>0</v>
      </c>
      <c r="S375" s="651">
        <f t="shared" si="58"/>
        <v>0</v>
      </c>
    </row>
    <row r="376" spans="1:19">
      <c r="A376" s="808"/>
      <c r="B376" s="129"/>
      <c r="C376" s="50">
        <f t="shared" si="59"/>
        <v>1</v>
      </c>
      <c r="D376" s="806"/>
      <c r="E376" s="50">
        <f t="shared" si="60"/>
        <v>1</v>
      </c>
      <c r="F376" s="806"/>
      <c r="G376" s="50">
        <f t="shared" si="61"/>
        <v>1</v>
      </c>
      <c r="H376" s="806"/>
      <c r="I376" s="50">
        <f t="shared" si="62"/>
        <v>1</v>
      </c>
      <c r="J376" s="806"/>
      <c r="K376" s="50">
        <f t="shared" si="63"/>
        <v>1</v>
      </c>
      <c r="L376" s="806"/>
      <c r="M376" s="50">
        <f t="shared" si="64"/>
        <v>1</v>
      </c>
      <c r="N376" s="806"/>
      <c r="O376" s="50">
        <f t="shared" si="65"/>
        <v>1</v>
      </c>
      <c r="P376" s="806"/>
      <c r="Q376" s="50">
        <f t="shared" si="66"/>
        <v>1</v>
      </c>
      <c r="R376" s="355">
        <f t="shared" si="67"/>
        <v>0</v>
      </c>
      <c r="S376" s="651">
        <f t="shared" si="58"/>
        <v>0</v>
      </c>
    </row>
    <row r="377" spans="1:19">
      <c r="A377" s="808"/>
      <c r="B377" s="129"/>
      <c r="C377" s="50">
        <f t="shared" si="59"/>
        <v>1</v>
      </c>
      <c r="D377" s="806"/>
      <c r="E377" s="50">
        <f t="shared" si="60"/>
        <v>1</v>
      </c>
      <c r="F377" s="806"/>
      <c r="G377" s="50">
        <f t="shared" si="61"/>
        <v>1</v>
      </c>
      <c r="H377" s="806"/>
      <c r="I377" s="50">
        <f t="shared" si="62"/>
        <v>1</v>
      </c>
      <c r="J377" s="806"/>
      <c r="K377" s="50">
        <f t="shared" si="63"/>
        <v>1</v>
      </c>
      <c r="L377" s="806"/>
      <c r="M377" s="50">
        <f t="shared" si="64"/>
        <v>1</v>
      </c>
      <c r="N377" s="806"/>
      <c r="O377" s="50">
        <f t="shared" si="65"/>
        <v>1</v>
      </c>
      <c r="P377" s="806"/>
      <c r="Q377" s="50">
        <f t="shared" si="66"/>
        <v>1</v>
      </c>
      <c r="R377" s="355">
        <f t="shared" si="67"/>
        <v>0</v>
      </c>
      <c r="S377" s="651">
        <f t="shared" si="58"/>
        <v>0</v>
      </c>
    </row>
    <row r="378" spans="1:19">
      <c r="A378" s="808"/>
      <c r="B378" s="129"/>
      <c r="C378" s="50">
        <f t="shared" si="59"/>
        <v>1</v>
      </c>
      <c r="D378" s="806"/>
      <c r="E378" s="50">
        <f t="shared" si="60"/>
        <v>1</v>
      </c>
      <c r="F378" s="806"/>
      <c r="G378" s="50">
        <f t="shared" si="61"/>
        <v>1</v>
      </c>
      <c r="H378" s="806"/>
      <c r="I378" s="50">
        <f t="shared" si="62"/>
        <v>1</v>
      </c>
      <c r="J378" s="806"/>
      <c r="K378" s="50">
        <f t="shared" si="63"/>
        <v>1</v>
      </c>
      <c r="L378" s="806"/>
      <c r="M378" s="50">
        <f t="shared" si="64"/>
        <v>1</v>
      </c>
      <c r="N378" s="806"/>
      <c r="O378" s="50">
        <f t="shared" si="65"/>
        <v>1</v>
      </c>
      <c r="P378" s="806"/>
      <c r="Q378" s="50">
        <f t="shared" si="66"/>
        <v>1</v>
      </c>
      <c r="R378" s="355">
        <f t="shared" si="67"/>
        <v>0</v>
      </c>
      <c r="S378" s="651">
        <f t="shared" si="58"/>
        <v>0</v>
      </c>
    </row>
    <row r="379" spans="1:19">
      <c r="A379" s="808"/>
      <c r="B379" s="129"/>
      <c r="C379" s="50">
        <f t="shared" si="59"/>
        <v>1</v>
      </c>
      <c r="D379" s="806"/>
      <c r="E379" s="50">
        <f t="shared" si="60"/>
        <v>1</v>
      </c>
      <c r="F379" s="806"/>
      <c r="G379" s="50">
        <f t="shared" si="61"/>
        <v>1</v>
      </c>
      <c r="H379" s="806"/>
      <c r="I379" s="50">
        <f t="shared" si="62"/>
        <v>1</v>
      </c>
      <c r="J379" s="806"/>
      <c r="K379" s="50">
        <f t="shared" si="63"/>
        <v>1</v>
      </c>
      <c r="L379" s="806"/>
      <c r="M379" s="50">
        <f t="shared" si="64"/>
        <v>1</v>
      </c>
      <c r="N379" s="806"/>
      <c r="O379" s="50">
        <f t="shared" si="65"/>
        <v>1</v>
      </c>
      <c r="P379" s="806"/>
      <c r="Q379" s="50">
        <f t="shared" si="66"/>
        <v>1</v>
      </c>
      <c r="R379" s="355">
        <f t="shared" si="67"/>
        <v>0</v>
      </c>
      <c r="S379" s="651">
        <f t="shared" si="58"/>
        <v>0</v>
      </c>
    </row>
    <row r="380" spans="1:19">
      <c r="A380" s="808"/>
      <c r="B380" s="129"/>
      <c r="C380" s="50">
        <f t="shared" si="59"/>
        <v>1</v>
      </c>
      <c r="D380" s="806"/>
      <c r="E380" s="50">
        <f t="shared" si="60"/>
        <v>1</v>
      </c>
      <c r="F380" s="806"/>
      <c r="G380" s="50">
        <f t="shared" si="61"/>
        <v>1</v>
      </c>
      <c r="H380" s="806"/>
      <c r="I380" s="50">
        <f t="shared" si="62"/>
        <v>1</v>
      </c>
      <c r="J380" s="806"/>
      <c r="K380" s="50">
        <f t="shared" si="63"/>
        <v>1</v>
      </c>
      <c r="L380" s="806"/>
      <c r="M380" s="50">
        <f t="shared" si="64"/>
        <v>1</v>
      </c>
      <c r="N380" s="806"/>
      <c r="O380" s="50">
        <f t="shared" si="65"/>
        <v>1</v>
      </c>
      <c r="P380" s="806"/>
      <c r="Q380" s="50">
        <f t="shared" si="66"/>
        <v>1</v>
      </c>
      <c r="R380" s="355">
        <f t="shared" si="67"/>
        <v>0</v>
      </c>
      <c r="S380" s="651">
        <f t="shared" si="58"/>
        <v>0</v>
      </c>
    </row>
    <row r="381" spans="1:19">
      <c r="A381" s="808"/>
      <c r="B381" s="129"/>
      <c r="C381" s="50">
        <f t="shared" si="59"/>
        <v>1</v>
      </c>
      <c r="D381" s="806"/>
      <c r="E381" s="50">
        <f t="shared" si="60"/>
        <v>1</v>
      </c>
      <c r="F381" s="806"/>
      <c r="G381" s="50">
        <f t="shared" si="61"/>
        <v>1</v>
      </c>
      <c r="H381" s="806"/>
      <c r="I381" s="50">
        <f t="shared" si="62"/>
        <v>1</v>
      </c>
      <c r="J381" s="806"/>
      <c r="K381" s="50">
        <f t="shared" si="63"/>
        <v>1</v>
      </c>
      <c r="L381" s="806"/>
      <c r="M381" s="50">
        <f t="shared" si="64"/>
        <v>1</v>
      </c>
      <c r="N381" s="806"/>
      <c r="O381" s="50">
        <f t="shared" si="65"/>
        <v>1</v>
      </c>
      <c r="P381" s="806"/>
      <c r="Q381" s="50">
        <f t="shared" si="66"/>
        <v>1</v>
      </c>
      <c r="R381" s="355">
        <f t="shared" si="67"/>
        <v>0</v>
      </c>
      <c r="S381" s="651">
        <f t="shared" si="58"/>
        <v>0</v>
      </c>
    </row>
    <row r="382" spans="1:19">
      <c r="A382" s="808"/>
      <c r="B382" s="129"/>
      <c r="C382" s="50">
        <f t="shared" si="59"/>
        <v>1</v>
      </c>
      <c r="D382" s="806"/>
      <c r="E382" s="50">
        <f t="shared" si="60"/>
        <v>1</v>
      </c>
      <c r="F382" s="806"/>
      <c r="G382" s="50">
        <f t="shared" si="61"/>
        <v>1</v>
      </c>
      <c r="H382" s="806"/>
      <c r="I382" s="50">
        <f t="shared" si="62"/>
        <v>1</v>
      </c>
      <c r="J382" s="806"/>
      <c r="K382" s="50">
        <f t="shared" si="63"/>
        <v>1</v>
      </c>
      <c r="L382" s="806"/>
      <c r="M382" s="50">
        <f t="shared" si="64"/>
        <v>1</v>
      </c>
      <c r="N382" s="806"/>
      <c r="O382" s="50">
        <f t="shared" si="65"/>
        <v>1</v>
      </c>
      <c r="P382" s="806"/>
      <c r="Q382" s="50">
        <f t="shared" si="66"/>
        <v>1</v>
      </c>
      <c r="R382" s="355">
        <f t="shared" si="67"/>
        <v>0</v>
      </c>
      <c r="S382" s="651">
        <f t="shared" si="58"/>
        <v>0</v>
      </c>
    </row>
    <row r="383" spans="1:19">
      <c r="A383" s="808"/>
      <c r="B383" s="129"/>
      <c r="C383" s="50">
        <f t="shared" si="59"/>
        <v>1</v>
      </c>
      <c r="D383" s="806"/>
      <c r="E383" s="50">
        <f t="shared" si="60"/>
        <v>1</v>
      </c>
      <c r="F383" s="806"/>
      <c r="G383" s="50">
        <f t="shared" si="61"/>
        <v>1</v>
      </c>
      <c r="H383" s="806"/>
      <c r="I383" s="50">
        <f t="shared" si="62"/>
        <v>1</v>
      </c>
      <c r="J383" s="806"/>
      <c r="K383" s="50">
        <f t="shared" si="63"/>
        <v>1</v>
      </c>
      <c r="L383" s="806"/>
      <c r="M383" s="50">
        <f t="shared" si="64"/>
        <v>1</v>
      </c>
      <c r="N383" s="806"/>
      <c r="O383" s="50">
        <f t="shared" si="65"/>
        <v>1</v>
      </c>
      <c r="P383" s="806"/>
      <c r="Q383" s="50">
        <f t="shared" si="66"/>
        <v>1</v>
      </c>
      <c r="R383" s="355">
        <f t="shared" si="67"/>
        <v>0</v>
      </c>
      <c r="S383" s="651">
        <f t="shared" si="58"/>
        <v>0</v>
      </c>
    </row>
    <row r="384" spans="1:19">
      <c r="A384" s="808"/>
      <c r="B384" s="129"/>
      <c r="C384" s="50">
        <f t="shared" si="59"/>
        <v>1</v>
      </c>
      <c r="D384" s="806"/>
      <c r="E384" s="50">
        <f t="shared" si="60"/>
        <v>1</v>
      </c>
      <c r="F384" s="806"/>
      <c r="G384" s="50">
        <f t="shared" si="61"/>
        <v>1</v>
      </c>
      <c r="H384" s="806"/>
      <c r="I384" s="50">
        <f t="shared" si="62"/>
        <v>1</v>
      </c>
      <c r="J384" s="806"/>
      <c r="K384" s="50">
        <f t="shared" si="63"/>
        <v>1</v>
      </c>
      <c r="L384" s="806"/>
      <c r="M384" s="50">
        <f t="shared" si="64"/>
        <v>1</v>
      </c>
      <c r="N384" s="806"/>
      <c r="O384" s="50">
        <f t="shared" si="65"/>
        <v>1</v>
      </c>
      <c r="P384" s="806"/>
      <c r="Q384" s="50">
        <f t="shared" si="66"/>
        <v>1</v>
      </c>
      <c r="R384" s="355">
        <f t="shared" si="67"/>
        <v>0</v>
      </c>
      <c r="S384" s="651">
        <f t="shared" si="58"/>
        <v>0</v>
      </c>
    </row>
    <row r="385" spans="1:19">
      <c r="A385" s="808"/>
      <c r="B385" s="129"/>
      <c r="C385" s="50">
        <f t="shared" si="59"/>
        <v>1</v>
      </c>
      <c r="D385" s="806"/>
      <c r="E385" s="50">
        <f t="shared" si="60"/>
        <v>1</v>
      </c>
      <c r="F385" s="806"/>
      <c r="G385" s="50">
        <f t="shared" si="61"/>
        <v>1</v>
      </c>
      <c r="H385" s="806"/>
      <c r="I385" s="50">
        <f t="shared" si="62"/>
        <v>1</v>
      </c>
      <c r="J385" s="806"/>
      <c r="K385" s="50">
        <f t="shared" si="63"/>
        <v>1</v>
      </c>
      <c r="L385" s="806"/>
      <c r="M385" s="50">
        <f t="shared" si="64"/>
        <v>1</v>
      </c>
      <c r="N385" s="806"/>
      <c r="O385" s="50">
        <f t="shared" si="65"/>
        <v>1</v>
      </c>
      <c r="P385" s="806"/>
      <c r="Q385" s="50">
        <f t="shared" si="66"/>
        <v>1</v>
      </c>
      <c r="R385" s="355">
        <f t="shared" si="67"/>
        <v>0</v>
      </c>
      <c r="S385" s="651">
        <f t="shared" ref="S385:S422" si="68">ROUND(R385*B385/10000,0)</f>
        <v>0</v>
      </c>
    </row>
    <row r="386" spans="1:19">
      <c r="A386" s="808"/>
      <c r="B386" s="129"/>
      <c r="C386" s="50">
        <f t="shared" si="59"/>
        <v>1</v>
      </c>
      <c r="D386" s="806"/>
      <c r="E386" s="50">
        <f t="shared" si="60"/>
        <v>1</v>
      </c>
      <c r="F386" s="806"/>
      <c r="G386" s="50">
        <f t="shared" si="61"/>
        <v>1</v>
      </c>
      <c r="H386" s="806"/>
      <c r="I386" s="50">
        <f t="shared" si="62"/>
        <v>1</v>
      </c>
      <c r="J386" s="806"/>
      <c r="K386" s="50">
        <f t="shared" si="63"/>
        <v>1</v>
      </c>
      <c r="L386" s="806"/>
      <c r="M386" s="50">
        <f t="shared" si="64"/>
        <v>1</v>
      </c>
      <c r="N386" s="806"/>
      <c r="O386" s="50">
        <f t="shared" si="65"/>
        <v>1</v>
      </c>
      <c r="P386" s="806"/>
      <c r="Q386" s="50">
        <f t="shared" si="66"/>
        <v>1</v>
      </c>
      <c r="R386" s="355">
        <f t="shared" si="67"/>
        <v>0</v>
      </c>
      <c r="S386" s="651">
        <f t="shared" si="68"/>
        <v>0</v>
      </c>
    </row>
    <row r="387" spans="1:19">
      <c r="A387" s="808"/>
      <c r="B387" s="129"/>
      <c r="C387" s="50">
        <f t="shared" si="59"/>
        <v>1</v>
      </c>
      <c r="D387" s="806"/>
      <c r="E387" s="50">
        <f t="shared" si="60"/>
        <v>1</v>
      </c>
      <c r="F387" s="806"/>
      <c r="G387" s="50">
        <f t="shared" si="61"/>
        <v>1</v>
      </c>
      <c r="H387" s="806"/>
      <c r="I387" s="50">
        <f t="shared" si="62"/>
        <v>1</v>
      </c>
      <c r="J387" s="806"/>
      <c r="K387" s="50">
        <f t="shared" si="63"/>
        <v>1</v>
      </c>
      <c r="L387" s="806"/>
      <c r="M387" s="50">
        <f t="shared" si="64"/>
        <v>1</v>
      </c>
      <c r="N387" s="806"/>
      <c r="O387" s="50">
        <f t="shared" si="65"/>
        <v>1</v>
      </c>
      <c r="P387" s="806"/>
      <c r="Q387" s="50">
        <f t="shared" si="66"/>
        <v>1</v>
      </c>
      <c r="R387" s="355">
        <f t="shared" si="67"/>
        <v>0</v>
      </c>
      <c r="S387" s="651">
        <f t="shared" si="68"/>
        <v>0</v>
      </c>
    </row>
    <row r="388" spans="1:19">
      <c r="A388" s="808"/>
      <c r="B388" s="129"/>
      <c r="C388" s="50">
        <f t="shared" si="59"/>
        <v>1</v>
      </c>
      <c r="D388" s="806"/>
      <c r="E388" s="50">
        <f t="shared" si="60"/>
        <v>1</v>
      </c>
      <c r="F388" s="806"/>
      <c r="G388" s="50">
        <f t="shared" si="61"/>
        <v>1</v>
      </c>
      <c r="H388" s="806"/>
      <c r="I388" s="50">
        <f t="shared" si="62"/>
        <v>1</v>
      </c>
      <c r="J388" s="806"/>
      <c r="K388" s="50">
        <f t="shared" si="63"/>
        <v>1</v>
      </c>
      <c r="L388" s="806"/>
      <c r="M388" s="50">
        <f t="shared" si="64"/>
        <v>1</v>
      </c>
      <c r="N388" s="806"/>
      <c r="O388" s="50">
        <f t="shared" si="65"/>
        <v>1</v>
      </c>
      <c r="P388" s="806"/>
      <c r="Q388" s="50">
        <f t="shared" si="66"/>
        <v>1</v>
      </c>
      <c r="R388" s="355">
        <f t="shared" si="67"/>
        <v>0</v>
      </c>
      <c r="S388" s="651">
        <f t="shared" si="68"/>
        <v>0</v>
      </c>
    </row>
    <row r="389" spans="1:19">
      <c r="A389" s="808"/>
      <c r="B389" s="129"/>
      <c r="C389" s="50">
        <f t="shared" si="59"/>
        <v>1</v>
      </c>
      <c r="D389" s="806"/>
      <c r="E389" s="50">
        <f t="shared" si="60"/>
        <v>1</v>
      </c>
      <c r="F389" s="806"/>
      <c r="G389" s="50">
        <f t="shared" si="61"/>
        <v>1</v>
      </c>
      <c r="H389" s="806"/>
      <c r="I389" s="50">
        <f t="shared" si="62"/>
        <v>1</v>
      </c>
      <c r="J389" s="806"/>
      <c r="K389" s="50">
        <f t="shared" si="63"/>
        <v>1</v>
      </c>
      <c r="L389" s="806"/>
      <c r="M389" s="50">
        <f t="shared" si="64"/>
        <v>1</v>
      </c>
      <c r="N389" s="806"/>
      <c r="O389" s="50">
        <f t="shared" si="65"/>
        <v>1</v>
      </c>
      <c r="P389" s="806"/>
      <c r="Q389" s="50">
        <f t="shared" si="66"/>
        <v>1</v>
      </c>
      <c r="R389" s="355">
        <f t="shared" si="67"/>
        <v>0</v>
      </c>
      <c r="S389" s="651">
        <f t="shared" si="68"/>
        <v>0</v>
      </c>
    </row>
    <row r="390" spans="1:19">
      <c r="A390" s="808"/>
      <c r="B390" s="129"/>
      <c r="C390" s="50">
        <f t="shared" si="59"/>
        <v>1</v>
      </c>
      <c r="D390" s="806"/>
      <c r="E390" s="50">
        <f t="shared" si="60"/>
        <v>1</v>
      </c>
      <c r="F390" s="806"/>
      <c r="G390" s="50">
        <f t="shared" si="61"/>
        <v>1</v>
      </c>
      <c r="H390" s="806"/>
      <c r="I390" s="50">
        <f t="shared" si="62"/>
        <v>1</v>
      </c>
      <c r="J390" s="806"/>
      <c r="K390" s="50">
        <f t="shared" si="63"/>
        <v>1</v>
      </c>
      <c r="L390" s="806"/>
      <c r="M390" s="50">
        <f t="shared" si="64"/>
        <v>1</v>
      </c>
      <c r="N390" s="806"/>
      <c r="O390" s="50">
        <f t="shared" si="65"/>
        <v>1</v>
      </c>
      <c r="P390" s="806"/>
      <c r="Q390" s="50">
        <f t="shared" si="66"/>
        <v>1</v>
      </c>
      <c r="R390" s="355">
        <f t="shared" si="67"/>
        <v>0</v>
      </c>
      <c r="S390" s="651">
        <f t="shared" si="68"/>
        <v>0</v>
      </c>
    </row>
    <row r="391" spans="1:19">
      <c r="A391" s="808"/>
      <c r="B391" s="129"/>
      <c r="C391" s="50">
        <f t="shared" si="59"/>
        <v>1</v>
      </c>
      <c r="D391" s="806"/>
      <c r="E391" s="50">
        <f t="shared" si="60"/>
        <v>1</v>
      </c>
      <c r="F391" s="806"/>
      <c r="G391" s="50">
        <f t="shared" si="61"/>
        <v>1</v>
      </c>
      <c r="H391" s="806"/>
      <c r="I391" s="50">
        <f t="shared" si="62"/>
        <v>1</v>
      </c>
      <c r="J391" s="806"/>
      <c r="K391" s="50">
        <f t="shared" si="63"/>
        <v>1</v>
      </c>
      <c r="L391" s="806"/>
      <c r="M391" s="50">
        <f t="shared" si="64"/>
        <v>1</v>
      </c>
      <c r="N391" s="806"/>
      <c r="O391" s="50">
        <f t="shared" si="65"/>
        <v>1</v>
      </c>
      <c r="P391" s="806"/>
      <c r="Q391" s="50">
        <f t="shared" si="66"/>
        <v>1</v>
      </c>
      <c r="R391" s="355">
        <f t="shared" si="67"/>
        <v>0</v>
      </c>
      <c r="S391" s="651">
        <f t="shared" si="68"/>
        <v>0</v>
      </c>
    </row>
    <row r="392" spans="1:19">
      <c r="A392" s="808"/>
      <c r="B392" s="129"/>
      <c r="C392" s="50">
        <f t="shared" si="59"/>
        <v>1</v>
      </c>
      <c r="D392" s="806"/>
      <c r="E392" s="50">
        <f t="shared" si="60"/>
        <v>1</v>
      </c>
      <c r="F392" s="806"/>
      <c r="G392" s="50">
        <f t="shared" si="61"/>
        <v>1</v>
      </c>
      <c r="H392" s="806"/>
      <c r="I392" s="50">
        <f t="shared" si="62"/>
        <v>1</v>
      </c>
      <c r="J392" s="806"/>
      <c r="K392" s="50">
        <f t="shared" si="63"/>
        <v>1</v>
      </c>
      <c r="L392" s="806"/>
      <c r="M392" s="50">
        <f t="shared" si="64"/>
        <v>1</v>
      </c>
      <c r="N392" s="806"/>
      <c r="O392" s="50">
        <f t="shared" si="65"/>
        <v>1</v>
      </c>
      <c r="P392" s="806"/>
      <c r="Q392" s="50">
        <f t="shared" si="66"/>
        <v>1</v>
      </c>
      <c r="R392" s="355">
        <f t="shared" si="67"/>
        <v>0</v>
      </c>
      <c r="S392" s="651">
        <f t="shared" si="68"/>
        <v>0</v>
      </c>
    </row>
    <row r="393" spans="1:19">
      <c r="A393" s="808"/>
      <c r="B393" s="129"/>
      <c r="C393" s="50">
        <f t="shared" si="59"/>
        <v>1</v>
      </c>
      <c r="D393" s="806"/>
      <c r="E393" s="50">
        <f t="shared" si="60"/>
        <v>1</v>
      </c>
      <c r="F393" s="806"/>
      <c r="G393" s="50">
        <f t="shared" si="61"/>
        <v>1</v>
      </c>
      <c r="H393" s="806"/>
      <c r="I393" s="50">
        <f t="shared" si="62"/>
        <v>1</v>
      </c>
      <c r="J393" s="806"/>
      <c r="K393" s="50">
        <f t="shared" si="63"/>
        <v>1</v>
      </c>
      <c r="L393" s="806"/>
      <c r="M393" s="50">
        <f t="shared" si="64"/>
        <v>1</v>
      </c>
      <c r="N393" s="806"/>
      <c r="O393" s="50">
        <f t="shared" si="65"/>
        <v>1</v>
      </c>
      <c r="P393" s="806"/>
      <c r="Q393" s="50">
        <f t="shared" si="66"/>
        <v>1</v>
      </c>
      <c r="R393" s="355">
        <f t="shared" si="67"/>
        <v>0</v>
      </c>
      <c r="S393" s="651">
        <f t="shared" si="68"/>
        <v>0</v>
      </c>
    </row>
    <row r="394" spans="1:19">
      <c r="A394" s="808"/>
      <c r="B394" s="129"/>
      <c r="C394" s="50">
        <f t="shared" si="59"/>
        <v>1</v>
      </c>
      <c r="D394" s="806"/>
      <c r="E394" s="50">
        <f t="shared" si="60"/>
        <v>1</v>
      </c>
      <c r="F394" s="806"/>
      <c r="G394" s="50">
        <f t="shared" si="61"/>
        <v>1</v>
      </c>
      <c r="H394" s="806"/>
      <c r="I394" s="50">
        <f t="shared" si="62"/>
        <v>1</v>
      </c>
      <c r="J394" s="806"/>
      <c r="K394" s="50">
        <f t="shared" si="63"/>
        <v>1</v>
      </c>
      <c r="L394" s="806"/>
      <c r="M394" s="50">
        <f t="shared" si="64"/>
        <v>1</v>
      </c>
      <c r="N394" s="806"/>
      <c r="O394" s="50">
        <f t="shared" si="65"/>
        <v>1</v>
      </c>
      <c r="P394" s="806"/>
      <c r="Q394" s="50">
        <f t="shared" si="66"/>
        <v>1</v>
      </c>
      <c r="R394" s="355">
        <f t="shared" si="67"/>
        <v>0</v>
      </c>
      <c r="S394" s="651">
        <f t="shared" si="68"/>
        <v>0</v>
      </c>
    </row>
    <row r="395" spans="1:19">
      <c r="A395" s="808"/>
      <c r="B395" s="129"/>
      <c r="C395" s="50">
        <f t="shared" si="59"/>
        <v>1</v>
      </c>
      <c r="D395" s="806"/>
      <c r="E395" s="50">
        <f t="shared" si="60"/>
        <v>1</v>
      </c>
      <c r="F395" s="806"/>
      <c r="G395" s="50">
        <f t="shared" si="61"/>
        <v>1</v>
      </c>
      <c r="H395" s="806"/>
      <c r="I395" s="50">
        <f t="shared" si="62"/>
        <v>1</v>
      </c>
      <c r="J395" s="806"/>
      <c r="K395" s="50">
        <f t="shared" si="63"/>
        <v>1</v>
      </c>
      <c r="L395" s="806"/>
      <c r="M395" s="50">
        <f t="shared" si="64"/>
        <v>1</v>
      </c>
      <c r="N395" s="806"/>
      <c r="O395" s="50">
        <f t="shared" si="65"/>
        <v>1</v>
      </c>
      <c r="P395" s="806"/>
      <c r="Q395" s="50">
        <f t="shared" si="66"/>
        <v>1</v>
      </c>
      <c r="R395" s="355">
        <f t="shared" si="67"/>
        <v>0</v>
      </c>
      <c r="S395" s="651">
        <f t="shared" si="68"/>
        <v>0</v>
      </c>
    </row>
    <row r="396" spans="1:19">
      <c r="A396" s="808"/>
      <c r="B396" s="129"/>
      <c r="C396" s="50">
        <f t="shared" si="59"/>
        <v>1</v>
      </c>
      <c r="D396" s="806"/>
      <c r="E396" s="50">
        <f t="shared" si="60"/>
        <v>1</v>
      </c>
      <c r="F396" s="806"/>
      <c r="G396" s="50">
        <f t="shared" si="61"/>
        <v>1</v>
      </c>
      <c r="H396" s="806"/>
      <c r="I396" s="50">
        <f t="shared" si="62"/>
        <v>1</v>
      </c>
      <c r="J396" s="806"/>
      <c r="K396" s="50">
        <f t="shared" si="63"/>
        <v>1</v>
      </c>
      <c r="L396" s="806"/>
      <c r="M396" s="50">
        <f t="shared" si="64"/>
        <v>1</v>
      </c>
      <c r="N396" s="806"/>
      <c r="O396" s="50">
        <f t="shared" si="65"/>
        <v>1</v>
      </c>
      <c r="P396" s="806"/>
      <c r="Q396" s="50">
        <f t="shared" si="66"/>
        <v>1</v>
      </c>
      <c r="R396" s="355">
        <f t="shared" si="67"/>
        <v>0</v>
      </c>
      <c r="S396" s="651">
        <f t="shared" si="68"/>
        <v>0</v>
      </c>
    </row>
    <row r="397" spans="1:19">
      <c r="A397" s="808"/>
      <c r="B397" s="129"/>
      <c r="C397" s="50">
        <f t="shared" si="59"/>
        <v>1</v>
      </c>
      <c r="D397" s="806"/>
      <c r="E397" s="50">
        <f t="shared" si="60"/>
        <v>1</v>
      </c>
      <c r="F397" s="806"/>
      <c r="G397" s="50">
        <f t="shared" si="61"/>
        <v>1</v>
      </c>
      <c r="H397" s="806"/>
      <c r="I397" s="50">
        <f t="shared" si="62"/>
        <v>1</v>
      </c>
      <c r="J397" s="806"/>
      <c r="K397" s="50">
        <f t="shared" si="63"/>
        <v>1</v>
      </c>
      <c r="L397" s="806"/>
      <c r="M397" s="50">
        <f t="shared" si="64"/>
        <v>1</v>
      </c>
      <c r="N397" s="806"/>
      <c r="O397" s="50">
        <f t="shared" si="65"/>
        <v>1</v>
      </c>
      <c r="P397" s="806"/>
      <c r="Q397" s="50">
        <f t="shared" si="66"/>
        <v>1</v>
      </c>
      <c r="R397" s="355">
        <f t="shared" si="67"/>
        <v>0</v>
      </c>
      <c r="S397" s="651">
        <f t="shared" si="68"/>
        <v>0</v>
      </c>
    </row>
    <row r="398" spans="1:19">
      <c r="A398" s="808"/>
      <c r="B398" s="129"/>
      <c r="C398" s="50">
        <f t="shared" si="59"/>
        <v>1</v>
      </c>
      <c r="D398" s="806"/>
      <c r="E398" s="50">
        <f t="shared" si="60"/>
        <v>1</v>
      </c>
      <c r="F398" s="806"/>
      <c r="G398" s="50">
        <f t="shared" si="61"/>
        <v>1</v>
      </c>
      <c r="H398" s="806"/>
      <c r="I398" s="50">
        <f t="shared" si="62"/>
        <v>1</v>
      </c>
      <c r="J398" s="806"/>
      <c r="K398" s="50">
        <f t="shared" si="63"/>
        <v>1</v>
      </c>
      <c r="L398" s="806"/>
      <c r="M398" s="50">
        <f t="shared" si="64"/>
        <v>1</v>
      </c>
      <c r="N398" s="806"/>
      <c r="O398" s="50">
        <f t="shared" si="65"/>
        <v>1</v>
      </c>
      <c r="P398" s="806"/>
      <c r="Q398" s="50">
        <f t="shared" si="66"/>
        <v>1</v>
      </c>
      <c r="R398" s="355">
        <f t="shared" si="67"/>
        <v>0</v>
      </c>
      <c r="S398" s="651">
        <f t="shared" si="68"/>
        <v>0</v>
      </c>
    </row>
    <row r="399" spans="1:19">
      <c r="A399" s="808"/>
      <c r="B399" s="129"/>
      <c r="C399" s="50">
        <f t="shared" si="59"/>
        <v>1</v>
      </c>
      <c r="D399" s="806"/>
      <c r="E399" s="50">
        <f t="shared" si="60"/>
        <v>1</v>
      </c>
      <c r="F399" s="806"/>
      <c r="G399" s="50">
        <f t="shared" si="61"/>
        <v>1</v>
      </c>
      <c r="H399" s="806"/>
      <c r="I399" s="50">
        <f t="shared" si="62"/>
        <v>1</v>
      </c>
      <c r="J399" s="806"/>
      <c r="K399" s="50">
        <f t="shared" si="63"/>
        <v>1</v>
      </c>
      <c r="L399" s="806"/>
      <c r="M399" s="50">
        <f t="shared" si="64"/>
        <v>1</v>
      </c>
      <c r="N399" s="806"/>
      <c r="O399" s="50">
        <f t="shared" si="65"/>
        <v>1</v>
      </c>
      <c r="P399" s="806"/>
      <c r="Q399" s="50">
        <f t="shared" si="66"/>
        <v>1</v>
      </c>
      <c r="R399" s="355">
        <f t="shared" si="67"/>
        <v>0</v>
      </c>
      <c r="S399" s="651">
        <f t="shared" si="68"/>
        <v>0</v>
      </c>
    </row>
    <row r="400" spans="1:19">
      <c r="A400" s="808"/>
      <c r="B400" s="129"/>
      <c r="C400" s="50">
        <f t="shared" si="59"/>
        <v>1</v>
      </c>
      <c r="D400" s="806"/>
      <c r="E400" s="50">
        <f t="shared" si="60"/>
        <v>1</v>
      </c>
      <c r="F400" s="806"/>
      <c r="G400" s="50">
        <f t="shared" si="61"/>
        <v>1</v>
      </c>
      <c r="H400" s="806"/>
      <c r="I400" s="50">
        <f t="shared" si="62"/>
        <v>1</v>
      </c>
      <c r="J400" s="806"/>
      <c r="K400" s="50">
        <f t="shared" si="63"/>
        <v>1</v>
      </c>
      <c r="L400" s="806"/>
      <c r="M400" s="50">
        <f t="shared" si="64"/>
        <v>1</v>
      </c>
      <c r="N400" s="806"/>
      <c r="O400" s="50">
        <f t="shared" si="65"/>
        <v>1</v>
      </c>
      <c r="P400" s="806"/>
      <c r="Q400" s="50">
        <f t="shared" si="66"/>
        <v>1</v>
      </c>
      <c r="R400" s="355">
        <f t="shared" si="67"/>
        <v>0</v>
      </c>
      <c r="S400" s="651">
        <f t="shared" si="68"/>
        <v>0</v>
      </c>
    </row>
    <row r="401" spans="1:19">
      <c r="A401" s="808"/>
      <c r="B401" s="129"/>
      <c r="C401" s="50">
        <f t="shared" si="59"/>
        <v>1</v>
      </c>
      <c r="D401" s="806"/>
      <c r="E401" s="50">
        <f t="shared" si="60"/>
        <v>1</v>
      </c>
      <c r="F401" s="806"/>
      <c r="G401" s="50">
        <f t="shared" si="61"/>
        <v>1</v>
      </c>
      <c r="H401" s="806"/>
      <c r="I401" s="50">
        <f t="shared" si="62"/>
        <v>1</v>
      </c>
      <c r="J401" s="806"/>
      <c r="K401" s="50">
        <f t="shared" si="63"/>
        <v>1</v>
      </c>
      <c r="L401" s="806"/>
      <c r="M401" s="50">
        <f t="shared" si="64"/>
        <v>1</v>
      </c>
      <c r="N401" s="806"/>
      <c r="O401" s="50">
        <f t="shared" si="65"/>
        <v>1</v>
      </c>
      <c r="P401" s="806"/>
      <c r="Q401" s="50">
        <f t="shared" si="66"/>
        <v>1</v>
      </c>
      <c r="R401" s="355">
        <f t="shared" si="67"/>
        <v>0</v>
      </c>
      <c r="S401" s="651">
        <f t="shared" si="68"/>
        <v>0</v>
      </c>
    </row>
    <row r="402" spans="1:19">
      <c r="A402" s="808"/>
      <c r="B402" s="129"/>
      <c r="C402" s="50">
        <f t="shared" si="59"/>
        <v>1</v>
      </c>
      <c r="D402" s="806"/>
      <c r="E402" s="50">
        <f t="shared" si="60"/>
        <v>1</v>
      </c>
      <c r="F402" s="806"/>
      <c r="G402" s="50">
        <f t="shared" si="61"/>
        <v>1</v>
      </c>
      <c r="H402" s="806"/>
      <c r="I402" s="50">
        <f t="shared" si="62"/>
        <v>1</v>
      </c>
      <c r="J402" s="806"/>
      <c r="K402" s="50">
        <f t="shared" si="63"/>
        <v>1</v>
      </c>
      <c r="L402" s="806"/>
      <c r="M402" s="50">
        <f t="shared" si="64"/>
        <v>1</v>
      </c>
      <c r="N402" s="806"/>
      <c r="O402" s="50">
        <f t="shared" si="65"/>
        <v>1</v>
      </c>
      <c r="P402" s="806"/>
      <c r="Q402" s="50">
        <f t="shared" si="66"/>
        <v>1</v>
      </c>
      <c r="R402" s="355">
        <f t="shared" si="67"/>
        <v>0</v>
      </c>
      <c r="S402" s="651">
        <f t="shared" si="68"/>
        <v>0</v>
      </c>
    </row>
    <row r="403" spans="1:19">
      <c r="A403" s="808"/>
      <c r="B403" s="129"/>
      <c r="C403" s="50">
        <f t="shared" si="59"/>
        <v>1</v>
      </c>
      <c r="D403" s="806"/>
      <c r="E403" s="50">
        <f t="shared" si="60"/>
        <v>1</v>
      </c>
      <c r="F403" s="806"/>
      <c r="G403" s="50">
        <f t="shared" si="61"/>
        <v>1</v>
      </c>
      <c r="H403" s="806"/>
      <c r="I403" s="50">
        <f t="shared" si="62"/>
        <v>1</v>
      </c>
      <c r="J403" s="806"/>
      <c r="K403" s="50">
        <f t="shared" si="63"/>
        <v>1</v>
      </c>
      <c r="L403" s="806"/>
      <c r="M403" s="50">
        <f t="shared" si="64"/>
        <v>1</v>
      </c>
      <c r="N403" s="806"/>
      <c r="O403" s="50">
        <f t="shared" si="65"/>
        <v>1</v>
      </c>
      <c r="P403" s="806"/>
      <c r="Q403" s="50">
        <f t="shared" si="66"/>
        <v>1</v>
      </c>
      <c r="R403" s="355">
        <f t="shared" si="67"/>
        <v>0</v>
      </c>
      <c r="S403" s="651">
        <f t="shared" si="68"/>
        <v>0</v>
      </c>
    </row>
    <row r="404" spans="1:19">
      <c r="A404" s="808"/>
      <c r="B404" s="129"/>
      <c r="C404" s="50">
        <f t="shared" si="59"/>
        <v>1</v>
      </c>
      <c r="D404" s="806"/>
      <c r="E404" s="50">
        <f t="shared" si="60"/>
        <v>1</v>
      </c>
      <c r="F404" s="806"/>
      <c r="G404" s="50">
        <f t="shared" si="61"/>
        <v>1</v>
      </c>
      <c r="H404" s="806"/>
      <c r="I404" s="50">
        <f t="shared" si="62"/>
        <v>1</v>
      </c>
      <c r="J404" s="806"/>
      <c r="K404" s="50">
        <f t="shared" si="63"/>
        <v>1</v>
      </c>
      <c r="L404" s="806"/>
      <c r="M404" s="50">
        <f t="shared" si="64"/>
        <v>1</v>
      </c>
      <c r="N404" s="806"/>
      <c r="O404" s="50">
        <f t="shared" si="65"/>
        <v>1</v>
      </c>
      <c r="P404" s="806"/>
      <c r="Q404" s="50">
        <f t="shared" si="66"/>
        <v>1</v>
      </c>
      <c r="R404" s="355">
        <f t="shared" si="67"/>
        <v>0</v>
      </c>
      <c r="S404" s="651">
        <f t="shared" si="68"/>
        <v>0</v>
      </c>
    </row>
    <row r="405" spans="1:19">
      <c r="A405" s="808"/>
      <c r="B405" s="129"/>
      <c r="C405" s="50">
        <f t="shared" si="59"/>
        <v>1</v>
      </c>
      <c r="D405" s="806"/>
      <c r="E405" s="50">
        <f t="shared" si="60"/>
        <v>1</v>
      </c>
      <c r="F405" s="806"/>
      <c r="G405" s="50">
        <f t="shared" si="61"/>
        <v>1</v>
      </c>
      <c r="H405" s="806"/>
      <c r="I405" s="50">
        <f t="shared" si="62"/>
        <v>1</v>
      </c>
      <c r="J405" s="806"/>
      <c r="K405" s="50">
        <f t="shared" si="63"/>
        <v>1</v>
      </c>
      <c r="L405" s="806"/>
      <c r="M405" s="50">
        <f t="shared" si="64"/>
        <v>1</v>
      </c>
      <c r="N405" s="806"/>
      <c r="O405" s="50">
        <f t="shared" si="65"/>
        <v>1</v>
      </c>
      <c r="P405" s="806"/>
      <c r="Q405" s="50">
        <f t="shared" si="66"/>
        <v>1</v>
      </c>
      <c r="R405" s="355">
        <f t="shared" si="67"/>
        <v>0</v>
      </c>
      <c r="S405" s="651">
        <f t="shared" si="68"/>
        <v>0</v>
      </c>
    </row>
    <row r="406" spans="1:19">
      <c r="A406" s="808"/>
      <c r="B406" s="129"/>
      <c r="C406" s="50">
        <f t="shared" si="59"/>
        <v>1</v>
      </c>
      <c r="D406" s="806"/>
      <c r="E406" s="50">
        <f t="shared" si="60"/>
        <v>1</v>
      </c>
      <c r="F406" s="806"/>
      <c r="G406" s="50">
        <f t="shared" si="61"/>
        <v>1</v>
      </c>
      <c r="H406" s="806"/>
      <c r="I406" s="50">
        <f t="shared" si="62"/>
        <v>1</v>
      </c>
      <c r="J406" s="806"/>
      <c r="K406" s="50">
        <f t="shared" si="63"/>
        <v>1</v>
      </c>
      <c r="L406" s="806"/>
      <c r="M406" s="50">
        <f t="shared" si="64"/>
        <v>1</v>
      </c>
      <c r="N406" s="806"/>
      <c r="O406" s="50">
        <f t="shared" si="65"/>
        <v>1</v>
      </c>
      <c r="P406" s="806"/>
      <c r="Q406" s="50">
        <f t="shared" si="66"/>
        <v>1</v>
      </c>
      <c r="R406" s="355">
        <f t="shared" si="67"/>
        <v>0</v>
      </c>
      <c r="S406" s="651">
        <f t="shared" si="68"/>
        <v>0</v>
      </c>
    </row>
    <row r="407" spans="1:19">
      <c r="A407" s="808"/>
      <c r="B407" s="129"/>
      <c r="C407" s="50">
        <f t="shared" si="59"/>
        <v>1</v>
      </c>
      <c r="D407" s="806"/>
      <c r="E407" s="50">
        <f t="shared" si="60"/>
        <v>1</v>
      </c>
      <c r="F407" s="806"/>
      <c r="G407" s="50">
        <f t="shared" si="61"/>
        <v>1</v>
      </c>
      <c r="H407" s="806"/>
      <c r="I407" s="50">
        <f t="shared" si="62"/>
        <v>1</v>
      </c>
      <c r="J407" s="806"/>
      <c r="K407" s="50">
        <f t="shared" si="63"/>
        <v>1</v>
      </c>
      <c r="L407" s="806"/>
      <c r="M407" s="50">
        <f t="shared" si="64"/>
        <v>1</v>
      </c>
      <c r="N407" s="806"/>
      <c r="O407" s="50">
        <f t="shared" si="65"/>
        <v>1</v>
      </c>
      <c r="P407" s="806"/>
      <c r="Q407" s="50">
        <f t="shared" si="66"/>
        <v>1</v>
      </c>
      <c r="R407" s="355">
        <f t="shared" si="67"/>
        <v>0</v>
      </c>
      <c r="S407" s="651">
        <f t="shared" si="68"/>
        <v>0</v>
      </c>
    </row>
    <row r="408" spans="1:19">
      <c r="A408" s="808"/>
      <c r="B408" s="129"/>
      <c r="C408" s="50">
        <f t="shared" si="59"/>
        <v>1</v>
      </c>
      <c r="D408" s="806"/>
      <c r="E408" s="50">
        <f t="shared" si="60"/>
        <v>1</v>
      </c>
      <c r="F408" s="806"/>
      <c r="G408" s="50">
        <f t="shared" si="61"/>
        <v>1</v>
      </c>
      <c r="H408" s="806"/>
      <c r="I408" s="50">
        <f t="shared" si="62"/>
        <v>1</v>
      </c>
      <c r="J408" s="806"/>
      <c r="K408" s="50">
        <f t="shared" si="63"/>
        <v>1</v>
      </c>
      <c r="L408" s="806"/>
      <c r="M408" s="50">
        <f t="shared" si="64"/>
        <v>1</v>
      </c>
      <c r="N408" s="806"/>
      <c r="O408" s="50">
        <f t="shared" si="65"/>
        <v>1</v>
      </c>
      <c r="P408" s="806"/>
      <c r="Q408" s="50">
        <f t="shared" si="66"/>
        <v>1</v>
      </c>
      <c r="R408" s="355">
        <f t="shared" si="67"/>
        <v>0</v>
      </c>
      <c r="S408" s="651">
        <f t="shared" si="68"/>
        <v>0</v>
      </c>
    </row>
    <row r="409" spans="1:19">
      <c r="A409" s="808"/>
      <c r="B409" s="129"/>
      <c r="C409" s="50">
        <f t="shared" si="59"/>
        <v>1</v>
      </c>
      <c r="D409" s="806"/>
      <c r="E409" s="50">
        <f t="shared" si="60"/>
        <v>1</v>
      </c>
      <c r="F409" s="806"/>
      <c r="G409" s="50">
        <f t="shared" si="61"/>
        <v>1</v>
      </c>
      <c r="H409" s="806"/>
      <c r="I409" s="50">
        <f t="shared" si="62"/>
        <v>1</v>
      </c>
      <c r="J409" s="806"/>
      <c r="K409" s="50">
        <f t="shared" si="63"/>
        <v>1</v>
      </c>
      <c r="L409" s="806"/>
      <c r="M409" s="50">
        <f t="shared" si="64"/>
        <v>1</v>
      </c>
      <c r="N409" s="806"/>
      <c r="O409" s="50">
        <f t="shared" si="65"/>
        <v>1</v>
      </c>
      <c r="P409" s="806"/>
      <c r="Q409" s="50">
        <f t="shared" si="66"/>
        <v>1</v>
      </c>
      <c r="R409" s="355">
        <f t="shared" si="67"/>
        <v>0</v>
      </c>
      <c r="S409" s="651">
        <f t="shared" si="68"/>
        <v>0</v>
      </c>
    </row>
    <row r="410" spans="1:19">
      <c r="A410" s="808"/>
      <c r="B410" s="129"/>
      <c r="C410" s="50">
        <f t="shared" ref="C410:C473" si="69">IF(B410="",1,(LOOKUP(B410,$3:$3,$4:$4)-LOOKUP($B$24,$3:$3,$4:$4)+100)/100)</f>
        <v>1</v>
      </c>
      <c r="D410" s="806"/>
      <c r="E410" s="50">
        <f t="shared" ref="E410:E473" si="70">(SUMIF($5:$5,D410,$6:$6)-SUMIF($5:$5,$D$24,$6:$6)+100)/100</f>
        <v>1</v>
      </c>
      <c r="F410" s="806"/>
      <c r="G410" s="50">
        <f t="shared" ref="G410:G473" si="71">(SUMIF($7:$7,F410,$8:$8)-SUMIF($7:$7,$F$24,$8:$8)+100)/100</f>
        <v>1</v>
      </c>
      <c r="H410" s="806"/>
      <c r="I410" s="50">
        <f t="shared" ref="I410:I473" si="72">(SUMIF($9:$9,H410,$10:$10)-SUMIF($9:$9,$H$24,$10:$10)+100)/100</f>
        <v>1</v>
      </c>
      <c r="J410" s="806"/>
      <c r="K410" s="50">
        <f t="shared" ref="K410:K473" si="73">(SUMIF($11:$11,J410,$12:$12)-SUMIF($11:$11,$J$24,$12:$12)+100)/100</f>
        <v>1</v>
      </c>
      <c r="L410" s="806"/>
      <c r="M410" s="50">
        <f t="shared" ref="M410:M473" si="74">(SUMIF($13:$13,L410,$14:$14)-SUMIF($13:$13,$L$24,$14:$14)+100)/100</f>
        <v>1</v>
      </c>
      <c r="N410" s="806"/>
      <c r="O410" s="50">
        <f t="shared" ref="O410:O473" si="75">(SUMIF($15:$15,N410,$16:$16)-SUMIF($15:$15,$N$24,$16:$16)+100)/100</f>
        <v>1</v>
      </c>
      <c r="P410" s="806"/>
      <c r="Q410" s="50">
        <f t="shared" ref="Q410:Q473" si="76">(SUMIF($17:$17,P410,$18:$18)-SUMIF($17:$17,$P$24,$18:$18)+100)/100</f>
        <v>1</v>
      </c>
      <c r="R410" s="355">
        <f t="shared" ref="R410:R473" si="77">IF(B410="",0,ROUND($R$24*C410*E410*G410*I410*K410*M410*O410*Q410,0))</f>
        <v>0</v>
      </c>
      <c r="S410" s="651">
        <f t="shared" si="68"/>
        <v>0</v>
      </c>
    </row>
    <row r="411" spans="1:19">
      <c r="A411" s="808"/>
      <c r="B411" s="129"/>
      <c r="C411" s="50">
        <f t="shared" si="69"/>
        <v>1</v>
      </c>
      <c r="D411" s="806"/>
      <c r="E411" s="50">
        <f t="shared" si="70"/>
        <v>1</v>
      </c>
      <c r="F411" s="806"/>
      <c r="G411" s="50">
        <f t="shared" si="71"/>
        <v>1</v>
      </c>
      <c r="H411" s="806"/>
      <c r="I411" s="50">
        <f t="shared" si="72"/>
        <v>1</v>
      </c>
      <c r="J411" s="806"/>
      <c r="K411" s="50">
        <f t="shared" si="73"/>
        <v>1</v>
      </c>
      <c r="L411" s="806"/>
      <c r="M411" s="50">
        <f t="shared" si="74"/>
        <v>1</v>
      </c>
      <c r="N411" s="806"/>
      <c r="O411" s="50">
        <f t="shared" si="75"/>
        <v>1</v>
      </c>
      <c r="P411" s="806"/>
      <c r="Q411" s="50">
        <f t="shared" si="76"/>
        <v>1</v>
      </c>
      <c r="R411" s="355">
        <f t="shared" si="77"/>
        <v>0</v>
      </c>
      <c r="S411" s="651">
        <f t="shared" si="68"/>
        <v>0</v>
      </c>
    </row>
    <row r="412" spans="1:19">
      <c r="A412" s="808"/>
      <c r="B412" s="129"/>
      <c r="C412" s="50">
        <f t="shared" si="69"/>
        <v>1</v>
      </c>
      <c r="D412" s="806"/>
      <c r="E412" s="50">
        <f t="shared" si="70"/>
        <v>1</v>
      </c>
      <c r="F412" s="806"/>
      <c r="G412" s="50">
        <f t="shared" si="71"/>
        <v>1</v>
      </c>
      <c r="H412" s="806"/>
      <c r="I412" s="50">
        <f t="shared" si="72"/>
        <v>1</v>
      </c>
      <c r="J412" s="806"/>
      <c r="K412" s="50">
        <f t="shared" si="73"/>
        <v>1</v>
      </c>
      <c r="L412" s="806"/>
      <c r="M412" s="50">
        <f t="shared" si="74"/>
        <v>1</v>
      </c>
      <c r="N412" s="806"/>
      <c r="O412" s="50">
        <f t="shared" si="75"/>
        <v>1</v>
      </c>
      <c r="P412" s="806"/>
      <c r="Q412" s="50">
        <f t="shared" si="76"/>
        <v>1</v>
      </c>
      <c r="R412" s="355">
        <f t="shared" si="77"/>
        <v>0</v>
      </c>
      <c r="S412" s="651">
        <f t="shared" si="68"/>
        <v>0</v>
      </c>
    </row>
    <row r="413" spans="1:19">
      <c r="A413" s="808"/>
      <c r="B413" s="129"/>
      <c r="C413" s="50">
        <f t="shared" si="69"/>
        <v>1</v>
      </c>
      <c r="D413" s="806"/>
      <c r="E413" s="50">
        <f t="shared" si="70"/>
        <v>1</v>
      </c>
      <c r="F413" s="806"/>
      <c r="G413" s="50">
        <f t="shared" si="71"/>
        <v>1</v>
      </c>
      <c r="H413" s="806"/>
      <c r="I413" s="50">
        <f t="shared" si="72"/>
        <v>1</v>
      </c>
      <c r="J413" s="806"/>
      <c r="K413" s="50">
        <f t="shared" si="73"/>
        <v>1</v>
      </c>
      <c r="L413" s="806"/>
      <c r="M413" s="50">
        <f t="shared" si="74"/>
        <v>1</v>
      </c>
      <c r="N413" s="806"/>
      <c r="O413" s="50">
        <f t="shared" si="75"/>
        <v>1</v>
      </c>
      <c r="P413" s="806"/>
      <c r="Q413" s="50">
        <f t="shared" si="76"/>
        <v>1</v>
      </c>
      <c r="R413" s="355">
        <f t="shared" si="77"/>
        <v>0</v>
      </c>
      <c r="S413" s="651">
        <f t="shared" si="68"/>
        <v>0</v>
      </c>
    </row>
    <row r="414" spans="1:19">
      <c r="A414" s="808"/>
      <c r="B414" s="129"/>
      <c r="C414" s="50">
        <f t="shared" si="69"/>
        <v>1</v>
      </c>
      <c r="D414" s="806"/>
      <c r="E414" s="50">
        <f t="shared" si="70"/>
        <v>1</v>
      </c>
      <c r="F414" s="806"/>
      <c r="G414" s="50">
        <f t="shared" si="71"/>
        <v>1</v>
      </c>
      <c r="H414" s="806"/>
      <c r="I414" s="50">
        <f t="shared" si="72"/>
        <v>1</v>
      </c>
      <c r="J414" s="806"/>
      <c r="K414" s="50">
        <f t="shared" si="73"/>
        <v>1</v>
      </c>
      <c r="L414" s="806"/>
      <c r="M414" s="50">
        <f t="shared" si="74"/>
        <v>1</v>
      </c>
      <c r="N414" s="806"/>
      <c r="O414" s="50">
        <f t="shared" si="75"/>
        <v>1</v>
      </c>
      <c r="P414" s="806"/>
      <c r="Q414" s="50">
        <f t="shared" si="76"/>
        <v>1</v>
      </c>
      <c r="R414" s="355">
        <f t="shared" si="77"/>
        <v>0</v>
      </c>
      <c r="S414" s="651">
        <f t="shared" si="68"/>
        <v>0</v>
      </c>
    </row>
    <row r="415" spans="1:19">
      <c r="A415" s="808"/>
      <c r="B415" s="129"/>
      <c r="C415" s="50">
        <f t="shared" si="69"/>
        <v>1</v>
      </c>
      <c r="D415" s="806"/>
      <c r="E415" s="50">
        <f t="shared" si="70"/>
        <v>1</v>
      </c>
      <c r="F415" s="806"/>
      <c r="G415" s="50">
        <f t="shared" si="71"/>
        <v>1</v>
      </c>
      <c r="H415" s="806"/>
      <c r="I415" s="50">
        <f t="shared" si="72"/>
        <v>1</v>
      </c>
      <c r="J415" s="806"/>
      <c r="K415" s="50">
        <f t="shared" si="73"/>
        <v>1</v>
      </c>
      <c r="L415" s="806"/>
      <c r="M415" s="50">
        <f t="shared" si="74"/>
        <v>1</v>
      </c>
      <c r="N415" s="806"/>
      <c r="O415" s="50">
        <f t="shared" si="75"/>
        <v>1</v>
      </c>
      <c r="P415" s="806"/>
      <c r="Q415" s="50">
        <f t="shared" si="76"/>
        <v>1</v>
      </c>
      <c r="R415" s="355">
        <f t="shared" si="77"/>
        <v>0</v>
      </c>
      <c r="S415" s="651">
        <f t="shared" si="68"/>
        <v>0</v>
      </c>
    </row>
    <row r="416" spans="1:19">
      <c r="A416" s="808"/>
      <c r="B416" s="129"/>
      <c r="C416" s="50">
        <f t="shared" si="69"/>
        <v>1</v>
      </c>
      <c r="D416" s="806"/>
      <c r="E416" s="50">
        <f t="shared" si="70"/>
        <v>1</v>
      </c>
      <c r="F416" s="806"/>
      <c r="G416" s="50">
        <f t="shared" si="71"/>
        <v>1</v>
      </c>
      <c r="H416" s="806"/>
      <c r="I416" s="50">
        <f t="shared" si="72"/>
        <v>1</v>
      </c>
      <c r="J416" s="806"/>
      <c r="K416" s="50">
        <f t="shared" si="73"/>
        <v>1</v>
      </c>
      <c r="L416" s="806"/>
      <c r="M416" s="50">
        <f t="shared" si="74"/>
        <v>1</v>
      </c>
      <c r="N416" s="806"/>
      <c r="O416" s="50">
        <f t="shared" si="75"/>
        <v>1</v>
      </c>
      <c r="P416" s="806"/>
      <c r="Q416" s="50">
        <f t="shared" si="76"/>
        <v>1</v>
      </c>
      <c r="R416" s="355">
        <f t="shared" si="77"/>
        <v>0</v>
      </c>
      <c r="S416" s="651">
        <f t="shared" si="68"/>
        <v>0</v>
      </c>
    </row>
    <row r="417" spans="1:19">
      <c r="A417" s="808"/>
      <c r="B417" s="129"/>
      <c r="C417" s="50">
        <f t="shared" si="69"/>
        <v>1</v>
      </c>
      <c r="D417" s="806"/>
      <c r="E417" s="50">
        <f t="shared" si="70"/>
        <v>1</v>
      </c>
      <c r="F417" s="806"/>
      <c r="G417" s="50">
        <f t="shared" si="71"/>
        <v>1</v>
      </c>
      <c r="H417" s="806"/>
      <c r="I417" s="50">
        <f t="shared" si="72"/>
        <v>1</v>
      </c>
      <c r="J417" s="806"/>
      <c r="K417" s="50">
        <f t="shared" si="73"/>
        <v>1</v>
      </c>
      <c r="L417" s="806"/>
      <c r="M417" s="50">
        <f t="shared" si="74"/>
        <v>1</v>
      </c>
      <c r="N417" s="806"/>
      <c r="O417" s="50">
        <f t="shared" si="75"/>
        <v>1</v>
      </c>
      <c r="P417" s="806"/>
      <c r="Q417" s="50">
        <f t="shared" si="76"/>
        <v>1</v>
      </c>
      <c r="R417" s="355">
        <f t="shared" si="77"/>
        <v>0</v>
      </c>
      <c r="S417" s="651">
        <f t="shared" si="68"/>
        <v>0</v>
      </c>
    </row>
    <row r="418" spans="1:19">
      <c r="A418" s="808"/>
      <c r="B418" s="129"/>
      <c r="C418" s="50">
        <f t="shared" si="69"/>
        <v>1</v>
      </c>
      <c r="D418" s="806"/>
      <c r="E418" s="50">
        <f t="shared" si="70"/>
        <v>1</v>
      </c>
      <c r="F418" s="806"/>
      <c r="G418" s="50">
        <f t="shared" si="71"/>
        <v>1</v>
      </c>
      <c r="H418" s="806"/>
      <c r="I418" s="50">
        <f t="shared" si="72"/>
        <v>1</v>
      </c>
      <c r="J418" s="806"/>
      <c r="K418" s="50">
        <f t="shared" si="73"/>
        <v>1</v>
      </c>
      <c r="L418" s="806"/>
      <c r="M418" s="50">
        <f t="shared" si="74"/>
        <v>1</v>
      </c>
      <c r="N418" s="806"/>
      <c r="O418" s="50">
        <f t="shared" si="75"/>
        <v>1</v>
      </c>
      <c r="P418" s="806"/>
      <c r="Q418" s="50">
        <f t="shared" si="76"/>
        <v>1</v>
      </c>
      <c r="R418" s="355">
        <f t="shared" si="77"/>
        <v>0</v>
      </c>
      <c r="S418" s="651">
        <f t="shared" si="68"/>
        <v>0</v>
      </c>
    </row>
    <row r="419" spans="1:19">
      <c r="A419" s="808"/>
      <c r="B419" s="129"/>
      <c r="C419" s="50">
        <f t="shared" si="69"/>
        <v>1</v>
      </c>
      <c r="D419" s="806"/>
      <c r="E419" s="50">
        <f t="shared" si="70"/>
        <v>1</v>
      </c>
      <c r="F419" s="806"/>
      <c r="G419" s="50">
        <f t="shared" si="71"/>
        <v>1</v>
      </c>
      <c r="H419" s="806"/>
      <c r="I419" s="50">
        <f t="shared" si="72"/>
        <v>1</v>
      </c>
      <c r="J419" s="806"/>
      <c r="K419" s="50">
        <f t="shared" si="73"/>
        <v>1</v>
      </c>
      <c r="L419" s="806"/>
      <c r="M419" s="50">
        <f t="shared" si="74"/>
        <v>1</v>
      </c>
      <c r="N419" s="806"/>
      <c r="O419" s="50">
        <f t="shared" si="75"/>
        <v>1</v>
      </c>
      <c r="P419" s="806"/>
      <c r="Q419" s="50">
        <f t="shared" si="76"/>
        <v>1</v>
      </c>
      <c r="R419" s="355">
        <f t="shared" si="77"/>
        <v>0</v>
      </c>
      <c r="S419" s="651">
        <f t="shared" si="68"/>
        <v>0</v>
      </c>
    </row>
    <row r="420" spans="1:19">
      <c r="A420" s="808"/>
      <c r="B420" s="129"/>
      <c r="C420" s="50">
        <f t="shared" si="69"/>
        <v>1</v>
      </c>
      <c r="D420" s="806"/>
      <c r="E420" s="50">
        <f t="shared" si="70"/>
        <v>1</v>
      </c>
      <c r="F420" s="806"/>
      <c r="G420" s="50">
        <f t="shared" si="71"/>
        <v>1</v>
      </c>
      <c r="H420" s="806"/>
      <c r="I420" s="50">
        <f t="shared" si="72"/>
        <v>1</v>
      </c>
      <c r="J420" s="806"/>
      <c r="K420" s="50">
        <f t="shared" si="73"/>
        <v>1</v>
      </c>
      <c r="L420" s="806"/>
      <c r="M420" s="50">
        <f t="shared" si="74"/>
        <v>1</v>
      </c>
      <c r="N420" s="806"/>
      <c r="O420" s="50">
        <f t="shared" si="75"/>
        <v>1</v>
      </c>
      <c r="P420" s="806"/>
      <c r="Q420" s="50">
        <f t="shared" si="76"/>
        <v>1</v>
      </c>
      <c r="R420" s="355">
        <f t="shared" si="77"/>
        <v>0</v>
      </c>
      <c r="S420" s="651">
        <f t="shared" si="68"/>
        <v>0</v>
      </c>
    </row>
    <row r="421" spans="1:19">
      <c r="A421" s="808"/>
      <c r="B421" s="129"/>
      <c r="C421" s="50">
        <f t="shared" si="69"/>
        <v>1</v>
      </c>
      <c r="D421" s="806"/>
      <c r="E421" s="50">
        <f t="shared" si="70"/>
        <v>1</v>
      </c>
      <c r="F421" s="806"/>
      <c r="G421" s="50">
        <f t="shared" si="71"/>
        <v>1</v>
      </c>
      <c r="H421" s="806"/>
      <c r="I421" s="50">
        <f t="shared" si="72"/>
        <v>1</v>
      </c>
      <c r="J421" s="806"/>
      <c r="K421" s="50">
        <f t="shared" si="73"/>
        <v>1</v>
      </c>
      <c r="L421" s="806"/>
      <c r="M421" s="50">
        <f t="shared" si="74"/>
        <v>1</v>
      </c>
      <c r="N421" s="806"/>
      <c r="O421" s="50">
        <f t="shared" si="75"/>
        <v>1</v>
      </c>
      <c r="P421" s="806"/>
      <c r="Q421" s="50">
        <f t="shared" si="76"/>
        <v>1</v>
      </c>
      <c r="R421" s="355">
        <f t="shared" si="77"/>
        <v>0</v>
      </c>
      <c r="S421" s="651">
        <f t="shared" si="68"/>
        <v>0</v>
      </c>
    </row>
    <row r="422" spans="1:19">
      <c r="A422" s="808"/>
      <c r="B422" s="129"/>
      <c r="C422" s="50">
        <f t="shared" si="69"/>
        <v>1</v>
      </c>
      <c r="D422" s="806"/>
      <c r="E422" s="50">
        <f t="shared" si="70"/>
        <v>1</v>
      </c>
      <c r="F422" s="806"/>
      <c r="G422" s="50">
        <f t="shared" si="71"/>
        <v>1</v>
      </c>
      <c r="H422" s="806"/>
      <c r="I422" s="50">
        <f t="shared" si="72"/>
        <v>1</v>
      </c>
      <c r="J422" s="806"/>
      <c r="K422" s="50">
        <f t="shared" si="73"/>
        <v>1</v>
      </c>
      <c r="L422" s="806"/>
      <c r="M422" s="50">
        <f t="shared" si="74"/>
        <v>1</v>
      </c>
      <c r="N422" s="806"/>
      <c r="O422" s="50">
        <f t="shared" si="75"/>
        <v>1</v>
      </c>
      <c r="P422" s="806"/>
      <c r="Q422" s="50">
        <f t="shared" si="76"/>
        <v>1</v>
      </c>
      <c r="R422" s="355">
        <f t="shared" si="77"/>
        <v>0</v>
      </c>
      <c r="S422" s="651">
        <f t="shared" si="68"/>
        <v>0</v>
      </c>
    </row>
    <row r="423" spans="1:19">
      <c r="A423" s="808"/>
      <c r="B423" s="129"/>
      <c r="C423" s="50">
        <f t="shared" si="69"/>
        <v>1</v>
      </c>
      <c r="D423" s="806"/>
      <c r="E423" s="50">
        <f t="shared" si="70"/>
        <v>1</v>
      </c>
      <c r="F423" s="806"/>
      <c r="G423" s="50">
        <f t="shared" si="71"/>
        <v>1</v>
      </c>
      <c r="H423" s="806"/>
      <c r="I423" s="50">
        <f t="shared" si="72"/>
        <v>1</v>
      </c>
      <c r="J423" s="806"/>
      <c r="K423" s="50">
        <f t="shared" si="73"/>
        <v>1</v>
      </c>
      <c r="L423" s="806"/>
      <c r="M423" s="50">
        <f t="shared" si="74"/>
        <v>1</v>
      </c>
      <c r="N423" s="806"/>
      <c r="O423" s="50">
        <f t="shared" si="75"/>
        <v>1</v>
      </c>
      <c r="P423" s="806"/>
      <c r="Q423" s="50">
        <f t="shared" si="76"/>
        <v>1</v>
      </c>
      <c r="R423" s="355">
        <f t="shared" si="77"/>
        <v>0</v>
      </c>
      <c r="S423" s="651">
        <f t="shared" ref="S423:S467" si="78">ROUND(R423*B423/10000,0)</f>
        <v>0</v>
      </c>
    </row>
    <row r="424" spans="1:19">
      <c r="A424" s="808"/>
      <c r="B424" s="129"/>
      <c r="C424" s="50">
        <f t="shared" si="69"/>
        <v>1</v>
      </c>
      <c r="D424" s="806"/>
      <c r="E424" s="50">
        <f t="shared" si="70"/>
        <v>1</v>
      </c>
      <c r="F424" s="806"/>
      <c r="G424" s="50">
        <f t="shared" si="71"/>
        <v>1</v>
      </c>
      <c r="H424" s="806"/>
      <c r="I424" s="50">
        <f t="shared" si="72"/>
        <v>1</v>
      </c>
      <c r="J424" s="806"/>
      <c r="K424" s="50">
        <f t="shared" si="73"/>
        <v>1</v>
      </c>
      <c r="L424" s="806"/>
      <c r="M424" s="50">
        <f t="shared" si="74"/>
        <v>1</v>
      </c>
      <c r="N424" s="806"/>
      <c r="O424" s="50">
        <f t="shared" si="75"/>
        <v>1</v>
      </c>
      <c r="P424" s="806"/>
      <c r="Q424" s="50">
        <f t="shared" si="76"/>
        <v>1</v>
      </c>
      <c r="R424" s="355">
        <f t="shared" si="77"/>
        <v>0</v>
      </c>
      <c r="S424" s="651">
        <f t="shared" si="78"/>
        <v>0</v>
      </c>
    </row>
    <row r="425" spans="1:19">
      <c r="A425" s="808"/>
      <c r="B425" s="129"/>
      <c r="C425" s="50">
        <f t="shared" si="69"/>
        <v>1</v>
      </c>
      <c r="D425" s="806"/>
      <c r="E425" s="50">
        <f t="shared" si="70"/>
        <v>1</v>
      </c>
      <c r="F425" s="806"/>
      <c r="G425" s="50">
        <f t="shared" si="71"/>
        <v>1</v>
      </c>
      <c r="H425" s="806"/>
      <c r="I425" s="50">
        <f t="shared" si="72"/>
        <v>1</v>
      </c>
      <c r="J425" s="806"/>
      <c r="K425" s="50">
        <f t="shared" si="73"/>
        <v>1</v>
      </c>
      <c r="L425" s="806"/>
      <c r="M425" s="50">
        <f t="shared" si="74"/>
        <v>1</v>
      </c>
      <c r="N425" s="806"/>
      <c r="O425" s="50">
        <f t="shared" si="75"/>
        <v>1</v>
      </c>
      <c r="P425" s="806"/>
      <c r="Q425" s="50">
        <f t="shared" si="76"/>
        <v>1</v>
      </c>
      <c r="R425" s="355">
        <f t="shared" si="77"/>
        <v>0</v>
      </c>
      <c r="S425" s="651">
        <f t="shared" si="78"/>
        <v>0</v>
      </c>
    </row>
    <row r="426" spans="1:19">
      <c r="A426" s="808"/>
      <c r="B426" s="129"/>
      <c r="C426" s="50">
        <f t="shared" si="69"/>
        <v>1</v>
      </c>
      <c r="D426" s="806"/>
      <c r="E426" s="50">
        <f t="shared" si="70"/>
        <v>1</v>
      </c>
      <c r="F426" s="806"/>
      <c r="G426" s="50">
        <f t="shared" si="71"/>
        <v>1</v>
      </c>
      <c r="H426" s="806"/>
      <c r="I426" s="50">
        <f t="shared" si="72"/>
        <v>1</v>
      </c>
      <c r="J426" s="806"/>
      <c r="K426" s="50">
        <f t="shared" si="73"/>
        <v>1</v>
      </c>
      <c r="L426" s="806"/>
      <c r="M426" s="50">
        <f t="shared" si="74"/>
        <v>1</v>
      </c>
      <c r="N426" s="806"/>
      <c r="O426" s="50">
        <f t="shared" si="75"/>
        <v>1</v>
      </c>
      <c r="P426" s="806"/>
      <c r="Q426" s="50">
        <f t="shared" si="76"/>
        <v>1</v>
      </c>
      <c r="R426" s="355">
        <f t="shared" si="77"/>
        <v>0</v>
      </c>
      <c r="S426" s="651">
        <f t="shared" si="78"/>
        <v>0</v>
      </c>
    </row>
    <row r="427" spans="1:19">
      <c r="A427" s="808"/>
      <c r="B427" s="129"/>
      <c r="C427" s="50">
        <f t="shared" si="69"/>
        <v>1</v>
      </c>
      <c r="D427" s="806"/>
      <c r="E427" s="50">
        <f t="shared" si="70"/>
        <v>1</v>
      </c>
      <c r="F427" s="806"/>
      <c r="G427" s="50">
        <f t="shared" si="71"/>
        <v>1</v>
      </c>
      <c r="H427" s="806"/>
      <c r="I427" s="50">
        <f t="shared" si="72"/>
        <v>1</v>
      </c>
      <c r="J427" s="806"/>
      <c r="K427" s="50">
        <f t="shared" si="73"/>
        <v>1</v>
      </c>
      <c r="L427" s="806"/>
      <c r="M427" s="50">
        <f t="shared" si="74"/>
        <v>1</v>
      </c>
      <c r="N427" s="806"/>
      <c r="O427" s="50">
        <f t="shared" si="75"/>
        <v>1</v>
      </c>
      <c r="P427" s="806"/>
      <c r="Q427" s="50">
        <f t="shared" si="76"/>
        <v>1</v>
      </c>
      <c r="R427" s="355">
        <f t="shared" si="77"/>
        <v>0</v>
      </c>
      <c r="S427" s="651">
        <f t="shared" si="78"/>
        <v>0</v>
      </c>
    </row>
    <row r="428" spans="1:19">
      <c r="A428" s="808"/>
      <c r="B428" s="129"/>
      <c r="C428" s="50">
        <f t="shared" si="69"/>
        <v>1</v>
      </c>
      <c r="D428" s="806"/>
      <c r="E428" s="50">
        <f t="shared" si="70"/>
        <v>1</v>
      </c>
      <c r="F428" s="806"/>
      <c r="G428" s="50">
        <f t="shared" si="71"/>
        <v>1</v>
      </c>
      <c r="H428" s="806"/>
      <c r="I428" s="50">
        <f t="shared" si="72"/>
        <v>1</v>
      </c>
      <c r="J428" s="806"/>
      <c r="K428" s="50">
        <f t="shared" si="73"/>
        <v>1</v>
      </c>
      <c r="L428" s="806"/>
      <c r="M428" s="50">
        <f t="shared" si="74"/>
        <v>1</v>
      </c>
      <c r="N428" s="806"/>
      <c r="O428" s="50">
        <f t="shared" si="75"/>
        <v>1</v>
      </c>
      <c r="P428" s="806"/>
      <c r="Q428" s="50">
        <f t="shared" si="76"/>
        <v>1</v>
      </c>
      <c r="R428" s="355">
        <f t="shared" si="77"/>
        <v>0</v>
      </c>
      <c r="S428" s="651">
        <f t="shared" si="78"/>
        <v>0</v>
      </c>
    </row>
    <row r="429" spans="1:19">
      <c r="A429" s="808"/>
      <c r="B429" s="129"/>
      <c r="C429" s="50">
        <f t="shared" si="69"/>
        <v>1</v>
      </c>
      <c r="D429" s="806"/>
      <c r="E429" s="50">
        <f t="shared" si="70"/>
        <v>1</v>
      </c>
      <c r="F429" s="806"/>
      <c r="G429" s="50">
        <f t="shared" si="71"/>
        <v>1</v>
      </c>
      <c r="H429" s="806"/>
      <c r="I429" s="50">
        <f t="shared" si="72"/>
        <v>1</v>
      </c>
      <c r="J429" s="806"/>
      <c r="K429" s="50">
        <f t="shared" si="73"/>
        <v>1</v>
      </c>
      <c r="L429" s="806"/>
      <c r="M429" s="50">
        <f t="shared" si="74"/>
        <v>1</v>
      </c>
      <c r="N429" s="806"/>
      <c r="O429" s="50">
        <f t="shared" si="75"/>
        <v>1</v>
      </c>
      <c r="P429" s="806"/>
      <c r="Q429" s="50">
        <f t="shared" si="76"/>
        <v>1</v>
      </c>
      <c r="R429" s="355">
        <f t="shared" si="77"/>
        <v>0</v>
      </c>
      <c r="S429" s="651">
        <f t="shared" si="78"/>
        <v>0</v>
      </c>
    </row>
    <row r="430" spans="1:19">
      <c r="A430" s="808"/>
      <c r="B430" s="129"/>
      <c r="C430" s="50">
        <f t="shared" si="69"/>
        <v>1</v>
      </c>
      <c r="D430" s="806"/>
      <c r="E430" s="50">
        <f t="shared" si="70"/>
        <v>1</v>
      </c>
      <c r="F430" s="806"/>
      <c r="G430" s="50">
        <f t="shared" si="71"/>
        <v>1</v>
      </c>
      <c r="H430" s="806"/>
      <c r="I430" s="50">
        <f t="shared" si="72"/>
        <v>1</v>
      </c>
      <c r="J430" s="806"/>
      <c r="K430" s="50">
        <f t="shared" si="73"/>
        <v>1</v>
      </c>
      <c r="L430" s="806"/>
      <c r="M430" s="50">
        <f t="shared" si="74"/>
        <v>1</v>
      </c>
      <c r="N430" s="806"/>
      <c r="O430" s="50">
        <f t="shared" si="75"/>
        <v>1</v>
      </c>
      <c r="P430" s="806"/>
      <c r="Q430" s="50">
        <f t="shared" si="76"/>
        <v>1</v>
      </c>
      <c r="R430" s="355">
        <f t="shared" si="77"/>
        <v>0</v>
      </c>
      <c r="S430" s="651">
        <f t="shared" si="78"/>
        <v>0</v>
      </c>
    </row>
    <row r="431" spans="1:19">
      <c r="A431" s="808"/>
      <c r="B431" s="129"/>
      <c r="C431" s="50">
        <f t="shared" si="69"/>
        <v>1</v>
      </c>
      <c r="D431" s="806"/>
      <c r="E431" s="50">
        <f t="shared" si="70"/>
        <v>1</v>
      </c>
      <c r="F431" s="806"/>
      <c r="G431" s="50">
        <f t="shared" si="71"/>
        <v>1</v>
      </c>
      <c r="H431" s="806"/>
      <c r="I431" s="50">
        <f t="shared" si="72"/>
        <v>1</v>
      </c>
      <c r="J431" s="806"/>
      <c r="K431" s="50">
        <f t="shared" si="73"/>
        <v>1</v>
      </c>
      <c r="L431" s="806"/>
      <c r="M431" s="50">
        <f t="shared" si="74"/>
        <v>1</v>
      </c>
      <c r="N431" s="806"/>
      <c r="O431" s="50">
        <f t="shared" si="75"/>
        <v>1</v>
      </c>
      <c r="P431" s="806"/>
      <c r="Q431" s="50">
        <f t="shared" si="76"/>
        <v>1</v>
      </c>
      <c r="R431" s="355">
        <f t="shared" si="77"/>
        <v>0</v>
      </c>
      <c r="S431" s="651">
        <f t="shared" si="78"/>
        <v>0</v>
      </c>
    </row>
    <row r="432" spans="1:19">
      <c r="A432" s="808"/>
      <c r="B432" s="129"/>
      <c r="C432" s="50">
        <f t="shared" si="69"/>
        <v>1</v>
      </c>
      <c r="D432" s="806"/>
      <c r="E432" s="50">
        <f t="shared" si="70"/>
        <v>1</v>
      </c>
      <c r="F432" s="806"/>
      <c r="G432" s="50">
        <f t="shared" si="71"/>
        <v>1</v>
      </c>
      <c r="H432" s="806"/>
      <c r="I432" s="50">
        <f t="shared" si="72"/>
        <v>1</v>
      </c>
      <c r="J432" s="806"/>
      <c r="K432" s="50">
        <f t="shared" si="73"/>
        <v>1</v>
      </c>
      <c r="L432" s="806"/>
      <c r="M432" s="50">
        <f t="shared" si="74"/>
        <v>1</v>
      </c>
      <c r="N432" s="806"/>
      <c r="O432" s="50">
        <f t="shared" si="75"/>
        <v>1</v>
      </c>
      <c r="P432" s="806"/>
      <c r="Q432" s="50">
        <f t="shared" si="76"/>
        <v>1</v>
      </c>
      <c r="R432" s="355">
        <f t="shared" si="77"/>
        <v>0</v>
      </c>
      <c r="S432" s="651">
        <f t="shared" si="78"/>
        <v>0</v>
      </c>
    </row>
    <row r="433" spans="1:19">
      <c r="A433" s="808"/>
      <c r="B433" s="129"/>
      <c r="C433" s="50">
        <f t="shared" si="69"/>
        <v>1</v>
      </c>
      <c r="D433" s="806"/>
      <c r="E433" s="50">
        <f t="shared" si="70"/>
        <v>1</v>
      </c>
      <c r="F433" s="806"/>
      <c r="G433" s="50">
        <f t="shared" si="71"/>
        <v>1</v>
      </c>
      <c r="H433" s="806"/>
      <c r="I433" s="50">
        <f t="shared" si="72"/>
        <v>1</v>
      </c>
      <c r="J433" s="806"/>
      <c r="K433" s="50">
        <f t="shared" si="73"/>
        <v>1</v>
      </c>
      <c r="L433" s="806"/>
      <c r="M433" s="50">
        <f t="shared" si="74"/>
        <v>1</v>
      </c>
      <c r="N433" s="806"/>
      <c r="O433" s="50">
        <f t="shared" si="75"/>
        <v>1</v>
      </c>
      <c r="P433" s="806"/>
      <c r="Q433" s="50">
        <f t="shared" si="76"/>
        <v>1</v>
      </c>
      <c r="R433" s="355">
        <f t="shared" si="77"/>
        <v>0</v>
      </c>
      <c r="S433" s="651">
        <f t="shared" si="78"/>
        <v>0</v>
      </c>
    </row>
    <row r="434" spans="1:19">
      <c r="A434" s="808"/>
      <c r="B434" s="129"/>
      <c r="C434" s="50">
        <f t="shared" si="69"/>
        <v>1</v>
      </c>
      <c r="D434" s="806"/>
      <c r="E434" s="50">
        <f t="shared" si="70"/>
        <v>1</v>
      </c>
      <c r="F434" s="806"/>
      <c r="G434" s="50">
        <f t="shared" si="71"/>
        <v>1</v>
      </c>
      <c r="H434" s="806"/>
      <c r="I434" s="50">
        <f t="shared" si="72"/>
        <v>1</v>
      </c>
      <c r="J434" s="806"/>
      <c r="K434" s="50">
        <f t="shared" si="73"/>
        <v>1</v>
      </c>
      <c r="L434" s="806"/>
      <c r="M434" s="50">
        <f t="shared" si="74"/>
        <v>1</v>
      </c>
      <c r="N434" s="806"/>
      <c r="O434" s="50">
        <f t="shared" si="75"/>
        <v>1</v>
      </c>
      <c r="P434" s="806"/>
      <c r="Q434" s="50">
        <f t="shared" si="76"/>
        <v>1</v>
      </c>
      <c r="R434" s="355">
        <f t="shared" si="77"/>
        <v>0</v>
      </c>
      <c r="S434" s="651">
        <f t="shared" si="78"/>
        <v>0</v>
      </c>
    </row>
    <row r="435" spans="1:19">
      <c r="A435" s="808"/>
      <c r="B435" s="129"/>
      <c r="C435" s="50">
        <f t="shared" si="69"/>
        <v>1</v>
      </c>
      <c r="D435" s="806"/>
      <c r="E435" s="50">
        <f t="shared" si="70"/>
        <v>1</v>
      </c>
      <c r="F435" s="806"/>
      <c r="G435" s="50">
        <f t="shared" si="71"/>
        <v>1</v>
      </c>
      <c r="H435" s="806"/>
      <c r="I435" s="50">
        <f t="shared" si="72"/>
        <v>1</v>
      </c>
      <c r="J435" s="806"/>
      <c r="K435" s="50">
        <f t="shared" si="73"/>
        <v>1</v>
      </c>
      <c r="L435" s="806"/>
      <c r="M435" s="50">
        <f t="shared" si="74"/>
        <v>1</v>
      </c>
      <c r="N435" s="806"/>
      <c r="O435" s="50">
        <f t="shared" si="75"/>
        <v>1</v>
      </c>
      <c r="P435" s="806"/>
      <c r="Q435" s="50">
        <f t="shared" si="76"/>
        <v>1</v>
      </c>
      <c r="R435" s="355">
        <f t="shared" si="77"/>
        <v>0</v>
      </c>
      <c r="S435" s="651">
        <f t="shared" si="78"/>
        <v>0</v>
      </c>
    </row>
    <row r="436" spans="1:19">
      <c r="A436" s="808"/>
      <c r="B436" s="129"/>
      <c r="C436" s="50">
        <f t="shared" si="69"/>
        <v>1</v>
      </c>
      <c r="D436" s="806"/>
      <c r="E436" s="50">
        <f t="shared" si="70"/>
        <v>1</v>
      </c>
      <c r="F436" s="806"/>
      <c r="G436" s="50">
        <f t="shared" si="71"/>
        <v>1</v>
      </c>
      <c r="H436" s="806"/>
      <c r="I436" s="50">
        <f t="shared" si="72"/>
        <v>1</v>
      </c>
      <c r="J436" s="806"/>
      <c r="K436" s="50">
        <f t="shared" si="73"/>
        <v>1</v>
      </c>
      <c r="L436" s="806"/>
      <c r="M436" s="50">
        <f t="shared" si="74"/>
        <v>1</v>
      </c>
      <c r="N436" s="806"/>
      <c r="O436" s="50">
        <f t="shared" si="75"/>
        <v>1</v>
      </c>
      <c r="P436" s="806"/>
      <c r="Q436" s="50">
        <f t="shared" si="76"/>
        <v>1</v>
      </c>
      <c r="R436" s="355">
        <f t="shared" si="77"/>
        <v>0</v>
      </c>
      <c r="S436" s="651">
        <f t="shared" si="78"/>
        <v>0</v>
      </c>
    </row>
    <row r="437" spans="1:19">
      <c r="A437" s="808"/>
      <c r="B437" s="129"/>
      <c r="C437" s="50">
        <f t="shared" si="69"/>
        <v>1</v>
      </c>
      <c r="D437" s="806"/>
      <c r="E437" s="50">
        <f t="shared" si="70"/>
        <v>1</v>
      </c>
      <c r="F437" s="806"/>
      <c r="G437" s="50">
        <f t="shared" si="71"/>
        <v>1</v>
      </c>
      <c r="H437" s="806"/>
      <c r="I437" s="50">
        <f t="shared" si="72"/>
        <v>1</v>
      </c>
      <c r="J437" s="806"/>
      <c r="K437" s="50">
        <f t="shared" si="73"/>
        <v>1</v>
      </c>
      <c r="L437" s="806"/>
      <c r="M437" s="50">
        <f t="shared" si="74"/>
        <v>1</v>
      </c>
      <c r="N437" s="806"/>
      <c r="O437" s="50">
        <f t="shared" si="75"/>
        <v>1</v>
      </c>
      <c r="P437" s="806"/>
      <c r="Q437" s="50">
        <f t="shared" si="76"/>
        <v>1</v>
      </c>
      <c r="R437" s="355">
        <f t="shared" si="77"/>
        <v>0</v>
      </c>
      <c r="S437" s="651">
        <f t="shared" si="78"/>
        <v>0</v>
      </c>
    </row>
    <row r="438" spans="1:19">
      <c r="A438" s="808"/>
      <c r="B438" s="129"/>
      <c r="C438" s="50">
        <f t="shared" si="69"/>
        <v>1</v>
      </c>
      <c r="D438" s="806"/>
      <c r="E438" s="50">
        <f t="shared" si="70"/>
        <v>1</v>
      </c>
      <c r="F438" s="806"/>
      <c r="G438" s="50">
        <f t="shared" si="71"/>
        <v>1</v>
      </c>
      <c r="H438" s="806"/>
      <c r="I438" s="50">
        <f t="shared" si="72"/>
        <v>1</v>
      </c>
      <c r="J438" s="806"/>
      <c r="K438" s="50">
        <f t="shared" si="73"/>
        <v>1</v>
      </c>
      <c r="L438" s="806"/>
      <c r="M438" s="50">
        <f t="shared" si="74"/>
        <v>1</v>
      </c>
      <c r="N438" s="806"/>
      <c r="O438" s="50">
        <f t="shared" si="75"/>
        <v>1</v>
      </c>
      <c r="P438" s="806"/>
      <c r="Q438" s="50">
        <f t="shared" si="76"/>
        <v>1</v>
      </c>
      <c r="R438" s="355">
        <f t="shared" si="77"/>
        <v>0</v>
      </c>
      <c r="S438" s="651">
        <f t="shared" si="78"/>
        <v>0</v>
      </c>
    </row>
    <row r="439" spans="1:19">
      <c r="A439" s="808"/>
      <c r="B439" s="129"/>
      <c r="C439" s="50">
        <f t="shared" si="69"/>
        <v>1</v>
      </c>
      <c r="D439" s="806"/>
      <c r="E439" s="50">
        <f t="shared" si="70"/>
        <v>1</v>
      </c>
      <c r="F439" s="806"/>
      <c r="G439" s="50">
        <f t="shared" si="71"/>
        <v>1</v>
      </c>
      <c r="H439" s="806"/>
      <c r="I439" s="50">
        <f t="shared" si="72"/>
        <v>1</v>
      </c>
      <c r="J439" s="806"/>
      <c r="K439" s="50">
        <f t="shared" si="73"/>
        <v>1</v>
      </c>
      <c r="L439" s="806"/>
      <c r="M439" s="50">
        <f t="shared" si="74"/>
        <v>1</v>
      </c>
      <c r="N439" s="806"/>
      <c r="O439" s="50">
        <f t="shared" si="75"/>
        <v>1</v>
      </c>
      <c r="P439" s="806"/>
      <c r="Q439" s="50">
        <f t="shared" si="76"/>
        <v>1</v>
      </c>
      <c r="R439" s="355">
        <f t="shared" si="77"/>
        <v>0</v>
      </c>
      <c r="S439" s="651">
        <f t="shared" si="78"/>
        <v>0</v>
      </c>
    </row>
    <row r="440" spans="1:19">
      <c r="A440" s="808"/>
      <c r="B440" s="129"/>
      <c r="C440" s="50">
        <f t="shared" si="69"/>
        <v>1</v>
      </c>
      <c r="D440" s="806"/>
      <c r="E440" s="50">
        <f t="shared" si="70"/>
        <v>1</v>
      </c>
      <c r="F440" s="806"/>
      <c r="G440" s="50">
        <f t="shared" si="71"/>
        <v>1</v>
      </c>
      <c r="H440" s="806"/>
      <c r="I440" s="50">
        <f t="shared" si="72"/>
        <v>1</v>
      </c>
      <c r="J440" s="806"/>
      <c r="K440" s="50">
        <f t="shared" si="73"/>
        <v>1</v>
      </c>
      <c r="L440" s="806"/>
      <c r="M440" s="50">
        <f t="shared" si="74"/>
        <v>1</v>
      </c>
      <c r="N440" s="806"/>
      <c r="O440" s="50">
        <f t="shared" si="75"/>
        <v>1</v>
      </c>
      <c r="P440" s="806"/>
      <c r="Q440" s="50">
        <f t="shared" si="76"/>
        <v>1</v>
      </c>
      <c r="R440" s="355">
        <f t="shared" si="77"/>
        <v>0</v>
      </c>
      <c r="S440" s="651">
        <f t="shared" si="78"/>
        <v>0</v>
      </c>
    </row>
    <row r="441" spans="1:19">
      <c r="A441" s="808"/>
      <c r="B441" s="129"/>
      <c r="C441" s="50">
        <f t="shared" si="69"/>
        <v>1</v>
      </c>
      <c r="D441" s="806"/>
      <c r="E441" s="50">
        <f t="shared" si="70"/>
        <v>1</v>
      </c>
      <c r="F441" s="806"/>
      <c r="G441" s="50">
        <f t="shared" si="71"/>
        <v>1</v>
      </c>
      <c r="H441" s="806"/>
      <c r="I441" s="50">
        <f t="shared" si="72"/>
        <v>1</v>
      </c>
      <c r="J441" s="806"/>
      <c r="K441" s="50">
        <f t="shared" si="73"/>
        <v>1</v>
      </c>
      <c r="L441" s="806"/>
      <c r="M441" s="50">
        <f t="shared" si="74"/>
        <v>1</v>
      </c>
      <c r="N441" s="806"/>
      <c r="O441" s="50">
        <f t="shared" si="75"/>
        <v>1</v>
      </c>
      <c r="P441" s="806"/>
      <c r="Q441" s="50">
        <f t="shared" si="76"/>
        <v>1</v>
      </c>
      <c r="R441" s="355">
        <f t="shared" si="77"/>
        <v>0</v>
      </c>
      <c r="S441" s="651">
        <f t="shared" si="78"/>
        <v>0</v>
      </c>
    </row>
    <row r="442" spans="1:19">
      <c r="A442" s="808"/>
      <c r="B442" s="129"/>
      <c r="C442" s="50">
        <f t="shared" si="69"/>
        <v>1</v>
      </c>
      <c r="D442" s="806"/>
      <c r="E442" s="50">
        <f t="shared" si="70"/>
        <v>1</v>
      </c>
      <c r="F442" s="806"/>
      <c r="G442" s="50">
        <f t="shared" si="71"/>
        <v>1</v>
      </c>
      <c r="H442" s="806"/>
      <c r="I442" s="50">
        <f t="shared" si="72"/>
        <v>1</v>
      </c>
      <c r="J442" s="806"/>
      <c r="K442" s="50">
        <f t="shared" si="73"/>
        <v>1</v>
      </c>
      <c r="L442" s="806"/>
      <c r="M442" s="50">
        <f t="shared" si="74"/>
        <v>1</v>
      </c>
      <c r="N442" s="806"/>
      <c r="O442" s="50">
        <f t="shared" si="75"/>
        <v>1</v>
      </c>
      <c r="P442" s="806"/>
      <c r="Q442" s="50">
        <f t="shared" si="76"/>
        <v>1</v>
      </c>
      <c r="R442" s="355">
        <f t="shared" si="77"/>
        <v>0</v>
      </c>
      <c r="S442" s="651">
        <f t="shared" si="78"/>
        <v>0</v>
      </c>
    </row>
    <row r="443" spans="1:19">
      <c r="A443" s="808"/>
      <c r="B443" s="129"/>
      <c r="C443" s="50">
        <f t="shared" si="69"/>
        <v>1</v>
      </c>
      <c r="D443" s="806"/>
      <c r="E443" s="50">
        <f t="shared" si="70"/>
        <v>1</v>
      </c>
      <c r="F443" s="806"/>
      <c r="G443" s="50">
        <f t="shared" si="71"/>
        <v>1</v>
      </c>
      <c r="H443" s="806"/>
      <c r="I443" s="50">
        <f t="shared" si="72"/>
        <v>1</v>
      </c>
      <c r="J443" s="806"/>
      <c r="K443" s="50">
        <f t="shared" si="73"/>
        <v>1</v>
      </c>
      <c r="L443" s="806"/>
      <c r="M443" s="50">
        <f t="shared" si="74"/>
        <v>1</v>
      </c>
      <c r="N443" s="806"/>
      <c r="O443" s="50">
        <f t="shared" si="75"/>
        <v>1</v>
      </c>
      <c r="P443" s="806"/>
      <c r="Q443" s="50">
        <f t="shared" si="76"/>
        <v>1</v>
      </c>
      <c r="R443" s="355">
        <f t="shared" si="77"/>
        <v>0</v>
      </c>
      <c r="S443" s="651">
        <f t="shared" si="78"/>
        <v>0</v>
      </c>
    </row>
    <row r="444" spans="1:19">
      <c r="A444" s="808"/>
      <c r="B444" s="129"/>
      <c r="C444" s="50">
        <f t="shared" si="69"/>
        <v>1</v>
      </c>
      <c r="D444" s="806"/>
      <c r="E444" s="50">
        <f t="shared" si="70"/>
        <v>1</v>
      </c>
      <c r="F444" s="806"/>
      <c r="G444" s="50">
        <f t="shared" si="71"/>
        <v>1</v>
      </c>
      <c r="H444" s="806"/>
      <c r="I444" s="50">
        <f t="shared" si="72"/>
        <v>1</v>
      </c>
      <c r="J444" s="806"/>
      <c r="K444" s="50">
        <f t="shared" si="73"/>
        <v>1</v>
      </c>
      <c r="L444" s="806"/>
      <c r="M444" s="50">
        <f t="shared" si="74"/>
        <v>1</v>
      </c>
      <c r="N444" s="806"/>
      <c r="O444" s="50">
        <f t="shared" si="75"/>
        <v>1</v>
      </c>
      <c r="P444" s="806"/>
      <c r="Q444" s="50">
        <f t="shared" si="76"/>
        <v>1</v>
      </c>
      <c r="R444" s="355">
        <f t="shared" si="77"/>
        <v>0</v>
      </c>
      <c r="S444" s="651">
        <f t="shared" si="78"/>
        <v>0</v>
      </c>
    </row>
    <row r="445" spans="1:19">
      <c r="A445" s="808"/>
      <c r="B445" s="129"/>
      <c r="C445" s="50">
        <f t="shared" si="69"/>
        <v>1</v>
      </c>
      <c r="D445" s="806"/>
      <c r="E445" s="50">
        <f t="shared" si="70"/>
        <v>1</v>
      </c>
      <c r="F445" s="806"/>
      <c r="G445" s="50">
        <f t="shared" si="71"/>
        <v>1</v>
      </c>
      <c r="H445" s="806"/>
      <c r="I445" s="50">
        <f t="shared" si="72"/>
        <v>1</v>
      </c>
      <c r="J445" s="806"/>
      <c r="K445" s="50">
        <f t="shared" si="73"/>
        <v>1</v>
      </c>
      <c r="L445" s="806"/>
      <c r="M445" s="50">
        <f t="shared" si="74"/>
        <v>1</v>
      </c>
      <c r="N445" s="806"/>
      <c r="O445" s="50">
        <f t="shared" si="75"/>
        <v>1</v>
      </c>
      <c r="P445" s="806"/>
      <c r="Q445" s="50">
        <f t="shared" si="76"/>
        <v>1</v>
      </c>
      <c r="R445" s="355">
        <f t="shared" si="77"/>
        <v>0</v>
      </c>
      <c r="S445" s="651">
        <f t="shared" si="78"/>
        <v>0</v>
      </c>
    </row>
    <row r="446" spans="1:19">
      <c r="A446" s="808"/>
      <c r="B446" s="129"/>
      <c r="C446" s="50">
        <f t="shared" si="69"/>
        <v>1</v>
      </c>
      <c r="D446" s="806"/>
      <c r="E446" s="50">
        <f t="shared" si="70"/>
        <v>1</v>
      </c>
      <c r="F446" s="806"/>
      <c r="G446" s="50">
        <f t="shared" si="71"/>
        <v>1</v>
      </c>
      <c r="H446" s="806"/>
      <c r="I446" s="50">
        <f t="shared" si="72"/>
        <v>1</v>
      </c>
      <c r="J446" s="806"/>
      <c r="K446" s="50">
        <f t="shared" si="73"/>
        <v>1</v>
      </c>
      <c r="L446" s="806"/>
      <c r="M446" s="50">
        <f t="shared" si="74"/>
        <v>1</v>
      </c>
      <c r="N446" s="806"/>
      <c r="O446" s="50">
        <f t="shared" si="75"/>
        <v>1</v>
      </c>
      <c r="P446" s="806"/>
      <c r="Q446" s="50">
        <f t="shared" si="76"/>
        <v>1</v>
      </c>
      <c r="R446" s="355">
        <f t="shared" si="77"/>
        <v>0</v>
      </c>
      <c r="S446" s="651">
        <f t="shared" si="78"/>
        <v>0</v>
      </c>
    </row>
    <row r="447" spans="1:19">
      <c r="A447" s="808"/>
      <c r="B447" s="129"/>
      <c r="C447" s="50">
        <f t="shared" si="69"/>
        <v>1</v>
      </c>
      <c r="D447" s="806"/>
      <c r="E447" s="50">
        <f t="shared" si="70"/>
        <v>1</v>
      </c>
      <c r="F447" s="806"/>
      <c r="G447" s="50">
        <f t="shared" si="71"/>
        <v>1</v>
      </c>
      <c r="H447" s="806"/>
      <c r="I447" s="50">
        <f t="shared" si="72"/>
        <v>1</v>
      </c>
      <c r="J447" s="806"/>
      <c r="K447" s="50">
        <f t="shared" si="73"/>
        <v>1</v>
      </c>
      <c r="L447" s="806"/>
      <c r="M447" s="50">
        <f t="shared" si="74"/>
        <v>1</v>
      </c>
      <c r="N447" s="806"/>
      <c r="O447" s="50">
        <f t="shared" si="75"/>
        <v>1</v>
      </c>
      <c r="P447" s="806"/>
      <c r="Q447" s="50">
        <f t="shared" si="76"/>
        <v>1</v>
      </c>
      <c r="R447" s="355">
        <f t="shared" si="77"/>
        <v>0</v>
      </c>
      <c r="S447" s="651">
        <f t="shared" si="78"/>
        <v>0</v>
      </c>
    </row>
    <row r="448" spans="1:19">
      <c r="A448" s="808"/>
      <c r="B448" s="129"/>
      <c r="C448" s="50">
        <f t="shared" si="69"/>
        <v>1</v>
      </c>
      <c r="D448" s="806"/>
      <c r="E448" s="50">
        <f t="shared" si="70"/>
        <v>1</v>
      </c>
      <c r="F448" s="806"/>
      <c r="G448" s="50">
        <f t="shared" si="71"/>
        <v>1</v>
      </c>
      <c r="H448" s="806"/>
      <c r="I448" s="50">
        <f t="shared" si="72"/>
        <v>1</v>
      </c>
      <c r="J448" s="806"/>
      <c r="K448" s="50">
        <f t="shared" si="73"/>
        <v>1</v>
      </c>
      <c r="L448" s="806"/>
      <c r="M448" s="50">
        <f t="shared" si="74"/>
        <v>1</v>
      </c>
      <c r="N448" s="806"/>
      <c r="O448" s="50">
        <f t="shared" si="75"/>
        <v>1</v>
      </c>
      <c r="P448" s="806"/>
      <c r="Q448" s="50">
        <f t="shared" si="76"/>
        <v>1</v>
      </c>
      <c r="R448" s="355">
        <f t="shared" si="77"/>
        <v>0</v>
      </c>
      <c r="S448" s="651">
        <f t="shared" si="78"/>
        <v>0</v>
      </c>
    </row>
    <row r="449" spans="1:19">
      <c r="A449" s="808"/>
      <c r="B449" s="129"/>
      <c r="C449" s="50">
        <f t="shared" si="69"/>
        <v>1</v>
      </c>
      <c r="D449" s="806"/>
      <c r="E449" s="50">
        <f t="shared" si="70"/>
        <v>1</v>
      </c>
      <c r="F449" s="806"/>
      <c r="G449" s="50">
        <f t="shared" si="71"/>
        <v>1</v>
      </c>
      <c r="H449" s="806"/>
      <c r="I449" s="50">
        <f t="shared" si="72"/>
        <v>1</v>
      </c>
      <c r="J449" s="806"/>
      <c r="K449" s="50">
        <f t="shared" si="73"/>
        <v>1</v>
      </c>
      <c r="L449" s="806"/>
      <c r="M449" s="50">
        <f t="shared" si="74"/>
        <v>1</v>
      </c>
      <c r="N449" s="806"/>
      <c r="O449" s="50">
        <f t="shared" si="75"/>
        <v>1</v>
      </c>
      <c r="P449" s="806"/>
      <c r="Q449" s="50">
        <f t="shared" si="76"/>
        <v>1</v>
      </c>
      <c r="R449" s="355">
        <f t="shared" si="77"/>
        <v>0</v>
      </c>
      <c r="S449" s="651">
        <f t="shared" si="78"/>
        <v>0</v>
      </c>
    </row>
    <row r="450" spans="1:19">
      <c r="A450" s="808"/>
      <c r="B450" s="129"/>
      <c r="C450" s="50">
        <f t="shared" si="69"/>
        <v>1</v>
      </c>
      <c r="D450" s="806"/>
      <c r="E450" s="50">
        <f t="shared" si="70"/>
        <v>1</v>
      </c>
      <c r="F450" s="806"/>
      <c r="G450" s="50">
        <f t="shared" si="71"/>
        <v>1</v>
      </c>
      <c r="H450" s="806"/>
      <c r="I450" s="50">
        <f t="shared" si="72"/>
        <v>1</v>
      </c>
      <c r="J450" s="806"/>
      <c r="K450" s="50">
        <f t="shared" si="73"/>
        <v>1</v>
      </c>
      <c r="L450" s="806"/>
      <c r="M450" s="50">
        <f t="shared" si="74"/>
        <v>1</v>
      </c>
      <c r="N450" s="806"/>
      <c r="O450" s="50">
        <f t="shared" si="75"/>
        <v>1</v>
      </c>
      <c r="P450" s="806"/>
      <c r="Q450" s="50">
        <f t="shared" si="76"/>
        <v>1</v>
      </c>
      <c r="R450" s="355">
        <f t="shared" si="77"/>
        <v>0</v>
      </c>
      <c r="S450" s="651">
        <f t="shared" si="78"/>
        <v>0</v>
      </c>
    </row>
    <row r="451" spans="1:19">
      <c r="A451" s="808"/>
      <c r="B451" s="129"/>
      <c r="C451" s="50">
        <f t="shared" si="69"/>
        <v>1</v>
      </c>
      <c r="D451" s="806"/>
      <c r="E451" s="50">
        <f t="shared" si="70"/>
        <v>1</v>
      </c>
      <c r="F451" s="806"/>
      <c r="G451" s="50">
        <f t="shared" si="71"/>
        <v>1</v>
      </c>
      <c r="H451" s="806"/>
      <c r="I451" s="50">
        <f t="shared" si="72"/>
        <v>1</v>
      </c>
      <c r="J451" s="806"/>
      <c r="K451" s="50">
        <f t="shared" si="73"/>
        <v>1</v>
      </c>
      <c r="L451" s="806"/>
      <c r="M451" s="50">
        <f t="shared" si="74"/>
        <v>1</v>
      </c>
      <c r="N451" s="806"/>
      <c r="O451" s="50">
        <f t="shared" si="75"/>
        <v>1</v>
      </c>
      <c r="P451" s="806"/>
      <c r="Q451" s="50">
        <f t="shared" si="76"/>
        <v>1</v>
      </c>
      <c r="R451" s="355">
        <f t="shared" si="77"/>
        <v>0</v>
      </c>
      <c r="S451" s="651">
        <f t="shared" si="78"/>
        <v>0</v>
      </c>
    </row>
    <row r="452" spans="1:19">
      <c r="A452" s="808"/>
      <c r="B452" s="129"/>
      <c r="C452" s="50">
        <f t="shared" si="69"/>
        <v>1</v>
      </c>
      <c r="D452" s="806"/>
      <c r="E452" s="50">
        <f t="shared" si="70"/>
        <v>1</v>
      </c>
      <c r="F452" s="806"/>
      <c r="G452" s="50">
        <f t="shared" si="71"/>
        <v>1</v>
      </c>
      <c r="H452" s="806"/>
      <c r="I452" s="50">
        <f t="shared" si="72"/>
        <v>1</v>
      </c>
      <c r="J452" s="806"/>
      <c r="K452" s="50">
        <f t="shared" si="73"/>
        <v>1</v>
      </c>
      <c r="L452" s="806"/>
      <c r="M452" s="50">
        <f t="shared" si="74"/>
        <v>1</v>
      </c>
      <c r="N452" s="806"/>
      <c r="O452" s="50">
        <f t="shared" si="75"/>
        <v>1</v>
      </c>
      <c r="P452" s="806"/>
      <c r="Q452" s="50">
        <f t="shared" si="76"/>
        <v>1</v>
      </c>
      <c r="R452" s="355">
        <f t="shared" si="77"/>
        <v>0</v>
      </c>
      <c r="S452" s="651">
        <f t="shared" si="78"/>
        <v>0</v>
      </c>
    </row>
    <row r="453" spans="1:19">
      <c r="A453" s="808"/>
      <c r="B453" s="129"/>
      <c r="C453" s="50">
        <f t="shared" si="69"/>
        <v>1</v>
      </c>
      <c r="D453" s="806"/>
      <c r="E453" s="50">
        <f t="shared" si="70"/>
        <v>1</v>
      </c>
      <c r="F453" s="806"/>
      <c r="G453" s="50">
        <f t="shared" si="71"/>
        <v>1</v>
      </c>
      <c r="H453" s="806"/>
      <c r="I453" s="50">
        <f t="shared" si="72"/>
        <v>1</v>
      </c>
      <c r="J453" s="806"/>
      <c r="K453" s="50">
        <f t="shared" si="73"/>
        <v>1</v>
      </c>
      <c r="L453" s="806"/>
      <c r="M453" s="50">
        <f t="shared" si="74"/>
        <v>1</v>
      </c>
      <c r="N453" s="806"/>
      <c r="O453" s="50">
        <f t="shared" si="75"/>
        <v>1</v>
      </c>
      <c r="P453" s="806"/>
      <c r="Q453" s="50">
        <f t="shared" si="76"/>
        <v>1</v>
      </c>
      <c r="R453" s="355">
        <f t="shared" si="77"/>
        <v>0</v>
      </c>
      <c r="S453" s="651">
        <f t="shared" si="78"/>
        <v>0</v>
      </c>
    </row>
    <row r="454" spans="1:19">
      <c r="A454" s="808"/>
      <c r="B454" s="129"/>
      <c r="C454" s="50">
        <f t="shared" si="69"/>
        <v>1</v>
      </c>
      <c r="D454" s="806"/>
      <c r="E454" s="50">
        <f t="shared" si="70"/>
        <v>1</v>
      </c>
      <c r="F454" s="806"/>
      <c r="G454" s="50">
        <f t="shared" si="71"/>
        <v>1</v>
      </c>
      <c r="H454" s="806"/>
      <c r="I454" s="50">
        <f t="shared" si="72"/>
        <v>1</v>
      </c>
      <c r="J454" s="806"/>
      <c r="K454" s="50">
        <f t="shared" si="73"/>
        <v>1</v>
      </c>
      <c r="L454" s="806"/>
      <c r="M454" s="50">
        <f t="shared" si="74"/>
        <v>1</v>
      </c>
      <c r="N454" s="806"/>
      <c r="O454" s="50">
        <f t="shared" si="75"/>
        <v>1</v>
      </c>
      <c r="P454" s="806"/>
      <c r="Q454" s="50">
        <f t="shared" si="76"/>
        <v>1</v>
      </c>
      <c r="R454" s="355">
        <f t="shared" si="77"/>
        <v>0</v>
      </c>
      <c r="S454" s="651">
        <f t="shared" si="78"/>
        <v>0</v>
      </c>
    </row>
    <row r="455" spans="1:19">
      <c r="A455" s="808"/>
      <c r="B455" s="129"/>
      <c r="C455" s="50">
        <f t="shared" si="69"/>
        <v>1</v>
      </c>
      <c r="D455" s="806"/>
      <c r="E455" s="50">
        <f t="shared" si="70"/>
        <v>1</v>
      </c>
      <c r="F455" s="806"/>
      <c r="G455" s="50">
        <f t="shared" si="71"/>
        <v>1</v>
      </c>
      <c r="H455" s="806"/>
      <c r="I455" s="50">
        <f t="shared" si="72"/>
        <v>1</v>
      </c>
      <c r="J455" s="806"/>
      <c r="K455" s="50">
        <f t="shared" si="73"/>
        <v>1</v>
      </c>
      <c r="L455" s="806"/>
      <c r="M455" s="50">
        <f t="shared" si="74"/>
        <v>1</v>
      </c>
      <c r="N455" s="806"/>
      <c r="O455" s="50">
        <f t="shared" si="75"/>
        <v>1</v>
      </c>
      <c r="P455" s="806"/>
      <c r="Q455" s="50">
        <f t="shared" si="76"/>
        <v>1</v>
      </c>
      <c r="R455" s="355">
        <f t="shared" si="77"/>
        <v>0</v>
      </c>
      <c r="S455" s="651">
        <f t="shared" si="78"/>
        <v>0</v>
      </c>
    </row>
    <row r="456" spans="1:19">
      <c r="A456" s="808"/>
      <c r="B456" s="129"/>
      <c r="C456" s="50">
        <f t="shared" si="69"/>
        <v>1</v>
      </c>
      <c r="D456" s="806"/>
      <c r="E456" s="50">
        <f t="shared" si="70"/>
        <v>1</v>
      </c>
      <c r="F456" s="806"/>
      <c r="G456" s="50">
        <f t="shared" si="71"/>
        <v>1</v>
      </c>
      <c r="H456" s="806"/>
      <c r="I456" s="50">
        <f t="shared" si="72"/>
        <v>1</v>
      </c>
      <c r="J456" s="806"/>
      <c r="K456" s="50">
        <f t="shared" si="73"/>
        <v>1</v>
      </c>
      <c r="L456" s="806"/>
      <c r="M456" s="50">
        <f t="shared" si="74"/>
        <v>1</v>
      </c>
      <c r="N456" s="806"/>
      <c r="O456" s="50">
        <f t="shared" si="75"/>
        <v>1</v>
      </c>
      <c r="P456" s="806"/>
      <c r="Q456" s="50">
        <f t="shared" si="76"/>
        <v>1</v>
      </c>
      <c r="R456" s="355">
        <f t="shared" si="77"/>
        <v>0</v>
      </c>
      <c r="S456" s="651">
        <f t="shared" si="78"/>
        <v>0</v>
      </c>
    </row>
    <row r="457" spans="1:19">
      <c r="A457" s="808"/>
      <c r="B457" s="129"/>
      <c r="C457" s="50">
        <f t="shared" si="69"/>
        <v>1</v>
      </c>
      <c r="D457" s="806"/>
      <c r="E457" s="50">
        <f t="shared" si="70"/>
        <v>1</v>
      </c>
      <c r="F457" s="806"/>
      <c r="G457" s="50">
        <f t="shared" si="71"/>
        <v>1</v>
      </c>
      <c r="H457" s="806"/>
      <c r="I457" s="50">
        <f t="shared" si="72"/>
        <v>1</v>
      </c>
      <c r="J457" s="806"/>
      <c r="K457" s="50">
        <f t="shared" si="73"/>
        <v>1</v>
      </c>
      <c r="L457" s="806"/>
      <c r="M457" s="50">
        <f t="shared" si="74"/>
        <v>1</v>
      </c>
      <c r="N457" s="806"/>
      <c r="O457" s="50">
        <f t="shared" si="75"/>
        <v>1</v>
      </c>
      <c r="P457" s="806"/>
      <c r="Q457" s="50">
        <f t="shared" si="76"/>
        <v>1</v>
      </c>
      <c r="R457" s="355">
        <f t="shared" si="77"/>
        <v>0</v>
      </c>
      <c r="S457" s="651">
        <f t="shared" si="78"/>
        <v>0</v>
      </c>
    </row>
    <row r="458" spans="1:19">
      <c r="A458" s="808"/>
      <c r="B458" s="129"/>
      <c r="C458" s="50">
        <f t="shared" si="69"/>
        <v>1</v>
      </c>
      <c r="D458" s="806"/>
      <c r="E458" s="50">
        <f t="shared" si="70"/>
        <v>1</v>
      </c>
      <c r="F458" s="806"/>
      <c r="G458" s="50">
        <f t="shared" si="71"/>
        <v>1</v>
      </c>
      <c r="H458" s="806"/>
      <c r="I458" s="50">
        <f t="shared" si="72"/>
        <v>1</v>
      </c>
      <c r="J458" s="806"/>
      <c r="K458" s="50">
        <f t="shared" si="73"/>
        <v>1</v>
      </c>
      <c r="L458" s="806"/>
      <c r="M458" s="50">
        <f t="shared" si="74"/>
        <v>1</v>
      </c>
      <c r="N458" s="806"/>
      <c r="O458" s="50">
        <f t="shared" si="75"/>
        <v>1</v>
      </c>
      <c r="P458" s="806"/>
      <c r="Q458" s="50">
        <f t="shared" si="76"/>
        <v>1</v>
      </c>
      <c r="R458" s="355">
        <f t="shared" si="77"/>
        <v>0</v>
      </c>
      <c r="S458" s="651">
        <f t="shared" si="78"/>
        <v>0</v>
      </c>
    </row>
    <row r="459" spans="1:19">
      <c r="A459" s="808"/>
      <c r="B459" s="129"/>
      <c r="C459" s="50">
        <f t="shared" si="69"/>
        <v>1</v>
      </c>
      <c r="D459" s="806"/>
      <c r="E459" s="50">
        <f t="shared" si="70"/>
        <v>1</v>
      </c>
      <c r="F459" s="806"/>
      <c r="G459" s="50">
        <f t="shared" si="71"/>
        <v>1</v>
      </c>
      <c r="H459" s="806"/>
      <c r="I459" s="50">
        <f t="shared" si="72"/>
        <v>1</v>
      </c>
      <c r="J459" s="806"/>
      <c r="K459" s="50">
        <f t="shared" si="73"/>
        <v>1</v>
      </c>
      <c r="L459" s="806"/>
      <c r="M459" s="50">
        <f t="shared" si="74"/>
        <v>1</v>
      </c>
      <c r="N459" s="806"/>
      <c r="O459" s="50">
        <f t="shared" si="75"/>
        <v>1</v>
      </c>
      <c r="P459" s="806"/>
      <c r="Q459" s="50">
        <f t="shared" si="76"/>
        <v>1</v>
      </c>
      <c r="R459" s="355">
        <f t="shared" si="77"/>
        <v>0</v>
      </c>
      <c r="S459" s="651">
        <f t="shared" si="78"/>
        <v>0</v>
      </c>
    </row>
    <row r="460" spans="1:19">
      <c r="A460" s="808"/>
      <c r="B460" s="129"/>
      <c r="C460" s="50">
        <f t="shared" si="69"/>
        <v>1</v>
      </c>
      <c r="D460" s="806"/>
      <c r="E460" s="50">
        <f t="shared" si="70"/>
        <v>1</v>
      </c>
      <c r="F460" s="806"/>
      <c r="G460" s="50">
        <f t="shared" si="71"/>
        <v>1</v>
      </c>
      <c r="H460" s="806"/>
      <c r="I460" s="50">
        <f t="shared" si="72"/>
        <v>1</v>
      </c>
      <c r="J460" s="806"/>
      <c r="K460" s="50">
        <f t="shared" si="73"/>
        <v>1</v>
      </c>
      <c r="L460" s="806"/>
      <c r="M460" s="50">
        <f t="shared" si="74"/>
        <v>1</v>
      </c>
      <c r="N460" s="806"/>
      <c r="O460" s="50">
        <f t="shared" si="75"/>
        <v>1</v>
      </c>
      <c r="P460" s="806"/>
      <c r="Q460" s="50">
        <f t="shared" si="76"/>
        <v>1</v>
      </c>
      <c r="R460" s="355">
        <f t="shared" si="77"/>
        <v>0</v>
      </c>
      <c r="S460" s="651">
        <f t="shared" si="78"/>
        <v>0</v>
      </c>
    </row>
    <row r="461" spans="1:19">
      <c r="A461" s="808"/>
      <c r="B461" s="129"/>
      <c r="C461" s="50">
        <f t="shared" si="69"/>
        <v>1</v>
      </c>
      <c r="D461" s="806"/>
      <c r="E461" s="50">
        <f t="shared" si="70"/>
        <v>1</v>
      </c>
      <c r="F461" s="806"/>
      <c r="G461" s="50">
        <f t="shared" si="71"/>
        <v>1</v>
      </c>
      <c r="H461" s="806"/>
      <c r="I461" s="50">
        <f t="shared" si="72"/>
        <v>1</v>
      </c>
      <c r="J461" s="806"/>
      <c r="K461" s="50">
        <f t="shared" si="73"/>
        <v>1</v>
      </c>
      <c r="L461" s="806"/>
      <c r="M461" s="50">
        <f t="shared" si="74"/>
        <v>1</v>
      </c>
      <c r="N461" s="806"/>
      <c r="O461" s="50">
        <f t="shared" si="75"/>
        <v>1</v>
      </c>
      <c r="P461" s="806"/>
      <c r="Q461" s="50">
        <f t="shared" si="76"/>
        <v>1</v>
      </c>
      <c r="R461" s="355">
        <f t="shared" si="77"/>
        <v>0</v>
      </c>
      <c r="S461" s="651">
        <f t="shared" si="78"/>
        <v>0</v>
      </c>
    </row>
    <row r="462" spans="1:19">
      <c r="A462" s="808"/>
      <c r="B462" s="129"/>
      <c r="C462" s="50">
        <f t="shared" si="69"/>
        <v>1</v>
      </c>
      <c r="D462" s="806"/>
      <c r="E462" s="50">
        <f t="shared" si="70"/>
        <v>1</v>
      </c>
      <c r="F462" s="806"/>
      <c r="G462" s="50">
        <f t="shared" si="71"/>
        <v>1</v>
      </c>
      <c r="H462" s="806"/>
      <c r="I462" s="50">
        <f t="shared" si="72"/>
        <v>1</v>
      </c>
      <c r="J462" s="806"/>
      <c r="K462" s="50">
        <f t="shared" si="73"/>
        <v>1</v>
      </c>
      <c r="L462" s="806"/>
      <c r="M462" s="50">
        <f t="shared" si="74"/>
        <v>1</v>
      </c>
      <c r="N462" s="806"/>
      <c r="O462" s="50">
        <f t="shared" si="75"/>
        <v>1</v>
      </c>
      <c r="P462" s="806"/>
      <c r="Q462" s="50">
        <f t="shared" si="76"/>
        <v>1</v>
      </c>
      <c r="R462" s="355">
        <f t="shared" si="77"/>
        <v>0</v>
      </c>
      <c r="S462" s="651">
        <f t="shared" si="78"/>
        <v>0</v>
      </c>
    </row>
    <row r="463" spans="1:19">
      <c r="A463" s="808"/>
      <c r="B463" s="129"/>
      <c r="C463" s="50">
        <f t="shared" si="69"/>
        <v>1</v>
      </c>
      <c r="D463" s="806"/>
      <c r="E463" s="50">
        <f t="shared" si="70"/>
        <v>1</v>
      </c>
      <c r="F463" s="806"/>
      <c r="G463" s="50">
        <f t="shared" si="71"/>
        <v>1</v>
      </c>
      <c r="H463" s="806"/>
      <c r="I463" s="50">
        <f t="shared" si="72"/>
        <v>1</v>
      </c>
      <c r="J463" s="806"/>
      <c r="K463" s="50">
        <f t="shared" si="73"/>
        <v>1</v>
      </c>
      <c r="L463" s="806"/>
      <c r="M463" s="50">
        <f t="shared" si="74"/>
        <v>1</v>
      </c>
      <c r="N463" s="806"/>
      <c r="O463" s="50">
        <f t="shared" si="75"/>
        <v>1</v>
      </c>
      <c r="P463" s="806"/>
      <c r="Q463" s="50">
        <f t="shared" si="76"/>
        <v>1</v>
      </c>
      <c r="R463" s="355">
        <f t="shared" si="77"/>
        <v>0</v>
      </c>
      <c r="S463" s="651">
        <f t="shared" si="78"/>
        <v>0</v>
      </c>
    </row>
    <row r="464" spans="1:19">
      <c r="A464" s="808"/>
      <c r="B464" s="129"/>
      <c r="C464" s="50">
        <f t="shared" si="69"/>
        <v>1</v>
      </c>
      <c r="D464" s="806"/>
      <c r="E464" s="50">
        <f t="shared" si="70"/>
        <v>1</v>
      </c>
      <c r="F464" s="806"/>
      <c r="G464" s="50">
        <f t="shared" si="71"/>
        <v>1</v>
      </c>
      <c r="H464" s="806"/>
      <c r="I464" s="50">
        <f t="shared" si="72"/>
        <v>1</v>
      </c>
      <c r="J464" s="806"/>
      <c r="K464" s="50">
        <f t="shared" si="73"/>
        <v>1</v>
      </c>
      <c r="L464" s="806"/>
      <c r="M464" s="50">
        <f t="shared" si="74"/>
        <v>1</v>
      </c>
      <c r="N464" s="806"/>
      <c r="O464" s="50">
        <f t="shared" si="75"/>
        <v>1</v>
      </c>
      <c r="P464" s="806"/>
      <c r="Q464" s="50">
        <f t="shared" si="76"/>
        <v>1</v>
      </c>
      <c r="R464" s="355">
        <f t="shared" si="77"/>
        <v>0</v>
      </c>
      <c r="S464" s="651">
        <f t="shared" si="78"/>
        <v>0</v>
      </c>
    </row>
    <row r="465" spans="1:19">
      <c r="A465" s="808"/>
      <c r="B465" s="129"/>
      <c r="C465" s="50">
        <f t="shared" si="69"/>
        <v>1</v>
      </c>
      <c r="D465" s="806"/>
      <c r="E465" s="50">
        <f t="shared" si="70"/>
        <v>1</v>
      </c>
      <c r="F465" s="806"/>
      <c r="G465" s="50">
        <f t="shared" si="71"/>
        <v>1</v>
      </c>
      <c r="H465" s="806"/>
      <c r="I465" s="50">
        <f t="shared" si="72"/>
        <v>1</v>
      </c>
      <c r="J465" s="806"/>
      <c r="K465" s="50">
        <f t="shared" si="73"/>
        <v>1</v>
      </c>
      <c r="L465" s="806"/>
      <c r="M465" s="50">
        <f t="shared" si="74"/>
        <v>1</v>
      </c>
      <c r="N465" s="806"/>
      <c r="O465" s="50">
        <f t="shared" si="75"/>
        <v>1</v>
      </c>
      <c r="P465" s="806"/>
      <c r="Q465" s="50">
        <f t="shared" si="76"/>
        <v>1</v>
      </c>
      <c r="R465" s="355">
        <f t="shared" si="77"/>
        <v>0</v>
      </c>
      <c r="S465" s="651">
        <f t="shared" si="78"/>
        <v>0</v>
      </c>
    </row>
    <row r="466" spans="1:19">
      <c r="A466" s="808"/>
      <c r="B466" s="129"/>
      <c r="C466" s="50">
        <f t="shared" si="69"/>
        <v>1</v>
      </c>
      <c r="D466" s="806"/>
      <c r="E466" s="50">
        <f t="shared" si="70"/>
        <v>1</v>
      </c>
      <c r="F466" s="806"/>
      <c r="G466" s="50">
        <f t="shared" si="71"/>
        <v>1</v>
      </c>
      <c r="H466" s="806"/>
      <c r="I466" s="50">
        <f t="shared" si="72"/>
        <v>1</v>
      </c>
      <c r="J466" s="806"/>
      <c r="K466" s="50">
        <f t="shared" si="73"/>
        <v>1</v>
      </c>
      <c r="L466" s="806"/>
      <c r="M466" s="50">
        <f t="shared" si="74"/>
        <v>1</v>
      </c>
      <c r="N466" s="806"/>
      <c r="O466" s="50">
        <f t="shared" si="75"/>
        <v>1</v>
      </c>
      <c r="P466" s="806"/>
      <c r="Q466" s="50">
        <f t="shared" si="76"/>
        <v>1</v>
      </c>
      <c r="R466" s="355">
        <f t="shared" si="77"/>
        <v>0</v>
      </c>
      <c r="S466" s="651">
        <f t="shared" si="78"/>
        <v>0</v>
      </c>
    </row>
    <row r="467" spans="1:19">
      <c r="A467" s="808"/>
      <c r="B467" s="129"/>
      <c r="C467" s="50">
        <f t="shared" si="69"/>
        <v>1</v>
      </c>
      <c r="D467" s="806"/>
      <c r="E467" s="50">
        <f t="shared" si="70"/>
        <v>1</v>
      </c>
      <c r="F467" s="806"/>
      <c r="G467" s="50">
        <f t="shared" si="71"/>
        <v>1</v>
      </c>
      <c r="H467" s="806"/>
      <c r="I467" s="50">
        <f t="shared" si="72"/>
        <v>1</v>
      </c>
      <c r="J467" s="806"/>
      <c r="K467" s="50">
        <f t="shared" si="73"/>
        <v>1</v>
      </c>
      <c r="L467" s="806"/>
      <c r="M467" s="50">
        <f t="shared" si="74"/>
        <v>1</v>
      </c>
      <c r="N467" s="806"/>
      <c r="O467" s="50">
        <f t="shared" si="75"/>
        <v>1</v>
      </c>
      <c r="P467" s="806"/>
      <c r="Q467" s="50">
        <f t="shared" si="76"/>
        <v>1</v>
      </c>
      <c r="R467" s="355">
        <f t="shared" si="77"/>
        <v>0</v>
      </c>
      <c r="S467" s="651">
        <f t="shared" si="78"/>
        <v>0</v>
      </c>
    </row>
    <row r="468" spans="1:19">
      <c r="A468" s="808"/>
      <c r="B468" s="129"/>
      <c r="C468" s="50">
        <f t="shared" si="69"/>
        <v>1</v>
      </c>
      <c r="D468" s="806"/>
      <c r="E468" s="50">
        <f t="shared" si="70"/>
        <v>1</v>
      </c>
      <c r="F468" s="806"/>
      <c r="G468" s="50">
        <f t="shared" si="71"/>
        <v>1</v>
      </c>
      <c r="H468" s="806"/>
      <c r="I468" s="50">
        <f t="shared" si="72"/>
        <v>1</v>
      </c>
      <c r="J468" s="806"/>
      <c r="K468" s="50">
        <f t="shared" si="73"/>
        <v>1</v>
      </c>
      <c r="L468" s="806"/>
      <c r="M468" s="50">
        <f t="shared" si="74"/>
        <v>1</v>
      </c>
      <c r="N468" s="806"/>
      <c r="O468" s="50">
        <f t="shared" si="75"/>
        <v>1</v>
      </c>
      <c r="P468" s="806"/>
      <c r="Q468" s="50">
        <f t="shared" si="76"/>
        <v>1</v>
      </c>
      <c r="R468" s="355">
        <f t="shared" si="77"/>
        <v>0</v>
      </c>
      <c r="S468" s="651">
        <f t="shared" ref="S468:S497" si="79">ROUND(R468*B468/10000,0)</f>
        <v>0</v>
      </c>
    </row>
    <row r="469" spans="1:19">
      <c r="A469" s="808"/>
      <c r="B469" s="129"/>
      <c r="C469" s="50">
        <f t="shared" si="69"/>
        <v>1</v>
      </c>
      <c r="D469" s="806"/>
      <c r="E469" s="50">
        <f t="shared" si="70"/>
        <v>1</v>
      </c>
      <c r="F469" s="806"/>
      <c r="G469" s="50">
        <f t="shared" si="71"/>
        <v>1</v>
      </c>
      <c r="H469" s="806"/>
      <c r="I469" s="50">
        <f t="shared" si="72"/>
        <v>1</v>
      </c>
      <c r="J469" s="806"/>
      <c r="K469" s="50">
        <f t="shared" si="73"/>
        <v>1</v>
      </c>
      <c r="L469" s="806"/>
      <c r="M469" s="50">
        <f t="shared" si="74"/>
        <v>1</v>
      </c>
      <c r="N469" s="806"/>
      <c r="O469" s="50">
        <f t="shared" si="75"/>
        <v>1</v>
      </c>
      <c r="P469" s="806"/>
      <c r="Q469" s="50">
        <f t="shared" si="76"/>
        <v>1</v>
      </c>
      <c r="R469" s="355">
        <f t="shared" si="77"/>
        <v>0</v>
      </c>
      <c r="S469" s="651">
        <f t="shared" si="79"/>
        <v>0</v>
      </c>
    </row>
    <row r="470" spans="1:19">
      <c r="A470" s="808"/>
      <c r="B470" s="129"/>
      <c r="C470" s="50">
        <f t="shared" si="69"/>
        <v>1</v>
      </c>
      <c r="D470" s="806"/>
      <c r="E470" s="50">
        <f t="shared" si="70"/>
        <v>1</v>
      </c>
      <c r="F470" s="806"/>
      <c r="G470" s="50">
        <f t="shared" si="71"/>
        <v>1</v>
      </c>
      <c r="H470" s="806"/>
      <c r="I470" s="50">
        <f t="shared" si="72"/>
        <v>1</v>
      </c>
      <c r="J470" s="806"/>
      <c r="K470" s="50">
        <f t="shared" si="73"/>
        <v>1</v>
      </c>
      <c r="L470" s="806"/>
      <c r="M470" s="50">
        <f t="shared" si="74"/>
        <v>1</v>
      </c>
      <c r="N470" s="806"/>
      <c r="O470" s="50">
        <f t="shared" si="75"/>
        <v>1</v>
      </c>
      <c r="P470" s="806"/>
      <c r="Q470" s="50">
        <f t="shared" si="76"/>
        <v>1</v>
      </c>
      <c r="R470" s="355">
        <f t="shared" si="77"/>
        <v>0</v>
      </c>
      <c r="S470" s="651">
        <f t="shared" si="79"/>
        <v>0</v>
      </c>
    </row>
    <row r="471" spans="1:19">
      <c r="A471" s="808"/>
      <c r="B471" s="129"/>
      <c r="C471" s="50">
        <f t="shared" si="69"/>
        <v>1</v>
      </c>
      <c r="D471" s="806"/>
      <c r="E471" s="50">
        <f t="shared" si="70"/>
        <v>1</v>
      </c>
      <c r="F471" s="806"/>
      <c r="G471" s="50">
        <f t="shared" si="71"/>
        <v>1</v>
      </c>
      <c r="H471" s="806"/>
      <c r="I471" s="50">
        <f t="shared" si="72"/>
        <v>1</v>
      </c>
      <c r="J471" s="806"/>
      <c r="K471" s="50">
        <f t="shared" si="73"/>
        <v>1</v>
      </c>
      <c r="L471" s="806"/>
      <c r="M471" s="50">
        <f t="shared" si="74"/>
        <v>1</v>
      </c>
      <c r="N471" s="806"/>
      <c r="O471" s="50">
        <f t="shared" si="75"/>
        <v>1</v>
      </c>
      <c r="P471" s="806"/>
      <c r="Q471" s="50">
        <f t="shared" si="76"/>
        <v>1</v>
      </c>
      <c r="R471" s="355">
        <f t="shared" si="77"/>
        <v>0</v>
      </c>
      <c r="S471" s="651">
        <f t="shared" si="79"/>
        <v>0</v>
      </c>
    </row>
    <row r="472" spans="1:19">
      <c r="A472" s="808"/>
      <c r="B472" s="129"/>
      <c r="C472" s="50">
        <f t="shared" si="69"/>
        <v>1</v>
      </c>
      <c r="D472" s="806"/>
      <c r="E472" s="50">
        <f t="shared" si="70"/>
        <v>1</v>
      </c>
      <c r="F472" s="806"/>
      <c r="G472" s="50">
        <f t="shared" si="71"/>
        <v>1</v>
      </c>
      <c r="H472" s="806"/>
      <c r="I472" s="50">
        <f t="shared" si="72"/>
        <v>1</v>
      </c>
      <c r="J472" s="806"/>
      <c r="K472" s="50">
        <f t="shared" si="73"/>
        <v>1</v>
      </c>
      <c r="L472" s="806"/>
      <c r="M472" s="50">
        <f t="shared" si="74"/>
        <v>1</v>
      </c>
      <c r="N472" s="806"/>
      <c r="O472" s="50">
        <f t="shared" si="75"/>
        <v>1</v>
      </c>
      <c r="P472" s="806"/>
      <c r="Q472" s="50">
        <f t="shared" si="76"/>
        <v>1</v>
      </c>
      <c r="R472" s="355">
        <f t="shared" si="77"/>
        <v>0</v>
      </c>
      <c r="S472" s="651">
        <f t="shared" si="79"/>
        <v>0</v>
      </c>
    </row>
    <row r="473" spans="1:19">
      <c r="A473" s="808"/>
      <c r="B473" s="129"/>
      <c r="C473" s="50">
        <f t="shared" si="69"/>
        <v>1</v>
      </c>
      <c r="D473" s="806"/>
      <c r="E473" s="50">
        <f t="shared" si="70"/>
        <v>1</v>
      </c>
      <c r="F473" s="806"/>
      <c r="G473" s="50">
        <f t="shared" si="71"/>
        <v>1</v>
      </c>
      <c r="H473" s="806"/>
      <c r="I473" s="50">
        <f t="shared" si="72"/>
        <v>1</v>
      </c>
      <c r="J473" s="806"/>
      <c r="K473" s="50">
        <f t="shared" si="73"/>
        <v>1</v>
      </c>
      <c r="L473" s="806"/>
      <c r="M473" s="50">
        <f t="shared" si="74"/>
        <v>1</v>
      </c>
      <c r="N473" s="806"/>
      <c r="O473" s="50">
        <f t="shared" si="75"/>
        <v>1</v>
      </c>
      <c r="P473" s="806"/>
      <c r="Q473" s="50">
        <f t="shared" si="76"/>
        <v>1</v>
      </c>
      <c r="R473" s="355">
        <f t="shared" si="77"/>
        <v>0</v>
      </c>
      <c r="S473" s="651">
        <f t="shared" si="79"/>
        <v>0</v>
      </c>
    </row>
    <row r="474" spans="1:19">
      <c r="A474" s="808"/>
      <c r="B474" s="129"/>
      <c r="C474" s="50">
        <f t="shared" ref="C474:C524" si="80">IF(B474="",1,(LOOKUP(B474,$3:$3,$4:$4)-LOOKUP($B$24,$3:$3,$4:$4)+100)/100)</f>
        <v>1</v>
      </c>
      <c r="D474" s="806"/>
      <c r="E474" s="50">
        <f t="shared" ref="E474:E524" si="81">(SUMIF($5:$5,D474,$6:$6)-SUMIF($5:$5,$D$24,$6:$6)+100)/100</f>
        <v>1</v>
      </c>
      <c r="F474" s="806"/>
      <c r="G474" s="50">
        <f t="shared" ref="G474:G524" si="82">(SUMIF($7:$7,F474,$8:$8)-SUMIF($7:$7,$F$24,$8:$8)+100)/100</f>
        <v>1</v>
      </c>
      <c r="H474" s="806"/>
      <c r="I474" s="50">
        <f t="shared" ref="I474:I524" si="83">(SUMIF($9:$9,H474,$10:$10)-SUMIF($9:$9,$H$24,$10:$10)+100)/100</f>
        <v>1</v>
      </c>
      <c r="J474" s="806"/>
      <c r="K474" s="50">
        <f t="shared" ref="K474:K524" si="84">(SUMIF($11:$11,J474,$12:$12)-SUMIF($11:$11,$J$24,$12:$12)+100)/100</f>
        <v>1</v>
      </c>
      <c r="L474" s="806"/>
      <c r="M474" s="50">
        <f t="shared" ref="M474:M524" si="85">(SUMIF($13:$13,L474,$14:$14)-SUMIF($13:$13,$L$24,$14:$14)+100)/100</f>
        <v>1</v>
      </c>
      <c r="N474" s="806"/>
      <c r="O474" s="50">
        <f t="shared" ref="O474:O524" si="86">(SUMIF($15:$15,N474,$16:$16)-SUMIF($15:$15,$N$24,$16:$16)+100)/100</f>
        <v>1</v>
      </c>
      <c r="P474" s="806"/>
      <c r="Q474" s="50">
        <f t="shared" ref="Q474:Q524" si="87">(SUMIF($17:$17,P474,$18:$18)-SUMIF($17:$17,$P$24,$18:$18)+100)/100</f>
        <v>1</v>
      </c>
      <c r="R474" s="355">
        <f t="shared" ref="R474:R524" si="88">IF(B474="",0,ROUND($R$24*C474*E474*G474*I474*K474*M474*O474*Q474,0))</f>
        <v>0</v>
      </c>
      <c r="S474" s="651">
        <f t="shared" si="79"/>
        <v>0</v>
      </c>
    </row>
    <row r="475" spans="1:19">
      <c r="A475" s="808"/>
      <c r="B475" s="129"/>
      <c r="C475" s="50">
        <f t="shared" si="80"/>
        <v>1</v>
      </c>
      <c r="D475" s="806"/>
      <c r="E475" s="50">
        <f t="shared" si="81"/>
        <v>1</v>
      </c>
      <c r="F475" s="806"/>
      <c r="G475" s="50">
        <f t="shared" si="82"/>
        <v>1</v>
      </c>
      <c r="H475" s="806"/>
      <c r="I475" s="50">
        <f t="shared" si="83"/>
        <v>1</v>
      </c>
      <c r="J475" s="806"/>
      <c r="K475" s="50">
        <f t="shared" si="84"/>
        <v>1</v>
      </c>
      <c r="L475" s="806"/>
      <c r="M475" s="50">
        <f t="shared" si="85"/>
        <v>1</v>
      </c>
      <c r="N475" s="806"/>
      <c r="O475" s="50">
        <f t="shared" si="86"/>
        <v>1</v>
      </c>
      <c r="P475" s="806"/>
      <c r="Q475" s="50">
        <f t="shared" si="87"/>
        <v>1</v>
      </c>
      <c r="R475" s="355">
        <f t="shared" si="88"/>
        <v>0</v>
      </c>
      <c r="S475" s="651">
        <f t="shared" si="79"/>
        <v>0</v>
      </c>
    </row>
    <row r="476" spans="1:19">
      <c r="A476" s="808"/>
      <c r="B476" s="129"/>
      <c r="C476" s="50">
        <f t="shared" si="80"/>
        <v>1</v>
      </c>
      <c r="D476" s="806"/>
      <c r="E476" s="50">
        <f t="shared" si="81"/>
        <v>1</v>
      </c>
      <c r="F476" s="806"/>
      <c r="G476" s="50">
        <f t="shared" si="82"/>
        <v>1</v>
      </c>
      <c r="H476" s="806"/>
      <c r="I476" s="50">
        <f t="shared" si="83"/>
        <v>1</v>
      </c>
      <c r="J476" s="806"/>
      <c r="K476" s="50">
        <f t="shared" si="84"/>
        <v>1</v>
      </c>
      <c r="L476" s="806"/>
      <c r="M476" s="50">
        <f t="shared" si="85"/>
        <v>1</v>
      </c>
      <c r="N476" s="806"/>
      <c r="O476" s="50">
        <f t="shared" si="86"/>
        <v>1</v>
      </c>
      <c r="P476" s="806"/>
      <c r="Q476" s="50">
        <f t="shared" si="87"/>
        <v>1</v>
      </c>
      <c r="R476" s="355">
        <f t="shared" si="88"/>
        <v>0</v>
      </c>
      <c r="S476" s="651">
        <f t="shared" si="79"/>
        <v>0</v>
      </c>
    </row>
    <row r="477" spans="1:19">
      <c r="A477" s="808"/>
      <c r="B477" s="129"/>
      <c r="C477" s="50">
        <f t="shared" si="80"/>
        <v>1</v>
      </c>
      <c r="D477" s="806"/>
      <c r="E477" s="50">
        <f t="shared" si="81"/>
        <v>1</v>
      </c>
      <c r="F477" s="806"/>
      <c r="G477" s="50">
        <f t="shared" si="82"/>
        <v>1</v>
      </c>
      <c r="H477" s="806"/>
      <c r="I477" s="50">
        <f t="shared" si="83"/>
        <v>1</v>
      </c>
      <c r="J477" s="806"/>
      <c r="K477" s="50">
        <f t="shared" si="84"/>
        <v>1</v>
      </c>
      <c r="L477" s="806"/>
      <c r="M477" s="50">
        <f t="shared" si="85"/>
        <v>1</v>
      </c>
      <c r="N477" s="806"/>
      <c r="O477" s="50">
        <f t="shared" si="86"/>
        <v>1</v>
      </c>
      <c r="P477" s="806"/>
      <c r="Q477" s="50">
        <f t="shared" si="87"/>
        <v>1</v>
      </c>
      <c r="R477" s="355">
        <f t="shared" si="88"/>
        <v>0</v>
      </c>
      <c r="S477" s="651">
        <f t="shared" si="79"/>
        <v>0</v>
      </c>
    </row>
    <row r="478" spans="1:19">
      <c r="A478" s="808"/>
      <c r="B478" s="129"/>
      <c r="C478" s="50">
        <f t="shared" si="80"/>
        <v>1</v>
      </c>
      <c r="D478" s="806"/>
      <c r="E478" s="50">
        <f t="shared" si="81"/>
        <v>1</v>
      </c>
      <c r="F478" s="806"/>
      <c r="G478" s="50">
        <f t="shared" si="82"/>
        <v>1</v>
      </c>
      <c r="H478" s="806"/>
      <c r="I478" s="50">
        <f t="shared" si="83"/>
        <v>1</v>
      </c>
      <c r="J478" s="806"/>
      <c r="K478" s="50">
        <f t="shared" si="84"/>
        <v>1</v>
      </c>
      <c r="L478" s="806"/>
      <c r="M478" s="50">
        <f t="shared" si="85"/>
        <v>1</v>
      </c>
      <c r="N478" s="806"/>
      <c r="O478" s="50">
        <f t="shared" si="86"/>
        <v>1</v>
      </c>
      <c r="P478" s="806"/>
      <c r="Q478" s="50">
        <f t="shared" si="87"/>
        <v>1</v>
      </c>
      <c r="R478" s="355">
        <f t="shared" si="88"/>
        <v>0</v>
      </c>
      <c r="S478" s="651">
        <f t="shared" si="79"/>
        <v>0</v>
      </c>
    </row>
    <row r="479" spans="1:19">
      <c r="A479" s="808"/>
      <c r="B479" s="129"/>
      <c r="C479" s="50">
        <f t="shared" si="80"/>
        <v>1</v>
      </c>
      <c r="D479" s="806"/>
      <c r="E479" s="50">
        <f t="shared" si="81"/>
        <v>1</v>
      </c>
      <c r="F479" s="806"/>
      <c r="G479" s="50">
        <f t="shared" si="82"/>
        <v>1</v>
      </c>
      <c r="H479" s="806"/>
      <c r="I479" s="50">
        <f t="shared" si="83"/>
        <v>1</v>
      </c>
      <c r="J479" s="806"/>
      <c r="K479" s="50">
        <f t="shared" si="84"/>
        <v>1</v>
      </c>
      <c r="L479" s="806"/>
      <c r="M479" s="50">
        <f t="shared" si="85"/>
        <v>1</v>
      </c>
      <c r="N479" s="806"/>
      <c r="O479" s="50">
        <f t="shared" si="86"/>
        <v>1</v>
      </c>
      <c r="P479" s="806"/>
      <c r="Q479" s="50">
        <f t="shared" si="87"/>
        <v>1</v>
      </c>
      <c r="R479" s="355">
        <f t="shared" si="88"/>
        <v>0</v>
      </c>
      <c r="S479" s="651">
        <f t="shared" si="79"/>
        <v>0</v>
      </c>
    </row>
    <row r="480" spans="1:19">
      <c r="A480" s="808"/>
      <c r="B480" s="129"/>
      <c r="C480" s="50">
        <f t="shared" si="80"/>
        <v>1</v>
      </c>
      <c r="D480" s="806"/>
      <c r="E480" s="50">
        <f t="shared" si="81"/>
        <v>1</v>
      </c>
      <c r="F480" s="806"/>
      <c r="G480" s="50">
        <f t="shared" si="82"/>
        <v>1</v>
      </c>
      <c r="H480" s="806"/>
      <c r="I480" s="50">
        <f t="shared" si="83"/>
        <v>1</v>
      </c>
      <c r="J480" s="806"/>
      <c r="K480" s="50">
        <f t="shared" si="84"/>
        <v>1</v>
      </c>
      <c r="L480" s="806"/>
      <c r="M480" s="50">
        <f t="shared" si="85"/>
        <v>1</v>
      </c>
      <c r="N480" s="806"/>
      <c r="O480" s="50">
        <f t="shared" si="86"/>
        <v>1</v>
      </c>
      <c r="P480" s="806"/>
      <c r="Q480" s="50">
        <f t="shared" si="87"/>
        <v>1</v>
      </c>
      <c r="R480" s="355">
        <f t="shared" si="88"/>
        <v>0</v>
      </c>
      <c r="S480" s="651">
        <f t="shared" si="79"/>
        <v>0</v>
      </c>
    </row>
    <row r="481" spans="1:19">
      <c r="A481" s="808"/>
      <c r="B481" s="129"/>
      <c r="C481" s="50">
        <f t="shared" si="80"/>
        <v>1</v>
      </c>
      <c r="D481" s="806"/>
      <c r="E481" s="50">
        <f t="shared" si="81"/>
        <v>1</v>
      </c>
      <c r="F481" s="806"/>
      <c r="G481" s="50">
        <f t="shared" si="82"/>
        <v>1</v>
      </c>
      <c r="H481" s="806"/>
      <c r="I481" s="50">
        <f t="shared" si="83"/>
        <v>1</v>
      </c>
      <c r="J481" s="806"/>
      <c r="K481" s="50">
        <f t="shared" si="84"/>
        <v>1</v>
      </c>
      <c r="L481" s="806"/>
      <c r="M481" s="50">
        <f t="shared" si="85"/>
        <v>1</v>
      </c>
      <c r="N481" s="806"/>
      <c r="O481" s="50">
        <f t="shared" si="86"/>
        <v>1</v>
      </c>
      <c r="P481" s="806"/>
      <c r="Q481" s="50">
        <f t="shared" si="87"/>
        <v>1</v>
      </c>
      <c r="R481" s="355">
        <f t="shared" si="88"/>
        <v>0</v>
      </c>
      <c r="S481" s="651">
        <f t="shared" si="79"/>
        <v>0</v>
      </c>
    </row>
    <row r="482" spans="1:19">
      <c r="A482" s="808"/>
      <c r="B482" s="129"/>
      <c r="C482" s="50">
        <f t="shared" si="80"/>
        <v>1</v>
      </c>
      <c r="D482" s="806"/>
      <c r="E482" s="50">
        <f t="shared" si="81"/>
        <v>1</v>
      </c>
      <c r="F482" s="806"/>
      <c r="G482" s="50">
        <f t="shared" si="82"/>
        <v>1</v>
      </c>
      <c r="H482" s="806"/>
      <c r="I482" s="50">
        <f t="shared" si="83"/>
        <v>1</v>
      </c>
      <c r="J482" s="806"/>
      <c r="K482" s="50">
        <f t="shared" si="84"/>
        <v>1</v>
      </c>
      <c r="L482" s="806"/>
      <c r="M482" s="50">
        <f t="shared" si="85"/>
        <v>1</v>
      </c>
      <c r="N482" s="806"/>
      <c r="O482" s="50">
        <f t="shared" si="86"/>
        <v>1</v>
      </c>
      <c r="P482" s="806"/>
      <c r="Q482" s="50">
        <f t="shared" si="87"/>
        <v>1</v>
      </c>
      <c r="R482" s="355">
        <f t="shared" si="88"/>
        <v>0</v>
      </c>
      <c r="S482" s="651">
        <f t="shared" si="79"/>
        <v>0</v>
      </c>
    </row>
    <row r="483" spans="1:19">
      <c r="A483" s="808"/>
      <c r="B483" s="129"/>
      <c r="C483" s="50">
        <f t="shared" si="80"/>
        <v>1</v>
      </c>
      <c r="D483" s="806"/>
      <c r="E483" s="50">
        <f t="shared" si="81"/>
        <v>1</v>
      </c>
      <c r="F483" s="806"/>
      <c r="G483" s="50">
        <f t="shared" si="82"/>
        <v>1</v>
      </c>
      <c r="H483" s="806"/>
      <c r="I483" s="50">
        <f t="shared" si="83"/>
        <v>1</v>
      </c>
      <c r="J483" s="806"/>
      <c r="K483" s="50">
        <f t="shared" si="84"/>
        <v>1</v>
      </c>
      <c r="L483" s="806"/>
      <c r="M483" s="50">
        <f t="shared" si="85"/>
        <v>1</v>
      </c>
      <c r="N483" s="806"/>
      <c r="O483" s="50">
        <f t="shared" si="86"/>
        <v>1</v>
      </c>
      <c r="P483" s="806"/>
      <c r="Q483" s="50">
        <f t="shared" si="87"/>
        <v>1</v>
      </c>
      <c r="R483" s="355">
        <f t="shared" si="88"/>
        <v>0</v>
      </c>
      <c r="S483" s="651">
        <f t="shared" si="79"/>
        <v>0</v>
      </c>
    </row>
    <row r="484" spans="1:19">
      <c r="A484" s="808"/>
      <c r="B484" s="129"/>
      <c r="C484" s="50">
        <f t="shared" si="80"/>
        <v>1</v>
      </c>
      <c r="D484" s="806"/>
      <c r="E484" s="50">
        <f t="shared" si="81"/>
        <v>1</v>
      </c>
      <c r="F484" s="806"/>
      <c r="G484" s="50">
        <f t="shared" si="82"/>
        <v>1</v>
      </c>
      <c r="H484" s="806"/>
      <c r="I484" s="50">
        <f t="shared" si="83"/>
        <v>1</v>
      </c>
      <c r="J484" s="806"/>
      <c r="K484" s="50">
        <f t="shared" si="84"/>
        <v>1</v>
      </c>
      <c r="L484" s="806"/>
      <c r="M484" s="50">
        <f t="shared" si="85"/>
        <v>1</v>
      </c>
      <c r="N484" s="806"/>
      <c r="O484" s="50">
        <f t="shared" si="86"/>
        <v>1</v>
      </c>
      <c r="P484" s="806"/>
      <c r="Q484" s="50">
        <f t="shared" si="87"/>
        <v>1</v>
      </c>
      <c r="R484" s="355">
        <f t="shared" si="88"/>
        <v>0</v>
      </c>
      <c r="S484" s="651">
        <f t="shared" si="79"/>
        <v>0</v>
      </c>
    </row>
    <row r="485" spans="1:19">
      <c r="A485" s="808"/>
      <c r="B485" s="129"/>
      <c r="C485" s="50">
        <f t="shared" si="80"/>
        <v>1</v>
      </c>
      <c r="D485" s="806"/>
      <c r="E485" s="50">
        <f t="shared" si="81"/>
        <v>1</v>
      </c>
      <c r="F485" s="806"/>
      <c r="G485" s="50">
        <f t="shared" si="82"/>
        <v>1</v>
      </c>
      <c r="H485" s="806"/>
      <c r="I485" s="50">
        <f t="shared" si="83"/>
        <v>1</v>
      </c>
      <c r="J485" s="806"/>
      <c r="K485" s="50">
        <f t="shared" si="84"/>
        <v>1</v>
      </c>
      <c r="L485" s="806"/>
      <c r="M485" s="50">
        <f t="shared" si="85"/>
        <v>1</v>
      </c>
      <c r="N485" s="806"/>
      <c r="O485" s="50">
        <f t="shared" si="86"/>
        <v>1</v>
      </c>
      <c r="P485" s="806"/>
      <c r="Q485" s="50">
        <f t="shared" si="87"/>
        <v>1</v>
      </c>
      <c r="R485" s="355">
        <f t="shared" si="88"/>
        <v>0</v>
      </c>
      <c r="S485" s="651">
        <f t="shared" si="79"/>
        <v>0</v>
      </c>
    </row>
    <row r="486" spans="1:19">
      <c r="A486" s="808"/>
      <c r="B486" s="129"/>
      <c r="C486" s="50">
        <f t="shared" si="80"/>
        <v>1</v>
      </c>
      <c r="D486" s="806"/>
      <c r="E486" s="50">
        <f t="shared" si="81"/>
        <v>1</v>
      </c>
      <c r="F486" s="806"/>
      <c r="G486" s="50">
        <f t="shared" si="82"/>
        <v>1</v>
      </c>
      <c r="H486" s="806"/>
      <c r="I486" s="50">
        <f t="shared" si="83"/>
        <v>1</v>
      </c>
      <c r="J486" s="806"/>
      <c r="K486" s="50">
        <f t="shared" si="84"/>
        <v>1</v>
      </c>
      <c r="L486" s="806"/>
      <c r="M486" s="50">
        <f t="shared" si="85"/>
        <v>1</v>
      </c>
      <c r="N486" s="806"/>
      <c r="O486" s="50">
        <f t="shared" si="86"/>
        <v>1</v>
      </c>
      <c r="P486" s="806"/>
      <c r="Q486" s="50">
        <f t="shared" si="87"/>
        <v>1</v>
      </c>
      <c r="R486" s="355">
        <f t="shared" si="88"/>
        <v>0</v>
      </c>
      <c r="S486" s="651">
        <f t="shared" si="79"/>
        <v>0</v>
      </c>
    </row>
    <row r="487" spans="1:19">
      <c r="A487" s="808"/>
      <c r="B487" s="129"/>
      <c r="C487" s="50">
        <f t="shared" si="80"/>
        <v>1</v>
      </c>
      <c r="D487" s="806"/>
      <c r="E487" s="50">
        <f t="shared" si="81"/>
        <v>1</v>
      </c>
      <c r="F487" s="806"/>
      <c r="G487" s="50">
        <f t="shared" si="82"/>
        <v>1</v>
      </c>
      <c r="H487" s="806"/>
      <c r="I487" s="50">
        <f t="shared" si="83"/>
        <v>1</v>
      </c>
      <c r="J487" s="806"/>
      <c r="K487" s="50">
        <f t="shared" si="84"/>
        <v>1</v>
      </c>
      <c r="L487" s="806"/>
      <c r="M487" s="50">
        <f t="shared" si="85"/>
        <v>1</v>
      </c>
      <c r="N487" s="806"/>
      <c r="O487" s="50">
        <f t="shared" si="86"/>
        <v>1</v>
      </c>
      <c r="P487" s="806"/>
      <c r="Q487" s="50">
        <f t="shared" si="87"/>
        <v>1</v>
      </c>
      <c r="R487" s="355">
        <f t="shared" si="88"/>
        <v>0</v>
      </c>
      <c r="S487" s="651">
        <f t="shared" si="79"/>
        <v>0</v>
      </c>
    </row>
    <row r="488" spans="1:19">
      <c r="A488" s="808"/>
      <c r="B488" s="129"/>
      <c r="C488" s="50">
        <f t="shared" si="80"/>
        <v>1</v>
      </c>
      <c r="D488" s="806"/>
      <c r="E488" s="50">
        <f t="shared" si="81"/>
        <v>1</v>
      </c>
      <c r="F488" s="806"/>
      <c r="G488" s="50">
        <f t="shared" si="82"/>
        <v>1</v>
      </c>
      <c r="H488" s="806"/>
      <c r="I488" s="50">
        <f t="shared" si="83"/>
        <v>1</v>
      </c>
      <c r="J488" s="806"/>
      <c r="K488" s="50">
        <f t="shared" si="84"/>
        <v>1</v>
      </c>
      <c r="L488" s="806"/>
      <c r="M488" s="50">
        <f t="shared" si="85"/>
        <v>1</v>
      </c>
      <c r="N488" s="806"/>
      <c r="O488" s="50">
        <f t="shared" si="86"/>
        <v>1</v>
      </c>
      <c r="P488" s="806"/>
      <c r="Q488" s="50">
        <f t="shared" si="87"/>
        <v>1</v>
      </c>
      <c r="R488" s="355">
        <f t="shared" si="88"/>
        <v>0</v>
      </c>
      <c r="S488" s="651">
        <f t="shared" si="79"/>
        <v>0</v>
      </c>
    </row>
    <row r="489" spans="1:19">
      <c r="A489" s="808"/>
      <c r="B489" s="129"/>
      <c r="C489" s="50">
        <f t="shared" si="80"/>
        <v>1</v>
      </c>
      <c r="D489" s="806"/>
      <c r="E489" s="50">
        <f t="shared" si="81"/>
        <v>1</v>
      </c>
      <c r="F489" s="806"/>
      <c r="G489" s="50">
        <f t="shared" si="82"/>
        <v>1</v>
      </c>
      <c r="H489" s="806"/>
      <c r="I489" s="50">
        <f t="shared" si="83"/>
        <v>1</v>
      </c>
      <c r="J489" s="806"/>
      <c r="K489" s="50">
        <f t="shared" si="84"/>
        <v>1</v>
      </c>
      <c r="L489" s="806"/>
      <c r="M489" s="50">
        <f t="shared" si="85"/>
        <v>1</v>
      </c>
      <c r="N489" s="806"/>
      <c r="O489" s="50">
        <f t="shared" si="86"/>
        <v>1</v>
      </c>
      <c r="P489" s="806"/>
      <c r="Q489" s="50">
        <f t="shared" si="87"/>
        <v>1</v>
      </c>
      <c r="R489" s="355">
        <f t="shared" si="88"/>
        <v>0</v>
      </c>
      <c r="S489" s="651">
        <f t="shared" si="79"/>
        <v>0</v>
      </c>
    </row>
    <row r="490" spans="1:19">
      <c r="A490" s="808"/>
      <c r="B490" s="129"/>
      <c r="C490" s="50">
        <f t="shared" si="80"/>
        <v>1</v>
      </c>
      <c r="D490" s="806"/>
      <c r="E490" s="50">
        <f t="shared" si="81"/>
        <v>1</v>
      </c>
      <c r="F490" s="806"/>
      <c r="G490" s="50">
        <f t="shared" si="82"/>
        <v>1</v>
      </c>
      <c r="H490" s="806"/>
      <c r="I490" s="50">
        <f t="shared" si="83"/>
        <v>1</v>
      </c>
      <c r="J490" s="806"/>
      <c r="K490" s="50">
        <f t="shared" si="84"/>
        <v>1</v>
      </c>
      <c r="L490" s="806"/>
      <c r="M490" s="50">
        <f t="shared" si="85"/>
        <v>1</v>
      </c>
      <c r="N490" s="806"/>
      <c r="O490" s="50">
        <f t="shared" si="86"/>
        <v>1</v>
      </c>
      <c r="P490" s="806"/>
      <c r="Q490" s="50">
        <f t="shared" si="87"/>
        <v>1</v>
      </c>
      <c r="R490" s="355">
        <f t="shared" si="88"/>
        <v>0</v>
      </c>
      <c r="S490" s="651">
        <f t="shared" si="79"/>
        <v>0</v>
      </c>
    </row>
    <row r="491" spans="1:19">
      <c r="A491" s="808"/>
      <c r="B491" s="129"/>
      <c r="C491" s="50">
        <f t="shared" si="80"/>
        <v>1</v>
      </c>
      <c r="D491" s="806"/>
      <c r="E491" s="50">
        <f t="shared" si="81"/>
        <v>1</v>
      </c>
      <c r="F491" s="806"/>
      <c r="G491" s="50">
        <f t="shared" si="82"/>
        <v>1</v>
      </c>
      <c r="H491" s="806"/>
      <c r="I491" s="50">
        <f t="shared" si="83"/>
        <v>1</v>
      </c>
      <c r="J491" s="806"/>
      <c r="K491" s="50">
        <f t="shared" si="84"/>
        <v>1</v>
      </c>
      <c r="L491" s="806"/>
      <c r="M491" s="50">
        <f t="shared" si="85"/>
        <v>1</v>
      </c>
      <c r="N491" s="806"/>
      <c r="O491" s="50">
        <f t="shared" si="86"/>
        <v>1</v>
      </c>
      <c r="P491" s="806"/>
      <c r="Q491" s="50">
        <f t="shared" si="87"/>
        <v>1</v>
      </c>
      <c r="R491" s="355">
        <f t="shared" si="88"/>
        <v>0</v>
      </c>
      <c r="S491" s="651">
        <f t="shared" si="79"/>
        <v>0</v>
      </c>
    </row>
    <row r="492" spans="1:19">
      <c r="A492" s="808"/>
      <c r="B492" s="129"/>
      <c r="C492" s="50">
        <f t="shared" si="80"/>
        <v>1</v>
      </c>
      <c r="D492" s="806"/>
      <c r="E492" s="50">
        <f t="shared" si="81"/>
        <v>1</v>
      </c>
      <c r="F492" s="806"/>
      <c r="G492" s="50">
        <f t="shared" si="82"/>
        <v>1</v>
      </c>
      <c r="H492" s="806"/>
      <c r="I492" s="50">
        <f t="shared" si="83"/>
        <v>1</v>
      </c>
      <c r="J492" s="806"/>
      <c r="K492" s="50">
        <f t="shared" si="84"/>
        <v>1</v>
      </c>
      <c r="L492" s="806"/>
      <c r="M492" s="50">
        <f t="shared" si="85"/>
        <v>1</v>
      </c>
      <c r="N492" s="806"/>
      <c r="O492" s="50">
        <f t="shared" si="86"/>
        <v>1</v>
      </c>
      <c r="P492" s="806"/>
      <c r="Q492" s="50">
        <f t="shared" si="87"/>
        <v>1</v>
      </c>
      <c r="R492" s="355">
        <f t="shared" si="88"/>
        <v>0</v>
      </c>
      <c r="S492" s="651">
        <f t="shared" si="79"/>
        <v>0</v>
      </c>
    </row>
    <row r="493" spans="1:19">
      <c r="A493" s="808"/>
      <c r="B493" s="129"/>
      <c r="C493" s="50">
        <f t="shared" si="80"/>
        <v>1</v>
      </c>
      <c r="D493" s="806"/>
      <c r="E493" s="50">
        <f t="shared" si="81"/>
        <v>1</v>
      </c>
      <c r="F493" s="806"/>
      <c r="G493" s="50">
        <f t="shared" si="82"/>
        <v>1</v>
      </c>
      <c r="H493" s="806"/>
      <c r="I493" s="50">
        <f t="shared" si="83"/>
        <v>1</v>
      </c>
      <c r="J493" s="806"/>
      <c r="K493" s="50">
        <f t="shared" si="84"/>
        <v>1</v>
      </c>
      <c r="L493" s="806"/>
      <c r="M493" s="50">
        <f t="shared" si="85"/>
        <v>1</v>
      </c>
      <c r="N493" s="806"/>
      <c r="O493" s="50">
        <f t="shared" si="86"/>
        <v>1</v>
      </c>
      <c r="P493" s="806"/>
      <c r="Q493" s="50">
        <f t="shared" si="87"/>
        <v>1</v>
      </c>
      <c r="R493" s="355">
        <f t="shared" si="88"/>
        <v>0</v>
      </c>
      <c r="S493" s="651">
        <f t="shared" si="79"/>
        <v>0</v>
      </c>
    </row>
    <row r="494" spans="1:19">
      <c r="A494" s="808"/>
      <c r="B494" s="129"/>
      <c r="C494" s="50">
        <f t="shared" si="80"/>
        <v>1</v>
      </c>
      <c r="D494" s="806"/>
      <c r="E494" s="50">
        <f t="shared" si="81"/>
        <v>1</v>
      </c>
      <c r="F494" s="806"/>
      <c r="G494" s="50">
        <f t="shared" si="82"/>
        <v>1</v>
      </c>
      <c r="H494" s="806"/>
      <c r="I494" s="50">
        <f t="shared" si="83"/>
        <v>1</v>
      </c>
      <c r="J494" s="806"/>
      <c r="K494" s="50">
        <f t="shared" si="84"/>
        <v>1</v>
      </c>
      <c r="L494" s="806"/>
      <c r="M494" s="50">
        <f t="shared" si="85"/>
        <v>1</v>
      </c>
      <c r="N494" s="806"/>
      <c r="O494" s="50">
        <f t="shared" si="86"/>
        <v>1</v>
      </c>
      <c r="P494" s="806"/>
      <c r="Q494" s="50">
        <f t="shared" si="87"/>
        <v>1</v>
      </c>
      <c r="R494" s="355">
        <f t="shared" si="88"/>
        <v>0</v>
      </c>
      <c r="S494" s="651">
        <f t="shared" si="79"/>
        <v>0</v>
      </c>
    </row>
    <row r="495" spans="1:19">
      <c r="A495" s="808"/>
      <c r="B495" s="129"/>
      <c r="C495" s="50">
        <f t="shared" si="80"/>
        <v>1</v>
      </c>
      <c r="D495" s="806"/>
      <c r="E495" s="50">
        <f t="shared" si="81"/>
        <v>1</v>
      </c>
      <c r="F495" s="806"/>
      <c r="G495" s="50">
        <f t="shared" si="82"/>
        <v>1</v>
      </c>
      <c r="H495" s="806"/>
      <c r="I495" s="50">
        <f t="shared" si="83"/>
        <v>1</v>
      </c>
      <c r="J495" s="806"/>
      <c r="K495" s="50">
        <f t="shared" si="84"/>
        <v>1</v>
      </c>
      <c r="L495" s="806"/>
      <c r="M495" s="50">
        <f t="shared" si="85"/>
        <v>1</v>
      </c>
      <c r="N495" s="806"/>
      <c r="O495" s="50">
        <f t="shared" si="86"/>
        <v>1</v>
      </c>
      <c r="P495" s="806"/>
      <c r="Q495" s="50">
        <f t="shared" si="87"/>
        <v>1</v>
      </c>
      <c r="R495" s="355">
        <f t="shared" si="88"/>
        <v>0</v>
      </c>
      <c r="S495" s="651">
        <f t="shared" si="79"/>
        <v>0</v>
      </c>
    </row>
    <row r="496" spans="1:19">
      <c r="A496" s="808"/>
      <c r="B496" s="129"/>
      <c r="C496" s="50">
        <f t="shared" si="80"/>
        <v>1</v>
      </c>
      <c r="D496" s="806"/>
      <c r="E496" s="50">
        <f t="shared" si="81"/>
        <v>1</v>
      </c>
      <c r="F496" s="806"/>
      <c r="G496" s="50">
        <f t="shared" si="82"/>
        <v>1</v>
      </c>
      <c r="H496" s="806"/>
      <c r="I496" s="50">
        <f t="shared" si="83"/>
        <v>1</v>
      </c>
      <c r="J496" s="806"/>
      <c r="K496" s="50">
        <f t="shared" si="84"/>
        <v>1</v>
      </c>
      <c r="L496" s="806"/>
      <c r="M496" s="50">
        <f t="shared" si="85"/>
        <v>1</v>
      </c>
      <c r="N496" s="806"/>
      <c r="O496" s="50">
        <f t="shared" si="86"/>
        <v>1</v>
      </c>
      <c r="P496" s="806"/>
      <c r="Q496" s="50">
        <f t="shared" si="87"/>
        <v>1</v>
      </c>
      <c r="R496" s="355">
        <f t="shared" si="88"/>
        <v>0</v>
      </c>
      <c r="S496" s="651">
        <f t="shared" si="79"/>
        <v>0</v>
      </c>
    </row>
    <row r="497" spans="1:19">
      <c r="A497" s="808"/>
      <c r="B497" s="129"/>
      <c r="C497" s="50">
        <f t="shared" si="80"/>
        <v>1</v>
      </c>
      <c r="D497" s="806"/>
      <c r="E497" s="50">
        <f t="shared" si="81"/>
        <v>1</v>
      </c>
      <c r="F497" s="806"/>
      <c r="G497" s="50">
        <f t="shared" si="82"/>
        <v>1</v>
      </c>
      <c r="H497" s="806"/>
      <c r="I497" s="50">
        <f t="shared" si="83"/>
        <v>1</v>
      </c>
      <c r="J497" s="806"/>
      <c r="K497" s="50">
        <f t="shared" si="84"/>
        <v>1</v>
      </c>
      <c r="L497" s="806"/>
      <c r="M497" s="50">
        <f t="shared" si="85"/>
        <v>1</v>
      </c>
      <c r="N497" s="806"/>
      <c r="O497" s="50">
        <f t="shared" si="86"/>
        <v>1</v>
      </c>
      <c r="P497" s="806"/>
      <c r="Q497" s="50">
        <f t="shared" si="87"/>
        <v>1</v>
      </c>
      <c r="R497" s="355">
        <f t="shared" si="88"/>
        <v>0</v>
      </c>
      <c r="S497" s="651">
        <f t="shared" si="79"/>
        <v>0</v>
      </c>
    </row>
    <row r="498" spans="1:19">
      <c r="A498" s="808"/>
      <c r="B498" s="129"/>
      <c r="C498" s="50">
        <f t="shared" si="80"/>
        <v>1</v>
      </c>
      <c r="D498" s="806"/>
      <c r="E498" s="50">
        <f t="shared" si="81"/>
        <v>1</v>
      </c>
      <c r="F498" s="806"/>
      <c r="G498" s="50">
        <f t="shared" si="82"/>
        <v>1</v>
      </c>
      <c r="H498" s="806"/>
      <c r="I498" s="50">
        <f t="shared" si="83"/>
        <v>1</v>
      </c>
      <c r="J498" s="806"/>
      <c r="K498" s="50">
        <f t="shared" si="84"/>
        <v>1</v>
      </c>
      <c r="L498" s="806"/>
      <c r="M498" s="50">
        <f t="shared" si="85"/>
        <v>1</v>
      </c>
      <c r="N498" s="806"/>
      <c r="O498" s="50">
        <f t="shared" si="86"/>
        <v>1</v>
      </c>
      <c r="P498" s="806"/>
      <c r="Q498" s="50">
        <f t="shared" si="87"/>
        <v>1</v>
      </c>
      <c r="R498" s="355">
        <f t="shared" si="88"/>
        <v>0</v>
      </c>
      <c r="S498" s="651">
        <f t="shared" ref="S498:S524" si="89">ROUND(R498*B498/10000,0)</f>
        <v>0</v>
      </c>
    </row>
    <row r="499" spans="1:19">
      <c r="A499" s="808"/>
      <c r="B499" s="129"/>
      <c r="C499" s="50">
        <f t="shared" si="80"/>
        <v>1</v>
      </c>
      <c r="D499" s="806"/>
      <c r="E499" s="50">
        <f t="shared" si="81"/>
        <v>1</v>
      </c>
      <c r="F499" s="806"/>
      <c r="G499" s="50">
        <f t="shared" si="82"/>
        <v>1</v>
      </c>
      <c r="H499" s="806"/>
      <c r="I499" s="50">
        <f t="shared" si="83"/>
        <v>1</v>
      </c>
      <c r="J499" s="806"/>
      <c r="K499" s="50">
        <f t="shared" si="84"/>
        <v>1</v>
      </c>
      <c r="L499" s="806"/>
      <c r="M499" s="50">
        <f t="shared" si="85"/>
        <v>1</v>
      </c>
      <c r="N499" s="806"/>
      <c r="O499" s="50">
        <f t="shared" si="86"/>
        <v>1</v>
      </c>
      <c r="P499" s="806"/>
      <c r="Q499" s="50">
        <f t="shared" si="87"/>
        <v>1</v>
      </c>
      <c r="R499" s="355">
        <f t="shared" si="88"/>
        <v>0</v>
      </c>
      <c r="S499" s="651">
        <f t="shared" si="89"/>
        <v>0</v>
      </c>
    </row>
    <row r="500" spans="1:19">
      <c r="A500" s="808"/>
      <c r="B500" s="129"/>
      <c r="C500" s="50">
        <f t="shared" si="80"/>
        <v>1</v>
      </c>
      <c r="D500" s="806"/>
      <c r="E500" s="50">
        <f t="shared" si="81"/>
        <v>1</v>
      </c>
      <c r="F500" s="806"/>
      <c r="G500" s="50">
        <f t="shared" si="82"/>
        <v>1</v>
      </c>
      <c r="H500" s="806"/>
      <c r="I500" s="50">
        <f t="shared" si="83"/>
        <v>1</v>
      </c>
      <c r="J500" s="806"/>
      <c r="K500" s="50">
        <f t="shared" si="84"/>
        <v>1</v>
      </c>
      <c r="L500" s="806"/>
      <c r="M500" s="50">
        <f t="shared" si="85"/>
        <v>1</v>
      </c>
      <c r="N500" s="806"/>
      <c r="O500" s="50">
        <f t="shared" si="86"/>
        <v>1</v>
      </c>
      <c r="P500" s="806"/>
      <c r="Q500" s="50">
        <f t="shared" si="87"/>
        <v>1</v>
      </c>
      <c r="R500" s="355">
        <f t="shared" si="88"/>
        <v>0</v>
      </c>
      <c r="S500" s="651">
        <f t="shared" si="89"/>
        <v>0</v>
      </c>
    </row>
    <row r="501" spans="1:19">
      <c r="A501" s="808"/>
      <c r="B501" s="129"/>
      <c r="C501" s="50">
        <f t="shared" si="80"/>
        <v>1</v>
      </c>
      <c r="D501" s="806"/>
      <c r="E501" s="50">
        <f t="shared" si="81"/>
        <v>1</v>
      </c>
      <c r="F501" s="806"/>
      <c r="G501" s="50">
        <f t="shared" si="82"/>
        <v>1</v>
      </c>
      <c r="H501" s="806"/>
      <c r="I501" s="50">
        <f t="shared" si="83"/>
        <v>1</v>
      </c>
      <c r="J501" s="806"/>
      <c r="K501" s="50">
        <f t="shared" si="84"/>
        <v>1</v>
      </c>
      <c r="L501" s="806"/>
      <c r="M501" s="50">
        <f t="shared" si="85"/>
        <v>1</v>
      </c>
      <c r="N501" s="806"/>
      <c r="O501" s="50">
        <f t="shared" si="86"/>
        <v>1</v>
      </c>
      <c r="P501" s="806"/>
      <c r="Q501" s="50">
        <f t="shared" si="87"/>
        <v>1</v>
      </c>
      <c r="R501" s="355">
        <f t="shared" si="88"/>
        <v>0</v>
      </c>
      <c r="S501" s="651">
        <f t="shared" si="89"/>
        <v>0</v>
      </c>
    </row>
    <row r="502" spans="1:19">
      <c r="A502" s="808"/>
      <c r="B502" s="129"/>
      <c r="C502" s="50">
        <f t="shared" si="80"/>
        <v>1</v>
      </c>
      <c r="D502" s="806"/>
      <c r="E502" s="50">
        <f t="shared" si="81"/>
        <v>1</v>
      </c>
      <c r="F502" s="806"/>
      <c r="G502" s="50">
        <f t="shared" si="82"/>
        <v>1</v>
      </c>
      <c r="H502" s="806"/>
      <c r="I502" s="50">
        <f t="shared" si="83"/>
        <v>1</v>
      </c>
      <c r="J502" s="806"/>
      <c r="K502" s="50">
        <f t="shared" si="84"/>
        <v>1</v>
      </c>
      <c r="L502" s="806"/>
      <c r="M502" s="50">
        <f t="shared" si="85"/>
        <v>1</v>
      </c>
      <c r="N502" s="806"/>
      <c r="O502" s="50">
        <f t="shared" si="86"/>
        <v>1</v>
      </c>
      <c r="P502" s="806"/>
      <c r="Q502" s="50">
        <f t="shared" si="87"/>
        <v>1</v>
      </c>
      <c r="R502" s="355">
        <f t="shared" si="88"/>
        <v>0</v>
      </c>
      <c r="S502" s="651">
        <f t="shared" si="89"/>
        <v>0</v>
      </c>
    </row>
    <row r="503" spans="1:19">
      <c r="A503" s="808"/>
      <c r="B503" s="129"/>
      <c r="C503" s="50">
        <f t="shared" si="80"/>
        <v>1</v>
      </c>
      <c r="D503" s="806"/>
      <c r="E503" s="50">
        <f t="shared" si="81"/>
        <v>1</v>
      </c>
      <c r="F503" s="806"/>
      <c r="G503" s="50">
        <f t="shared" si="82"/>
        <v>1</v>
      </c>
      <c r="H503" s="806"/>
      <c r="I503" s="50">
        <f t="shared" si="83"/>
        <v>1</v>
      </c>
      <c r="J503" s="806"/>
      <c r="K503" s="50">
        <f t="shared" si="84"/>
        <v>1</v>
      </c>
      <c r="L503" s="806"/>
      <c r="M503" s="50">
        <f t="shared" si="85"/>
        <v>1</v>
      </c>
      <c r="N503" s="806"/>
      <c r="O503" s="50">
        <f t="shared" si="86"/>
        <v>1</v>
      </c>
      <c r="P503" s="806"/>
      <c r="Q503" s="50">
        <f t="shared" si="87"/>
        <v>1</v>
      </c>
      <c r="R503" s="355">
        <f t="shared" si="88"/>
        <v>0</v>
      </c>
      <c r="S503" s="651">
        <f t="shared" si="89"/>
        <v>0</v>
      </c>
    </row>
    <row r="504" spans="1:19">
      <c r="A504" s="808"/>
      <c r="B504" s="129"/>
      <c r="C504" s="50">
        <f t="shared" si="80"/>
        <v>1</v>
      </c>
      <c r="D504" s="806"/>
      <c r="E504" s="50">
        <f t="shared" si="81"/>
        <v>1</v>
      </c>
      <c r="F504" s="806"/>
      <c r="G504" s="50">
        <f t="shared" si="82"/>
        <v>1</v>
      </c>
      <c r="H504" s="806"/>
      <c r="I504" s="50">
        <f t="shared" si="83"/>
        <v>1</v>
      </c>
      <c r="J504" s="806"/>
      <c r="K504" s="50">
        <f t="shared" si="84"/>
        <v>1</v>
      </c>
      <c r="L504" s="806"/>
      <c r="M504" s="50">
        <f t="shared" si="85"/>
        <v>1</v>
      </c>
      <c r="N504" s="806"/>
      <c r="O504" s="50">
        <f t="shared" si="86"/>
        <v>1</v>
      </c>
      <c r="P504" s="806"/>
      <c r="Q504" s="50">
        <f t="shared" si="87"/>
        <v>1</v>
      </c>
      <c r="R504" s="355">
        <f t="shared" si="88"/>
        <v>0</v>
      </c>
      <c r="S504" s="651">
        <f t="shared" si="89"/>
        <v>0</v>
      </c>
    </row>
    <row r="505" spans="1:19">
      <c r="A505" s="808"/>
      <c r="B505" s="129"/>
      <c r="C505" s="50">
        <f t="shared" si="80"/>
        <v>1</v>
      </c>
      <c r="D505" s="806"/>
      <c r="E505" s="50">
        <f t="shared" si="81"/>
        <v>1</v>
      </c>
      <c r="F505" s="806"/>
      <c r="G505" s="50">
        <f t="shared" si="82"/>
        <v>1</v>
      </c>
      <c r="H505" s="806"/>
      <c r="I505" s="50">
        <f t="shared" si="83"/>
        <v>1</v>
      </c>
      <c r="J505" s="806"/>
      <c r="K505" s="50">
        <f t="shared" si="84"/>
        <v>1</v>
      </c>
      <c r="L505" s="806"/>
      <c r="M505" s="50">
        <f t="shared" si="85"/>
        <v>1</v>
      </c>
      <c r="N505" s="806"/>
      <c r="O505" s="50">
        <f t="shared" si="86"/>
        <v>1</v>
      </c>
      <c r="P505" s="806"/>
      <c r="Q505" s="50">
        <f t="shared" si="87"/>
        <v>1</v>
      </c>
      <c r="R505" s="355">
        <f t="shared" si="88"/>
        <v>0</v>
      </c>
      <c r="S505" s="651">
        <f t="shared" si="89"/>
        <v>0</v>
      </c>
    </row>
    <row r="506" spans="1:19">
      <c r="A506" s="808"/>
      <c r="B506" s="129"/>
      <c r="C506" s="50">
        <f t="shared" si="80"/>
        <v>1</v>
      </c>
      <c r="D506" s="806"/>
      <c r="E506" s="50">
        <f t="shared" si="81"/>
        <v>1</v>
      </c>
      <c r="F506" s="806"/>
      <c r="G506" s="50">
        <f t="shared" si="82"/>
        <v>1</v>
      </c>
      <c r="H506" s="806"/>
      <c r="I506" s="50">
        <f t="shared" si="83"/>
        <v>1</v>
      </c>
      <c r="J506" s="806"/>
      <c r="K506" s="50">
        <f t="shared" si="84"/>
        <v>1</v>
      </c>
      <c r="L506" s="806"/>
      <c r="M506" s="50">
        <f t="shared" si="85"/>
        <v>1</v>
      </c>
      <c r="N506" s="806"/>
      <c r="O506" s="50">
        <f t="shared" si="86"/>
        <v>1</v>
      </c>
      <c r="P506" s="806"/>
      <c r="Q506" s="50">
        <f t="shared" si="87"/>
        <v>1</v>
      </c>
      <c r="R506" s="355">
        <f t="shared" si="88"/>
        <v>0</v>
      </c>
      <c r="S506" s="651">
        <f t="shared" si="89"/>
        <v>0</v>
      </c>
    </row>
    <row r="507" spans="1:19">
      <c r="A507" s="808"/>
      <c r="B507" s="129"/>
      <c r="C507" s="50">
        <f t="shared" si="80"/>
        <v>1</v>
      </c>
      <c r="D507" s="806"/>
      <c r="E507" s="50">
        <f t="shared" si="81"/>
        <v>1</v>
      </c>
      <c r="F507" s="806"/>
      <c r="G507" s="50">
        <f t="shared" si="82"/>
        <v>1</v>
      </c>
      <c r="H507" s="806"/>
      <c r="I507" s="50">
        <f t="shared" si="83"/>
        <v>1</v>
      </c>
      <c r="J507" s="806"/>
      <c r="K507" s="50">
        <f t="shared" si="84"/>
        <v>1</v>
      </c>
      <c r="L507" s="806"/>
      <c r="M507" s="50">
        <f t="shared" si="85"/>
        <v>1</v>
      </c>
      <c r="N507" s="806"/>
      <c r="O507" s="50">
        <f t="shared" si="86"/>
        <v>1</v>
      </c>
      <c r="P507" s="806"/>
      <c r="Q507" s="50">
        <f t="shared" si="87"/>
        <v>1</v>
      </c>
      <c r="R507" s="355">
        <f t="shared" si="88"/>
        <v>0</v>
      </c>
      <c r="S507" s="651">
        <f t="shared" si="89"/>
        <v>0</v>
      </c>
    </row>
    <row r="508" spans="1:19">
      <c r="A508" s="808"/>
      <c r="B508" s="129"/>
      <c r="C508" s="50">
        <f t="shared" si="80"/>
        <v>1</v>
      </c>
      <c r="D508" s="806"/>
      <c r="E508" s="50">
        <f t="shared" si="81"/>
        <v>1</v>
      </c>
      <c r="F508" s="806"/>
      <c r="G508" s="50">
        <f t="shared" si="82"/>
        <v>1</v>
      </c>
      <c r="H508" s="806"/>
      <c r="I508" s="50">
        <f t="shared" si="83"/>
        <v>1</v>
      </c>
      <c r="J508" s="806"/>
      <c r="K508" s="50">
        <f t="shared" si="84"/>
        <v>1</v>
      </c>
      <c r="L508" s="806"/>
      <c r="M508" s="50">
        <f t="shared" si="85"/>
        <v>1</v>
      </c>
      <c r="N508" s="806"/>
      <c r="O508" s="50">
        <f t="shared" si="86"/>
        <v>1</v>
      </c>
      <c r="P508" s="806"/>
      <c r="Q508" s="50">
        <f t="shared" si="87"/>
        <v>1</v>
      </c>
      <c r="R508" s="355">
        <f t="shared" si="88"/>
        <v>0</v>
      </c>
      <c r="S508" s="651">
        <f t="shared" si="89"/>
        <v>0</v>
      </c>
    </row>
    <row r="509" spans="1:19">
      <c r="A509" s="808"/>
      <c r="B509" s="129"/>
      <c r="C509" s="50">
        <f t="shared" si="80"/>
        <v>1</v>
      </c>
      <c r="D509" s="806"/>
      <c r="E509" s="50">
        <f t="shared" si="81"/>
        <v>1</v>
      </c>
      <c r="F509" s="806"/>
      <c r="G509" s="50">
        <f t="shared" si="82"/>
        <v>1</v>
      </c>
      <c r="H509" s="806"/>
      <c r="I509" s="50">
        <f t="shared" si="83"/>
        <v>1</v>
      </c>
      <c r="J509" s="806"/>
      <c r="K509" s="50">
        <f t="shared" si="84"/>
        <v>1</v>
      </c>
      <c r="L509" s="806"/>
      <c r="M509" s="50">
        <f t="shared" si="85"/>
        <v>1</v>
      </c>
      <c r="N509" s="806"/>
      <c r="O509" s="50">
        <f t="shared" si="86"/>
        <v>1</v>
      </c>
      <c r="P509" s="806"/>
      <c r="Q509" s="50">
        <f t="shared" si="87"/>
        <v>1</v>
      </c>
      <c r="R509" s="355">
        <f t="shared" si="88"/>
        <v>0</v>
      </c>
      <c r="S509" s="651">
        <f t="shared" si="89"/>
        <v>0</v>
      </c>
    </row>
    <row r="510" spans="1:19">
      <c r="A510" s="808"/>
      <c r="B510" s="129"/>
      <c r="C510" s="50">
        <f t="shared" si="80"/>
        <v>1</v>
      </c>
      <c r="D510" s="806"/>
      <c r="E510" s="50">
        <f t="shared" si="81"/>
        <v>1</v>
      </c>
      <c r="F510" s="806"/>
      <c r="G510" s="50">
        <f t="shared" si="82"/>
        <v>1</v>
      </c>
      <c r="H510" s="806"/>
      <c r="I510" s="50">
        <f t="shared" si="83"/>
        <v>1</v>
      </c>
      <c r="J510" s="806"/>
      <c r="K510" s="50">
        <f t="shared" si="84"/>
        <v>1</v>
      </c>
      <c r="L510" s="806"/>
      <c r="M510" s="50">
        <f t="shared" si="85"/>
        <v>1</v>
      </c>
      <c r="N510" s="806"/>
      <c r="O510" s="50">
        <f t="shared" si="86"/>
        <v>1</v>
      </c>
      <c r="P510" s="806"/>
      <c r="Q510" s="50">
        <f t="shared" si="87"/>
        <v>1</v>
      </c>
      <c r="R510" s="355">
        <f t="shared" si="88"/>
        <v>0</v>
      </c>
      <c r="S510" s="651">
        <f t="shared" si="89"/>
        <v>0</v>
      </c>
    </row>
    <row r="511" spans="1:19">
      <c r="A511" s="808"/>
      <c r="B511" s="129"/>
      <c r="C511" s="50">
        <f t="shared" si="80"/>
        <v>1</v>
      </c>
      <c r="D511" s="806"/>
      <c r="E511" s="50">
        <f t="shared" si="81"/>
        <v>1</v>
      </c>
      <c r="F511" s="806"/>
      <c r="G511" s="50">
        <f t="shared" si="82"/>
        <v>1</v>
      </c>
      <c r="H511" s="806"/>
      <c r="I511" s="50">
        <f t="shared" si="83"/>
        <v>1</v>
      </c>
      <c r="J511" s="806"/>
      <c r="K511" s="50">
        <f t="shared" si="84"/>
        <v>1</v>
      </c>
      <c r="L511" s="806"/>
      <c r="M511" s="50">
        <f t="shared" si="85"/>
        <v>1</v>
      </c>
      <c r="N511" s="806"/>
      <c r="O511" s="50">
        <f t="shared" si="86"/>
        <v>1</v>
      </c>
      <c r="P511" s="806"/>
      <c r="Q511" s="50">
        <f t="shared" si="87"/>
        <v>1</v>
      </c>
      <c r="R511" s="355">
        <f t="shared" si="88"/>
        <v>0</v>
      </c>
      <c r="S511" s="651">
        <f t="shared" si="89"/>
        <v>0</v>
      </c>
    </row>
    <row r="512" spans="1:19">
      <c r="A512" s="808"/>
      <c r="B512" s="129"/>
      <c r="C512" s="50">
        <f t="shared" si="80"/>
        <v>1</v>
      </c>
      <c r="D512" s="806"/>
      <c r="E512" s="50">
        <f t="shared" si="81"/>
        <v>1</v>
      </c>
      <c r="F512" s="806"/>
      <c r="G512" s="50">
        <f t="shared" si="82"/>
        <v>1</v>
      </c>
      <c r="H512" s="806"/>
      <c r="I512" s="50">
        <f t="shared" si="83"/>
        <v>1</v>
      </c>
      <c r="J512" s="806"/>
      <c r="K512" s="50">
        <f t="shared" si="84"/>
        <v>1</v>
      </c>
      <c r="L512" s="806"/>
      <c r="M512" s="50">
        <f t="shared" si="85"/>
        <v>1</v>
      </c>
      <c r="N512" s="806"/>
      <c r="O512" s="50">
        <f t="shared" si="86"/>
        <v>1</v>
      </c>
      <c r="P512" s="806"/>
      <c r="Q512" s="50">
        <f t="shared" si="87"/>
        <v>1</v>
      </c>
      <c r="R512" s="355">
        <f t="shared" si="88"/>
        <v>0</v>
      </c>
      <c r="S512" s="651">
        <f t="shared" si="89"/>
        <v>0</v>
      </c>
    </row>
    <row r="513" spans="1:19">
      <c r="A513" s="808"/>
      <c r="B513" s="129"/>
      <c r="C513" s="50">
        <f t="shared" si="80"/>
        <v>1</v>
      </c>
      <c r="D513" s="806"/>
      <c r="E513" s="50">
        <f t="shared" si="81"/>
        <v>1</v>
      </c>
      <c r="F513" s="806"/>
      <c r="G513" s="50">
        <f t="shared" si="82"/>
        <v>1</v>
      </c>
      <c r="H513" s="806"/>
      <c r="I513" s="50">
        <f t="shared" si="83"/>
        <v>1</v>
      </c>
      <c r="J513" s="806"/>
      <c r="K513" s="50">
        <f t="shared" si="84"/>
        <v>1</v>
      </c>
      <c r="L513" s="806"/>
      <c r="M513" s="50">
        <f t="shared" si="85"/>
        <v>1</v>
      </c>
      <c r="N513" s="806"/>
      <c r="O513" s="50">
        <f t="shared" si="86"/>
        <v>1</v>
      </c>
      <c r="P513" s="806"/>
      <c r="Q513" s="50">
        <f t="shared" si="87"/>
        <v>1</v>
      </c>
      <c r="R513" s="355">
        <f t="shared" si="88"/>
        <v>0</v>
      </c>
      <c r="S513" s="651">
        <f t="shared" si="89"/>
        <v>0</v>
      </c>
    </row>
    <row r="514" spans="1:19">
      <c r="A514" s="808"/>
      <c r="B514" s="129"/>
      <c r="C514" s="50">
        <f t="shared" si="80"/>
        <v>1</v>
      </c>
      <c r="D514" s="806"/>
      <c r="E514" s="50">
        <f t="shared" si="81"/>
        <v>1</v>
      </c>
      <c r="F514" s="806"/>
      <c r="G514" s="50">
        <f t="shared" si="82"/>
        <v>1</v>
      </c>
      <c r="H514" s="806"/>
      <c r="I514" s="50">
        <f t="shared" si="83"/>
        <v>1</v>
      </c>
      <c r="J514" s="806"/>
      <c r="K514" s="50">
        <f t="shared" si="84"/>
        <v>1</v>
      </c>
      <c r="L514" s="806"/>
      <c r="M514" s="50">
        <f t="shared" si="85"/>
        <v>1</v>
      </c>
      <c r="N514" s="806"/>
      <c r="O514" s="50">
        <f t="shared" si="86"/>
        <v>1</v>
      </c>
      <c r="P514" s="806"/>
      <c r="Q514" s="50">
        <f t="shared" si="87"/>
        <v>1</v>
      </c>
      <c r="R514" s="355">
        <f t="shared" si="88"/>
        <v>0</v>
      </c>
      <c r="S514" s="651">
        <f t="shared" si="89"/>
        <v>0</v>
      </c>
    </row>
    <row r="515" spans="1:19">
      <c r="A515" s="808"/>
      <c r="B515" s="129"/>
      <c r="C515" s="50">
        <f t="shared" si="80"/>
        <v>1</v>
      </c>
      <c r="D515" s="806"/>
      <c r="E515" s="50">
        <f t="shared" si="81"/>
        <v>1</v>
      </c>
      <c r="F515" s="806"/>
      <c r="G515" s="50">
        <f t="shared" si="82"/>
        <v>1</v>
      </c>
      <c r="H515" s="806"/>
      <c r="I515" s="50">
        <f t="shared" si="83"/>
        <v>1</v>
      </c>
      <c r="J515" s="806"/>
      <c r="K515" s="50">
        <f t="shared" si="84"/>
        <v>1</v>
      </c>
      <c r="L515" s="806"/>
      <c r="M515" s="50">
        <f t="shared" si="85"/>
        <v>1</v>
      </c>
      <c r="N515" s="806"/>
      <c r="O515" s="50">
        <f t="shared" si="86"/>
        <v>1</v>
      </c>
      <c r="P515" s="806"/>
      <c r="Q515" s="50">
        <f t="shared" si="87"/>
        <v>1</v>
      </c>
      <c r="R515" s="355">
        <f t="shared" si="88"/>
        <v>0</v>
      </c>
      <c r="S515" s="651">
        <f t="shared" si="89"/>
        <v>0</v>
      </c>
    </row>
    <row r="516" spans="1:19">
      <c r="A516" s="808"/>
      <c r="B516" s="129"/>
      <c r="C516" s="50">
        <f t="shared" si="80"/>
        <v>1</v>
      </c>
      <c r="D516" s="806"/>
      <c r="E516" s="50">
        <f t="shared" si="81"/>
        <v>1</v>
      </c>
      <c r="F516" s="806"/>
      <c r="G516" s="50">
        <f t="shared" si="82"/>
        <v>1</v>
      </c>
      <c r="H516" s="806"/>
      <c r="I516" s="50">
        <f t="shared" si="83"/>
        <v>1</v>
      </c>
      <c r="J516" s="806"/>
      <c r="K516" s="50">
        <f t="shared" si="84"/>
        <v>1</v>
      </c>
      <c r="L516" s="806"/>
      <c r="M516" s="50">
        <f t="shared" si="85"/>
        <v>1</v>
      </c>
      <c r="N516" s="806"/>
      <c r="O516" s="50">
        <f t="shared" si="86"/>
        <v>1</v>
      </c>
      <c r="P516" s="806"/>
      <c r="Q516" s="50">
        <f t="shared" si="87"/>
        <v>1</v>
      </c>
      <c r="R516" s="355">
        <f t="shared" si="88"/>
        <v>0</v>
      </c>
      <c r="S516" s="651">
        <f t="shared" si="89"/>
        <v>0</v>
      </c>
    </row>
    <row r="517" spans="1:19">
      <c r="A517" s="808"/>
      <c r="B517" s="129"/>
      <c r="C517" s="50">
        <f t="shared" si="80"/>
        <v>1</v>
      </c>
      <c r="D517" s="806"/>
      <c r="E517" s="50">
        <f t="shared" si="81"/>
        <v>1</v>
      </c>
      <c r="F517" s="806"/>
      <c r="G517" s="50">
        <f t="shared" si="82"/>
        <v>1</v>
      </c>
      <c r="H517" s="806"/>
      <c r="I517" s="50">
        <f t="shared" si="83"/>
        <v>1</v>
      </c>
      <c r="J517" s="806"/>
      <c r="K517" s="50">
        <f t="shared" si="84"/>
        <v>1</v>
      </c>
      <c r="L517" s="806"/>
      <c r="M517" s="50">
        <f t="shared" si="85"/>
        <v>1</v>
      </c>
      <c r="N517" s="806"/>
      <c r="O517" s="50">
        <f t="shared" si="86"/>
        <v>1</v>
      </c>
      <c r="P517" s="806"/>
      <c r="Q517" s="50">
        <f t="shared" si="87"/>
        <v>1</v>
      </c>
      <c r="R517" s="355">
        <f t="shared" si="88"/>
        <v>0</v>
      </c>
      <c r="S517" s="651">
        <f t="shared" si="89"/>
        <v>0</v>
      </c>
    </row>
    <row r="518" spans="1:19">
      <c r="A518" s="808"/>
      <c r="B518" s="129"/>
      <c r="C518" s="50">
        <f t="shared" si="80"/>
        <v>1</v>
      </c>
      <c r="D518" s="806"/>
      <c r="E518" s="50">
        <f t="shared" si="81"/>
        <v>1</v>
      </c>
      <c r="F518" s="806"/>
      <c r="G518" s="50">
        <f t="shared" si="82"/>
        <v>1</v>
      </c>
      <c r="H518" s="806"/>
      <c r="I518" s="50">
        <f t="shared" si="83"/>
        <v>1</v>
      </c>
      <c r="J518" s="806"/>
      <c r="K518" s="50">
        <f t="shared" si="84"/>
        <v>1</v>
      </c>
      <c r="L518" s="806"/>
      <c r="M518" s="50">
        <f t="shared" si="85"/>
        <v>1</v>
      </c>
      <c r="N518" s="806"/>
      <c r="O518" s="50">
        <f t="shared" si="86"/>
        <v>1</v>
      </c>
      <c r="P518" s="806"/>
      <c r="Q518" s="50">
        <f t="shared" si="87"/>
        <v>1</v>
      </c>
      <c r="R518" s="355">
        <f t="shared" si="88"/>
        <v>0</v>
      </c>
      <c r="S518" s="651">
        <f t="shared" si="89"/>
        <v>0</v>
      </c>
    </row>
    <row r="519" spans="1:19">
      <c r="A519" s="808"/>
      <c r="B519" s="129"/>
      <c r="C519" s="50">
        <f t="shared" si="80"/>
        <v>1</v>
      </c>
      <c r="D519" s="806"/>
      <c r="E519" s="50">
        <f t="shared" si="81"/>
        <v>1</v>
      </c>
      <c r="F519" s="806"/>
      <c r="G519" s="50">
        <f t="shared" si="82"/>
        <v>1</v>
      </c>
      <c r="H519" s="806"/>
      <c r="I519" s="50">
        <f t="shared" si="83"/>
        <v>1</v>
      </c>
      <c r="J519" s="806"/>
      <c r="K519" s="50">
        <f t="shared" si="84"/>
        <v>1</v>
      </c>
      <c r="L519" s="806"/>
      <c r="M519" s="50">
        <f t="shared" si="85"/>
        <v>1</v>
      </c>
      <c r="N519" s="806"/>
      <c r="O519" s="50">
        <f t="shared" si="86"/>
        <v>1</v>
      </c>
      <c r="P519" s="806"/>
      <c r="Q519" s="50">
        <f t="shared" si="87"/>
        <v>1</v>
      </c>
      <c r="R519" s="355">
        <f t="shared" si="88"/>
        <v>0</v>
      </c>
      <c r="S519" s="651">
        <f t="shared" si="89"/>
        <v>0</v>
      </c>
    </row>
    <row r="520" spans="1:19">
      <c r="A520" s="808"/>
      <c r="B520" s="129"/>
      <c r="C520" s="50">
        <f t="shared" si="80"/>
        <v>1</v>
      </c>
      <c r="D520" s="806"/>
      <c r="E520" s="50">
        <f t="shared" si="81"/>
        <v>1</v>
      </c>
      <c r="F520" s="806"/>
      <c r="G520" s="50">
        <f t="shared" si="82"/>
        <v>1</v>
      </c>
      <c r="H520" s="806"/>
      <c r="I520" s="50">
        <f t="shared" si="83"/>
        <v>1</v>
      </c>
      <c r="J520" s="806"/>
      <c r="K520" s="50">
        <f t="shared" si="84"/>
        <v>1</v>
      </c>
      <c r="L520" s="806"/>
      <c r="M520" s="50">
        <f t="shared" si="85"/>
        <v>1</v>
      </c>
      <c r="N520" s="806"/>
      <c r="O520" s="50">
        <f t="shared" si="86"/>
        <v>1</v>
      </c>
      <c r="P520" s="806"/>
      <c r="Q520" s="50">
        <f t="shared" si="87"/>
        <v>1</v>
      </c>
      <c r="R520" s="355">
        <f t="shared" si="88"/>
        <v>0</v>
      </c>
      <c r="S520" s="651">
        <f t="shared" si="89"/>
        <v>0</v>
      </c>
    </row>
    <row r="521" spans="1:19">
      <c r="A521" s="808"/>
      <c r="B521" s="129"/>
      <c r="C521" s="50">
        <f t="shared" si="80"/>
        <v>1</v>
      </c>
      <c r="D521" s="806"/>
      <c r="E521" s="50">
        <f t="shared" si="81"/>
        <v>1</v>
      </c>
      <c r="F521" s="806"/>
      <c r="G521" s="50">
        <f t="shared" si="82"/>
        <v>1</v>
      </c>
      <c r="H521" s="806"/>
      <c r="I521" s="50">
        <f t="shared" si="83"/>
        <v>1</v>
      </c>
      <c r="J521" s="806"/>
      <c r="K521" s="50">
        <f t="shared" si="84"/>
        <v>1</v>
      </c>
      <c r="L521" s="806"/>
      <c r="M521" s="50">
        <f t="shared" si="85"/>
        <v>1</v>
      </c>
      <c r="N521" s="806"/>
      <c r="O521" s="50">
        <f t="shared" si="86"/>
        <v>1</v>
      </c>
      <c r="P521" s="806"/>
      <c r="Q521" s="50">
        <f t="shared" si="87"/>
        <v>1</v>
      </c>
      <c r="R521" s="355">
        <f t="shared" si="88"/>
        <v>0</v>
      </c>
      <c r="S521" s="651">
        <f t="shared" si="89"/>
        <v>0</v>
      </c>
    </row>
    <row r="522" spans="1:19">
      <c r="A522" s="808"/>
      <c r="B522" s="129"/>
      <c r="C522" s="50">
        <f t="shared" si="80"/>
        <v>1</v>
      </c>
      <c r="D522" s="806"/>
      <c r="E522" s="50">
        <f t="shared" si="81"/>
        <v>1</v>
      </c>
      <c r="F522" s="806"/>
      <c r="G522" s="50">
        <f t="shared" si="82"/>
        <v>1</v>
      </c>
      <c r="H522" s="806"/>
      <c r="I522" s="50">
        <f t="shared" si="83"/>
        <v>1</v>
      </c>
      <c r="J522" s="806"/>
      <c r="K522" s="50">
        <f t="shared" si="84"/>
        <v>1</v>
      </c>
      <c r="L522" s="806"/>
      <c r="M522" s="50">
        <f t="shared" si="85"/>
        <v>1</v>
      </c>
      <c r="N522" s="806"/>
      <c r="O522" s="50">
        <f t="shared" si="86"/>
        <v>1</v>
      </c>
      <c r="P522" s="806"/>
      <c r="Q522" s="50">
        <f t="shared" si="87"/>
        <v>1</v>
      </c>
      <c r="R522" s="355">
        <f t="shared" si="88"/>
        <v>0</v>
      </c>
      <c r="S522" s="651">
        <f t="shared" si="89"/>
        <v>0</v>
      </c>
    </row>
    <row r="523" spans="1:19">
      <c r="A523" s="808"/>
      <c r="B523" s="129"/>
      <c r="C523" s="50">
        <f t="shared" si="80"/>
        <v>1</v>
      </c>
      <c r="D523" s="806"/>
      <c r="E523" s="50">
        <f t="shared" si="81"/>
        <v>1</v>
      </c>
      <c r="F523" s="806"/>
      <c r="G523" s="50">
        <f t="shared" si="82"/>
        <v>1</v>
      </c>
      <c r="H523" s="806"/>
      <c r="I523" s="50">
        <f t="shared" si="83"/>
        <v>1</v>
      </c>
      <c r="J523" s="806"/>
      <c r="K523" s="50">
        <f t="shared" si="84"/>
        <v>1</v>
      </c>
      <c r="L523" s="806"/>
      <c r="M523" s="50">
        <f t="shared" si="85"/>
        <v>1</v>
      </c>
      <c r="N523" s="806"/>
      <c r="O523" s="50">
        <f t="shared" si="86"/>
        <v>1</v>
      </c>
      <c r="P523" s="806"/>
      <c r="Q523" s="50">
        <f t="shared" si="87"/>
        <v>1</v>
      </c>
      <c r="R523" s="355">
        <f t="shared" si="88"/>
        <v>0</v>
      </c>
      <c r="S523" s="651">
        <f t="shared" si="89"/>
        <v>0</v>
      </c>
    </row>
    <row r="524" spans="1:19">
      <c r="A524" s="808"/>
      <c r="B524" s="129"/>
      <c r="C524" s="50">
        <f t="shared" si="80"/>
        <v>1</v>
      </c>
      <c r="D524" s="806"/>
      <c r="E524" s="50">
        <f t="shared" si="81"/>
        <v>1</v>
      </c>
      <c r="F524" s="806"/>
      <c r="G524" s="50">
        <f t="shared" si="82"/>
        <v>1</v>
      </c>
      <c r="H524" s="806"/>
      <c r="I524" s="50">
        <f t="shared" si="83"/>
        <v>1</v>
      </c>
      <c r="J524" s="806"/>
      <c r="K524" s="50">
        <f t="shared" si="84"/>
        <v>1</v>
      </c>
      <c r="L524" s="806"/>
      <c r="M524" s="50">
        <f t="shared" si="85"/>
        <v>1</v>
      </c>
      <c r="N524" s="806"/>
      <c r="O524" s="50">
        <f t="shared" si="86"/>
        <v>1</v>
      </c>
      <c r="P524" s="806"/>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300-000000000000}">
      <formula1>一修多修正项2</formula1>
    </dataValidation>
    <dataValidation type="list" allowBlank="1" showInputMessage="1" showErrorMessage="1" sqref="F24:F524" xr:uid="{00000000-0002-0000-3300-000001000000}">
      <formula1>一修多修正项3</formula1>
    </dataValidation>
    <dataValidation type="list" allowBlank="1" showInputMessage="1" showErrorMessage="1" sqref="H24:H524" xr:uid="{00000000-0002-0000-3300-000002000000}">
      <formula1>一修多修正项4</formula1>
    </dataValidation>
    <dataValidation type="list" allowBlank="1" showInputMessage="1" showErrorMessage="1" sqref="J24:J524" xr:uid="{00000000-0002-0000-3300-000003000000}">
      <formula1>一修多修正项5</formula1>
    </dataValidation>
    <dataValidation type="list" allowBlank="1" showInputMessage="1" showErrorMessage="1" sqref="L24:L524" xr:uid="{00000000-0002-0000-3300-000004000000}">
      <formula1>一修多修正项6</formula1>
    </dataValidation>
    <dataValidation type="list" allowBlank="1" showInputMessage="1" showErrorMessage="1" sqref="N24:N524" xr:uid="{00000000-0002-0000-3300-000005000000}">
      <formula1>一修多修正项7</formula1>
    </dataValidation>
    <dataValidation type="list" allowBlank="1" showInputMessage="1" showErrorMessage="1" sqref="P24:P524" xr:uid="{00000000-0002-0000-3300-000006000000}">
      <formula1>一修多修正项8</formula1>
    </dataValidation>
    <dataValidation type="list" allowBlank="1" showInputMessage="1" showErrorMessage="1" sqref="B23 B2" xr:uid="{00000000-0002-0000-3300-000007000000}">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45076</v>
      </c>
      <c r="H1" s="2128">
        <f>IF(C1&gt;C13,0,MATCH(C1,C$13:C$109,-1))+IF(SUMIF(C13:C109,C1,D13:D109)=0,13,12)</f>
        <v>13</v>
      </c>
      <c r="I1" s="2128">
        <f>MATCH(C2,H3:H7,1)+IF(SUMIF(H3:H7,C2,I3:I7)=0,2,1)</f>
        <v>5</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1.5</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土储要求测算表</vt:lpstr>
      <vt:lpstr>基准地价-商业</vt:lpstr>
      <vt:lpstr>基准地价-办公</vt:lpstr>
      <vt:lpstr>结果汇总表</vt:lpstr>
      <vt:lpstr>面积表</vt:lpstr>
      <vt:lpstr>基准地价-科研</vt:lpstr>
      <vt:lpstr>剩余法（待）-商业</vt:lpstr>
      <vt:lpstr>比较法-住宅、综合</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土地案例</vt:lpstr>
      <vt:lpstr>剩余法（待）-科研</vt:lpstr>
      <vt:lpstr>不动产收益法-科研</vt:lpstr>
      <vt:lpstr>不动产比较法-科研</vt:lpstr>
      <vt:lpstr>租金案例</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'不动产比较法-仓储'!Print_Area</vt:lpstr>
      <vt:lpstr>'不动产比较法-车位'!Print_Area</vt:lpstr>
      <vt:lpstr>'不动产比较法-工业'!Print_Area</vt:lpstr>
      <vt:lpstr>'不动产比较法-科研'!Print_Area</vt:lpstr>
      <vt:lpstr>'不动产比较法-商业'!Print_Area</vt:lpstr>
      <vt:lpstr>'不动产比较法-住宅'!Print_Area</vt:lpstr>
      <vt:lpstr>'不动产收益法-科研'!Print_Area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'基准地价-科研'!Print_Area</vt:lpstr>
      <vt:lpstr>'基准地价-商业'!Print_Area</vt:lpstr>
      <vt:lpstr>结果表!Print_Area</vt:lpstr>
      <vt:lpstr>'剩余法（待）-科研'!Print_Area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'基准地价-科研'!季度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2023-06-02T08:34:46Z</dcterms:modified>
</cp:coreProperties>
</file>