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E47" i="21"/>
  <c r="D15" i="66" l="1"/>
  <c r="C15" i="66" l="1"/>
  <c r="B15" i="66"/>
  <c r="I48" i="34"/>
  <c r="G48" i="34"/>
  <c r="E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E73" i="39"/>
  <c r="F73" i="39" s="1"/>
  <c r="G73" i="39" s="1"/>
  <c r="H73" i="39" s="1"/>
  <c r="I73" i="39" s="1"/>
  <c r="J73" i="39" s="1"/>
  <c r="K73" i="39" s="1"/>
  <c r="L73" i="39" s="1"/>
  <c r="M73" i="39" s="1"/>
  <c r="N73" i="39" s="1"/>
  <c r="D73" i="39"/>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F45" i="44"/>
  <c r="F37" i="44"/>
  <c r="F18" i="44"/>
  <c r="F12" i="67"/>
  <c r="E13" i="67"/>
  <c r="M25" i="44"/>
  <c r="M8" i="44"/>
  <c r="M29" i="44"/>
  <c r="E9" i="67"/>
  <c r="F11" i="44"/>
  <c r="B13" i="67"/>
  <c r="F10" i="67"/>
  <c r="F9" i="67"/>
  <c r="E12" i="67"/>
  <c r="B14" i="67"/>
  <c r="F40" i="44"/>
  <c r="M11" i="44"/>
  <c r="E14" i="67"/>
  <c r="E11" i="67"/>
  <c r="E10" i="67"/>
  <c r="B11" i="67"/>
  <c r="F13" i="67"/>
  <c r="E8" i="67"/>
  <c r="F8" i="44"/>
  <c r="M31" i="44"/>
  <c r="F38" i="44"/>
  <c r="M24" i="44"/>
  <c r="C19" i="44"/>
  <c r="B10" i="67"/>
  <c r="L48" i="44"/>
  <c r="F46" i="44"/>
  <c r="L49" i="44"/>
  <c r="F10" i="44"/>
  <c r="M23" i="44"/>
  <c r="F28" i="44"/>
  <c r="B9" i="67"/>
  <c r="J17" i="44"/>
  <c r="F14" i="67"/>
  <c r="M30" i="44"/>
  <c r="F43" i="44"/>
  <c r="F39" i="44"/>
  <c r="M28" i="44"/>
  <c r="F11" i="67"/>
  <c r="F8" i="67"/>
  <c r="M26" i="44"/>
  <c r="B12" i="67"/>
  <c r="F9" i="44"/>
  <c r="B8" i="67"/>
  <c r="F15" i="44"/>
  <c r="M10" i="44"/>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21" i="39"/>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M27" i="70"/>
  <c r="F36" i="70"/>
  <c r="M29" i="70"/>
  <c r="F38" i="70"/>
  <c r="F13" i="70"/>
  <c r="F40" i="70"/>
  <c r="M26" i="70"/>
  <c r="F6" i="70"/>
  <c r="M6" i="70"/>
  <c r="J15" i="70"/>
  <c r="J36" i="70"/>
  <c r="F43" i="70"/>
  <c r="L48" i="70"/>
  <c r="F42" i="70"/>
  <c r="M6" i="15"/>
  <c r="M8" i="15"/>
  <c r="M26" i="15"/>
  <c r="L47" i="15"/>
  <c r="F8" i="15"/>
  <c r="J15" i="15"/>
  <c r="J36" i="15"/>
  <c r="F26" i="15"/>
  <c r="F36" i="15"/>
  <c r="F40" i="15"/>
  <c r="F38" i="15"/>
  <c r="F6" i="15"/>
  <c r="M19" i="44"/>
  <c r="M29" i="15"/>
  <c r="F7" i="15"/>
  <c r="F8" i="70"/>
  <c r="F9" i="70"/>
  <c r="F7" i="70"/>
  <c r="F31" i="70" s="1"/>
  <c r="F37" i="70"/>
  <c r="M23" i="70"/>
  <c r="M8" i="70"/>
  <c r="L47" i="70"/>
  <c r="M28" i="70"/>
  <c r="F26" i="70"/>
  <c r="F16" i="70"/>
  <c r="M9" i="70"/>
  <c r="M22" i="70"/>
  <c r="M24" i="70"/>
  <c r="F33" i="44"/>
  <c r="C18" i="44"/>
  <c r="L48" i="15"/>
  <c r="C10" i="59" l="1"/>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C16" i="70"/>
  <c r="N3" i="65"/>
  <c r="N4" i="65"/>
  <c r="F31" i="15"/>
  <c r="F37" i="15"/>
  <c r="F16" i="15"/>
  <c r="M9" i="15"/>
  <c r="M23" i="15"/>
  <c r="M22" i="15"/>
  <c r="F42" i="15"/>
  <c r="I3" i="65"/>
  <c r="J4" i="65"/>
  <c r="J3" i="65"/>
  <c r="I4" i="65"/>
  <c r="J7" i="65"/>
  <c r="M17" i="70"/>
  <c r="M17" i="15"/>
  <c r="AE8" i="1"/>
  <c r="N7" i="65"/>
  <c r="N5" i="65"/>
  <c r="N6" i="65"/>
  <c r="F43" i="15"/>
  <c r="M24" i="15"/>
  <c r="M28" i="15"/>
  <c r="M27" i="15"/>
  <c r="F13" i="15"/>
  <c r="F9" i="15"/>
  <c r="I6" i="65"/>
  <c r="J5" i="65"/>
  <c r="I5" i="65"/>
  <c r="E2" i="65" s="1"/>
  <c r="I7" i="65"/>
  <c r="J6" i="65"/>
  <c r="F58" i="70"/>
  <c r="F58" i="15"/>
  <c r="B40" i="1" l="1"/>
  <c r="F24" i="70" s="1"/>
  <c r="C6" i="15"/>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C24"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E36" i="36"/>
  <c r="F24" i="15"/>
  <c r="C24" i="15" s="1"/>
  <c r="F26" i="12"/>
  <c r="F21" i="43"/>
  <c r="E3" i="65"/>
  <c r="AE7" i="1"/>
  <c r="F41" i="15"/>
  <c r="C16" i="15"/>
  <c r="F26" i="44" l="1"/>
  <c r="C26" i="44" s="1"/>
  <c r="F17" i="11"/>
  <c r="C17" i="11" s="1"/>
  <c r="C29" i="46"/>
  <c r="C105" i="46"/>
  <c r="C107" i="46"/>
  <c r="C102" i="46"/>
  <c r="C109" i="46"/>
  <c r="F11" i="70"/>
  <c r="F13" i="44"/>
  <c r="C12" i="44" s="1"/>
  <c r="C7" i="44" s="1"/>
  <c r="M13" i="44"/>
  <c r="J12" i="44" s="1"/>
  <c r="J7" i="44" s="1"/>
  <c r="M11" i="70"/>
  <c r="J10" i="70" s="1"/>
  <c r="J5" i="70" s="1"/>
  <c r="F11" i="15"/>
  <c r="M11" i="15"/>
  <c r="J10" i="15" s="1"/>
  <c r="O17" i="46"/>
  <c r="P17" i="46"/>
  <c r="M17" i="46"/>
  <c r="N17" i="46"/>
  <c r="AA12" i="40"/>
  <c r="J5" i="15"/>
  <c r="J26" i="15" s="1"/>
  <c r="J29" i="15" s="1"/>
  <c r="C19" i="11"/>
  <c r="C20" i="11" s="1"/>
  <c r="C21" i="11" s="1"/>
  <c r="C22" i="11" s="1"/>
  <c r="C23" i="11" s="1"/>
  <c r="B2" i="11" s="1"/>
  <c r="B3" i="11" s="1"/>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C27" i="12"/>
  <c r="D26" i="12" s="1"/>
  <c r="C32" i="12" s="1"/>
  <c r="D30" i="12" s="1"/>
  <c r="C23" i="43"/>
  <c r="D21" i="43" s="1"/>
  <c r="F41" i="70"/>
  <c r="M21" i="70"/>
  <c r="C17" i="70"/>
  <c r="F35" i="70"/>
  <c r="C17" i="15"/>
  <c r="J18" i="15" l="1"/>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65" i="70"/>
  <c r="C34" i="70"/>
  <c r="F62" i="70"/>
  <c r="C61" i="70" s="1"/>
  <c r="J20" i="70"/>
  <c r="D27" i="6"/>
  <c r="D31" i="6" s="1"/>
  <c r="I6" i="6" s="1"/>
  <c r="C11" i="34" s="1"/>
  <c r="T48" i="21"/>
  <c r="G48" i="21" s="1"/>
  <c r="G52" i="21" s="1"/>
  <c r="H52" i="21" s="1"/>
  <c r="R22" i="6"/>
  <c r="R43" i="37"/>
  <c r="E42" i="37"/>
  <c r="G53" i="21"/>
  <c r="H53" i="21" s="1"/>
  <c r="G65" i="40"/>
  <c r="F67" i="40"/>
  <c r="R49" i="21"/>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F7" i="67"/>
  <c r="M21" i="15"/>
  <c r="L52" i="44"/>
  <c r="F35" i="15"/>
  <c r="L58" i="44" l="1"/>
  <c r="L61" i="44" s="1"/>
  <c r="Q69" i="44"/>
  <c r="E4" i="67"/>
  <c r="C32" i="70"/>
  <c r="C38" i="70"/>
  <c r="C27" i="46"/>
  <c r="Q67" i="44"/>
  <c r="Q58" i="44"/>
  <c r="Q49" i="44"/>
  <c r="Q55" i="44" s="1"/>
  <c r="C32" i="15"/>
  <c r="C38" i="15"/>
  <c r="C26" i="46"/>
  <c r="C31" i="70"/>
  <c r="H7" i="35"/>
  <c r="U7" i="35" s="1"/>
  <c r="J11" i="34"/>
  <c r="H11" i="34"/>
  <c r="F11" i="34"/>
  <c r="C60" i="70"/>
  <c r="C58" i="70" s="1"/>
  <c r="F62" i="15"/>
  <c r="C61" i="15" s="1"/>
  <c r="C34" i="15"/>
  <c r="J20" i="15"/>
  <c r="E46" i="37"/>
  <c r="F46" i="37" s="1"/>
  <c r="E47" i="37"/>
  <c r="F47" i="37" s="1"/>
  <c r="I70" i="39"/>
  <c r="H72" i="39"/>
  <c r="C48" i="21"/>
  <c r="C49"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E7" i="67"/>
  <c r="C14" i="70"/>
  <c r="C14" i="15"/>
  <c r="C16" i="44"/>
  <c r="E3" i="67" l="1"/>
  <c r="B2" i="46"/>
  <c r="Q68" i="44"/>
  <c r="Q77" i="44" s="1"/>
  <c r="Q59" i="44"/>
  <c r="Q64" i="44" s="1"/>
  <c r="C15" i="70"/>
  <c r="C18" i="70"/>
  <c r="W11" i="34"/>
  <c r="AC11" i="34"/>
  <c r="AB11" i="34"/>
  <c r="U11" i="34"/>
  <c r="AB7" i="35"/>
  <c r="T38" i="35" s="1"/>
  <c r="G38" i="35" s="1"/>
  <c r="S11" i="34"/>
  <c r="AA11" i="34"/>
  <c r="B3" i="21"/>
  <c r="B2" i="21" s="1"/>
  <c r="C8" i="12"/>
  <c r="C10" i="12" s="1"/>
  <c r="C15" i="15"/>
  <c r="C18" i="15"/>
  <c r="C20" i="44"/>
  <c r="C17" i="44"/>
  <c r="I72" i="39"/>
  <c r="J70" i="39"/>
  <c r="C19" i="43"/>
  <c r="C25" i="43" s="1"/>
  <c r="C24" i="43" s="1"/>
  <c r="I65" i="40"/>
  <c r="H67" i="40"/>
  <c r="T16" i="1"/>
  <c r="AC13" i="39"/>
  <c r="W13" i="39"/>
  <c r="AA13" i="39"/>
  <c r="S13" i="39"/>
  <c r="AB13" i="39"/>
  <c r="U13" i="39"/>
  <c r="R19" i="6"/>
  <c r="H27" i="6"/>
  <c r="AC7" i="35"/>
  <c r="V38" i="35" s="1"/>
  <c r="I38" i="35" s="1"/>
  <c r="G43" i="35" s="1"/>
  <c r="H43" i="35" s="1"/>
  <c r="W7" i="35"/>
  <c r="AA7" i="35"/>
  <c r="R38" i="35" s="1"/>
  <c r="S7" i="35"/>
  <c r="L59" i="34"/>
  <c r="G42" i="35"/>
  <c r="H42" i="35" s="1"/>
  <c r="B7" i="67"/>
  <c r="B2" i="67" l="1"/>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C49" i="34"/>
  <c r="B3" i="34" l="1"/>
  <c r="B2" i="34" s="1"/>
  <c r="E10" i="12" s="1"/>
  <c r="C6" i="12" s="1"/>
  <c r="E8" i="12"/>
  <c r="G49" i="40"/>
  <c r="H49" i="40" s="1"/>
  <c r="G48" i="40"/>
  <c r="H48" i="40" s="1"/>
  <c r="C49" i="39"/>
  <c r="C50" i="39"/>
  <c r="R45" i="40"/>
  <c r="E44" i="40"/>
  <c r="I54" i="39"/>
  <c r="J54" i="39" s="1"/>
  <c r="E54" i="39"/>
  <c r="F54" i="39" s="1"/>
  <c r="E53" i="39"/>
  <c r="F53" i="39" s="1"/>
  <c r="C24" i="12" l="1"/>
  <c r="C29" i="12"/>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35" i="12" l="1"/>
  <c r="C33" i="12" s="1"/>
  <c r="C28" i="12"/>
  <c r="C26" i="12" s="1"/>
  <c r="C31" i="12" s="1"/>
  <c r="C30"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36" i="12" l="1"/>
  <c r="B2" i="12" s="1"/>
  <c r="B3" i="12" s="1"/>
  <c r="L43" i="9"/>
  <c r="B5" i="39"/>
  <c r="B4" i="39"/>
  <c r="B3" i="39"/>
  <c r="B3" i="40"/>
  <c r="B5" i="40"/>
  <c r="B4" i="40"/>
  <c r="D19" i="9"/>
  <c r="D20" i="9"/>
  <c r="C21" i="9"/>
  <c r="C20"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F15" i="66" l="1"/>
  <c r="E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<sst xmlns="http://schemas.openxmlformats.org/spreadsheetml/2006/main" count="7691" uniqueCount="3183">
  <si>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</si>
  <si>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</si>
  <si>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</si>
  <si>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</si>
  <si>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</si>
  <si>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</si>
  <si>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</si>
  <si>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</si>
  <si>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</si>
  <si>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</si>
  <si>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</si>
  <si>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</si>
  <si>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</si>
  <si>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</si>
  <si>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</si>
  <si>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</si>
  <si>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</si>
  <si>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</si>
  <si>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</si>
  <si>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</si>
  <si>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</si>
  <si>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</si>
  <si>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</si>
  <si>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</si>
  <si>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</si>
  <si>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</si>
  <si>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</si>
  <si>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</si>
  <si>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</si>
  <si>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</si>
  <si>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</si>
  <si>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</si>
  <si>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</si>
  <si>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</si>
  <si>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</si>
  <si>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</si>
  <si>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</si>
  <si>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</si>
  <si>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</si>
  <si>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</si>
  <si>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</si>
  <si>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</si>
  <si>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</si>
  <si>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</si>
  <si>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</si>
  <si>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</si>
  <si>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</si>
  <si>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</si>
  <si>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</si>
  <si>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</si>
  <si>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</si>
  <si>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</si>
  <si>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</si>
  <si>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</si>
  <si>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</si>
  <si>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</si>
  <si>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</si>
  <si>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</si>
  <si>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</si>
  <si>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</si>
  <si>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</si>
  <si>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</si>
  <si>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</si>
  <si>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</si>
  <si>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</si>
  <si>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</si>
  <si>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</si>
  <si>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</si>
  <si>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</si>
  <si>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</si>
  <si>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</si>
  <si>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</si>
  <si>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</si>
  <si>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</si>
  <si>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</si>
  <si>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</si>
  <si>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</si>
  <si>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</si>
  <si>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</si>
  <si>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</si>
  <si>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</si>
  <si>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</si>
  <si>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</si>
  <si>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</si>
  <si>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</si>
  <si>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</si>
  <si>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</si>
  <si>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</si>
  <si>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</si>
  <si>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</si>
  <si>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</si>
  <si>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</si>
  <si>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</si>
  <si>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</si>
  <si>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</si>
  <si>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</si>
  <si>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</si>
  <si>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</si>
  <si>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</si>
  <si>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</si>
  <si>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</si>
  <si>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</si>
  <si>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</si>
  <si>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</si>
  <si>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</si>
  <si>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</si>
  <si>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</si>
  <si>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</si>
  <si>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</si>
  <si>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</si>
  <si>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</si>
  <si>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</si>
  <si>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</si>
  <si>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</si>
  <si>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</si>
  <si>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</si>
  <si>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</si>
  <si>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</si>
  <si>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</si>
  <si>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</si>
  <si>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</si>
  <si>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</si>
  <si>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</si>
  <si>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</si>
  <si>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</si>
  <si>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</si>
  <si>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</si>
  <si>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</si>
  <si>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</si>
  <si>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</si>
  <si>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</si>
  <si>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</si>
  <si>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</si>
  <si>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</si>
  <si>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</si>
  <si>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</si>
  <si>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</si>
  <si>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</si>
  <si>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</si>
  <si>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</si>
  <si>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</si>
  <si>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</si>
  <si>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</si>
  <si>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</si>
  <si>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</si>
  <si>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</si>
  <si>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</si>
  <si>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</si>
  <si>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</si>
  <si>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</si>
  <si>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</si>
  <si>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</si>
  <si>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</si>
  <si>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</si>
  <si>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</si>
  <si>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</si>
  <si>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</si>
  <si>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</si>
  <si>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</si>
  <si>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</si>
  <si>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</si>
  <si>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</si>
  <si>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</si>
  <si>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</si>
  <si>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</si>
  <si>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</si>
  <si>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</si>
  <si>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</si>
  <si>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</si>
  <si>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</si>
  <si>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</si>
  <si>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</si>
  <si>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</si>
  <si>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</si>
  <si>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</si>
  <si>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</si>
  <si>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</si>
  <si>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</si>
  <si>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</si>
  <si>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</si>
  <si>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</si>
  <si>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</si>
  <si>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</si>
  <si>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</si>
  <si>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</si>
  <si>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</si>
  <si>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</si>
  <si>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</si>
  <si>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</si>
  <si>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</si>
  <si>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</si>
  <si>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</si>
  <si>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</si>
  <si>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</si>
  <si>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</si>
  <si>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</si>
  <si>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</si>
  <si>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</si>
  <si>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</si>
  <si>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</si>
  <si>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</si>
  <si>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</si>
  <si>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</si>
  <si>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</si>
  <si>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</si>
  <si>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</si>
  <si>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</si>
  <si>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</si>
  <si>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</si>
  <si>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</si>
  <si>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</si>
  <si>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</si>
  <si>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</si>
  <si>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</si>
  <si>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</si>
  <si>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</si>
  <si>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</si>
  <si>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</si>
  <si>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</si>
  <si>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</si>
  <si>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</si>
  <si>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</si>
  <si>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</si>
  <si>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</si>
  <si>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</si>
  <si>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</si>
  <si>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</si>
  <si>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</si>
  <si>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</si>
  <si>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</si>
  <si>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</si>
  <si>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</si>
  <si>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</si>
  <si>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</si>
  <si>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</si>
  <si>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</si>
  <si>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</si>
  <si>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</si>
  <si>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</si>
  <si>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</si>
  <si>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</si>
  <si>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</si>
  <si>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</si>
  <si>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</si>
  <si>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</si>
  <si>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</si>
  <si>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</si>
  <si>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</si>
  <si>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</si>
  <si>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</si>
  <si>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</si>
  <si>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</si>
  <si>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</si>
  <si>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</si>
  <si>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</si>
  <si>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</si>
  <si>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</si>
  <si>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</si>
  <si>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</si>
  <si>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</si>
  <si>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</si>
  <si>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</si>
  <si>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</si>
  <si>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</si>
  <si>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</si>
  <si>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</si>
  <si>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</si>
  <si>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</si>
  <si>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</si>
  <si>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</si>
  <si>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</si>
  <si>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</si>
  <si>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</si>
  <si>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</si>
  <si>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</si>
  <si>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</si>
  <si>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</si>
  <si>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</si>
  <si>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</si>
  <si>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</si>
  <si>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</si>
  <si>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</si>
  <si>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</si>
  <si>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</si>
  <si>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</si>
  <si>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</si>
  <si>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</si>
  <si>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</si>
  <si>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</si>
  <si>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</si>
  <si>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</si>
  <si>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</si>
  <si>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</si>
  <si>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</si>
  <si>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</si>
  <si>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</si>
  <si>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</si>
  <si>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</si>
  <si>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</si>
  <si>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</si>
  <si>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</si>
  <si>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</si>
  <si>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</si>
  <si>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</si>
  <si>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</si>
  <si>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</si>
  <si>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</si>
  <si>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</si>
  <si>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</si>
  <si>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</si>
  <si>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</si>
  <si>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</si>
  <si>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</si>
  <si>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</si>
  <si>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</si>
  <si>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</si>
  <si>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</si>
  <si>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</si>
  <si>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</si>
  <si>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</si>
  <si>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</si>
  <si>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</si>
  <si>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</si>
  <si>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</si>
  <si>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</si>
  <si>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</si>
  <si>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</si>
  <si>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</si>
  <si>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</si>
  <si>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</si>
  <si>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</si>
  <si>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</si>
  <si>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</si>
  <si>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</si>
  <si>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</si>
  <si>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</si>
  <si>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</si>
  <si>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</si>
  <si>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</si>
  <si>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</si>
  <si>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</si>
  <si>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</si>
  <si>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</si>
  <si>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</si>
  <si>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</si>
  <si>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</si>
  <si>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</si>
  <si>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</si>
  <si>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</si>
  <si>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</si>
  <si>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</si>
  <si>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</si>
  <si>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</si>
  <si>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</si>
  <si>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</si>
  <si>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</si>
  <si>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</si>
  <si>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</si>
  <si>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</si>
  <si>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</si>
  <si>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</si>
  <si>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</si>
  <si>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</si>
  <si>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</si>
  <si>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</si>
  <si>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</si>
  <si>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</si>
  <si>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</si>
  <si>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</si>
  <si>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</si>
  <si>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</si>
  <si>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</si>
  <si>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</si>
  <si>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</si>
  <si>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</si>
  <si>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</si>
  <si>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</si>
  <si>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</si>
  <si>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</si>
  <si>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</si>
  <si>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</si>
  <si>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</si>
  <si>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</si>
  <si>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</si>
  <si>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</si>
  <si>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</si>
  <si>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</si>
  <si>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</si>
  <si>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</si>
  <si>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</si>
  <si>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</si>
  <si>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</si>
  <si>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</si>
  <si>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</si>
  <si>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</si>
  <si>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</si>
  <si>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</si>
  <si>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</si>
  <si>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</si>
  <si>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</si>
  <si>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</si>
  <si>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</si>
  <si>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</si>
  <si>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</si>
  <si>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</si>
  <si>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</si>
  <si>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</si>
  <si>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</si>
  <si>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</si>
  <si>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</si>
  <si>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</si>
  <si>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</si>
  <si>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</si>
  <si>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</si>
  <si>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</si>
  <si>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</si>
  <si>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</si>
  <si>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</si>
  <si>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</si>
  <si>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</si>
  <si>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</si>
  <si>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</si>
  <si>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</si>
  <si>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</si>
  <si>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</si>
  <si>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</si>
  <si>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</si>
  <si>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</si>
  <si>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</si>
  <si>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</si>
  <si>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</si>
  <si>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</si>
  <si>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</si>
  <si>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</si>
  <si>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</si>
  <si>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</si>
  <si>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</si>
  <si>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</si>
  <si>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</si>
  <si>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</si>
  <si>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</si>
  <si>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</si>
  <si>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</si>
  <si>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</si>
  <si>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</si>
  <si>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</si>
  <si>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</si>
  <si>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</si>
  <si>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</si>
  <si>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</si>
  <si>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</si>
  <si>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</si>
  <si>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</si>
  <si>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</si>
  <si>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</si>
  <si>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</si>
  <si>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</si>
  <si>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</si>
  <si>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</si>
  <si>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</si>
  <si>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</si>
  <si>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</si>
  <si>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</si>
  <si>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</si>
  <si>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</si>
  <si>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</si>
  <si>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</si>
  <si>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</si>
  <si>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</si>
  <si>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</si>
  <si>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</si>
  <si>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</si>
  <si>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</si>
  <si>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</si>
  <si>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</si>
  <si>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</si>
  <si>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</si>
  <si>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</si>
  <si>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</si>
  <si>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</si>
  <si>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</si>
  <si>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</si>
  <si>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</si>
  <si>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</si>
  <si>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</si>
  <si>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</si>
  <si>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</si>
  <si>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</si>
  <si>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</si>
  <si>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</si>
  <si>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</si>
  <si>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</si>
  <si>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</si>
  <si>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</si>
  <si>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</si>
  <si>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</si>
  <si>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</si>
  <si>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</si>
  <si>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</si>
  <si>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</si>
  <si>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</si>
  <si>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</si>
  <si>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</si>
  <si>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</si>
  <si>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</si>
  <si>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</si>
  <si>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</si>
  <si>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</si>
  <si>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</si>
  <si>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</si>
  <si>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</si>
  <si>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</si>
  <si>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</si>
  <si>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</si>
  <si>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</si>
  <si>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</si>
  <si>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</si>
  <si>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</si>
  <si>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</si>
  <si>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</si>
  <si>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</si>
  <si>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</si>
  <si>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</si>
  <si>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</si>
  <si>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</si>
  <si>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</si>
  <si>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</si>
  <si>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</si>
  <si>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</si>
  <si>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</si>
  <si>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</si>
  <si>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</si>
  <si>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</si>
  <si>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</si>
  <si>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</si>
  <si>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</si>
  <si>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</si>
  <si>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</si>
  <si>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</si>
  <si>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</si>
  <si>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</si>
  <si>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</si>
  <si>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</si>
  <si>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</si>
  <si>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</si>
  <si>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</si>
  <si>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</si>
  <si>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</si>
  <si>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</si>
  <si>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</si>
  <si>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</si>
  <si>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</si>
  <si>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</si>
  <si>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</si>
  <si>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</si>
  <si>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</si>
  <si>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</si>
  <si>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</si>
  <si>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</si>
  <si>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</si>
  <si>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</si>
  <si>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</si>
  <si>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</si>
  <si>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</si>
  <si>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</si>
  <si>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</si>
  <si>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</si>
  <si>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</si>
  <si>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</si>
  <si>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</si>
  <si>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</si>
  <si>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</si>
  <si>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</si>
  <si>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</si>
  <si>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</si>
  <si>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</si>
  <si>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</si>
  <si>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</si>
  <si>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</si>
  <si>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</si>
  <si>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</si>
  <si>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</si>
  <si>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</si>
  <si>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</si>
  <si>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</si>
  <si>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</si>
  <si>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</si>
  <si>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</si>
  <si>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</si>
  <si>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</si>
  <si>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</si>
  <si>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</si>
  <si>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</si>
  <si>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</si>
  <si>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</si>
  <si>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</si>
  <si>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</si>
  <si>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</si>
  <si>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</si>
  <si>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</si>
  <si>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</si>
  <si>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</si>
  <si>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</si>
  <si>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</si>
  <si>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</si>
  <si>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</si>
  <si>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</si>
  <si>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</si>
  <si>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</si>
  <si>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</si>
  <si>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</si>
  <si>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</si>
  <si>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</si>
  <si>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</si>
  <si>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</si>
  <si>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</si>
  <si>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</si>
  <si>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</si>
  <si>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</si>
  <si>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</si>
  <si>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</si>
  <si>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</si>
  <si>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</si>
  <si>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</si>
  <si>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</si>
  <si>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</si>
  <si>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</si>
  <si>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</si>
  <si>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</si>
  <si>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</si>
  <si>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</si>
  <si>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</si>
  <si>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</si>
  <si>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</si>
  <si>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</si>
  <si>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</si>
  <si>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</si>
  <si>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</si>
  <si>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</si>
  <si>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</si>
  <si>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</si>
  <si>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</si>
  <si>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</si>
  <si>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</si>
  <si>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</si>
  <si>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</si>
  <si>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</si>
  <si>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</si>
  <si>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</si>
  <si>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</si>
  <si>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</si>
  <si>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</si>
  <si>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</si>
  <si>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</si>
  <si>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</si>
  <si>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</si>
  <si>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</si>
  <si>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</si>
  <si>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</si>
  <si>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</si>
  <si>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</si>
  <si>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</si>
  <si>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</si>
  <si>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</si>
  <si>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</si>
  <si>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</si>
  <si>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</si>
  <si>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</si>
  <si>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</si>
  <si>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</si>
  <si>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</si>
  <si>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</si>
  <si>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</si>
  <si>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</si>
  <si>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</si>
  <si>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</si>
  <si>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</si>
  <si>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</si>
  <si>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</si>
  <si>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</si>
  <si>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</si>
  <si>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</si>
  <si>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</si>
  <si>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</si>
  <si>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</si>
  <si>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</si>
  <si>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</si>
  <si>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</si>
  <si>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</si>
  <si>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</si>
  <si>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</si>
  <si>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</si>
  <si>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</si>
  <si>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</si>
  <si>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</si>
  <si>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</si>
  <si>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</si>
  <si>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</si>
  <si>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</si>
  <si>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</si>
  <si>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</si>
  <si>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</si>
  <si>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</si>
  <si>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</si>
  <si>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</si>
  <si>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</si>
  <si>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</si>
  <si>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</si>
  <si>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</si>
  <si>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</si>
  <si>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</si>
  <si>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</si>
  <si>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</si>
  <si>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</si>
  <si>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</si>
  <si>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</si>
  <si>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</si>
  <si>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</si>
  <si>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</si>
  <si>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</si>
  <si>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</si>
  <si>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</si>
  <si>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</si>
  <si>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</si>
  <si>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</si>
  <si>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</si>
  <si>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</si>
  <si>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</si>
  <si>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</si>
  <si>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</si>
  <si>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</si>
  <si>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</si>
  <si>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</si>
  <si>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</si>
  <si>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</si>
  <si>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</si>
  <si>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</si>
  <si>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</si>
  <si>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</si>
  <si>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</si>
  <si>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</si>
  <si>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</si>
  <si>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</si>
  <si>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</si>
  <si>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</si>
  <si>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</si>
  <si>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</si>
  <si>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</si>
  <si>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</si>
  <si>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</si>
  <si>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</si>
  <si>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</si>
  <si>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</si>
  <si>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</si>
  <si>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</si>
  <si>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</si>
  <si>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</si>
  <si>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</si>
  <si>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</si>
  <si>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</si>
  <si>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</si>
  <si>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</si>
  <si>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</si>
  <si>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</si>
  <si>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</si>
  <si>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</si>
  <si>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</si>
  <si>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</si>
  <si>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</si>
  <si>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</si>
  <si>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</si>
  <si>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</si>
  <si>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</si>
  <si>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</si>
  <si>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</si>
  <si>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</si>
  <si>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</si>
  <si>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</si>
  <si>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</si>
  <si>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</si>
  <si>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</si>
  <si>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</si>
  <si>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</si>
  <si>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</si>
  <si>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</si>
  <si>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</si>
  <si>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</si>
  <si>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</si>
  <si>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</si>
  <si>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</si>
  <si>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</si>
  <si>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</si>
  <si>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</si>
  <si>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</si>
  <si>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</si>
  <si>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</si>
  <si>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</si>
  <si>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</si>
  <si>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</si>
  <si>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</si>
  <si>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</si>
  <si>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</si>
  <si>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</si>
  <si>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</si>
  <si>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</si>
  <si>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</si>
  <si>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</si>
  <si>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</si>
  <si>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</si>
  <si>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</si>
  <si>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</si>
  <si>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</si>
  <si>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</si>
  <si>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</si>
  <si>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</si>
  <si>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</si>
  <si>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</si>
  <si>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</si>
  <si>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</si>
  <si>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</si>
  <si>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</si>
  <si>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</si>
  <si>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</si>
  <si>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</si>
  <si>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</si>
  <si>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</si>
  <si>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</si>
  <si>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</si>
  <si>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</si>
  <si>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</si>
  <si>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</si>
  <si>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</si>
  <si>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</si>
  <si>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</si>
  <si>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</si>
  <si>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</si>
  <si>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</si>
  <si>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</si>
  <si>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</si>
  <si>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</si>
  <si>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</si>
  <si>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</si>
  <si>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</si>
  <si>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</si>
  <si>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</si>
  <si>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</si>
  <si>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</si>
  <si>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</si>
  <si>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</si>
  <si>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</si>
  <si>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</si>
  <si>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</si>
  <si>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</si>
  <si>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</si>
  <si>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</si>
  <si>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</si>
  <si>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</si>
  <si>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</si>
  <si>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</si>
  <si>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</si>
  <si>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</si>
  <si>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</si>
  <si>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</si>
  <si>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</si>
  <si>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</si>
  <si>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</si>
  <si>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</si>
  <si>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</si>
  <si>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</si>
  <si>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</si>
  <si>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</si>
  <si>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</si>
  <si>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</si>
  <si>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</si>
  <si>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</si>
  <si>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</si>
  <si>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</si>
  <si>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</si>
  <si>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</si>
  <si>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</si>
  <si>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</si>
  <si>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</si>
  <si>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</si>
  <si>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</si>
  <si>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</si>
  <si>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</si>
  <si>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</si>
  <si>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</si>
  <si>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</si>
  <si>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</si>
  <si>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</si>
  <si>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</si>
  <si>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</si>
  <si>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</si>
  <si>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</si>
  <si>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</si>
  <si>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</si>
  <si>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</si>
  <si>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</si>
  <si>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</si>
  <si>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</si>
  <si>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</si>
  <si>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</si>
  <si>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</si>
  <si>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</si>
  <si>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</si>
  <si>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</si>
  <si>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</si>
  <si>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</si>
  <si>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</si>
  <si>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</si>
  <si>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</si>
  <si>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</si>
  <si>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</si>
  <si>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</si>
  <si>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</si>
  <si>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</si>
  <si>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</si>
  <si>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</si>
  <si>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</si>
  <si>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</si>
  <si>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</si>
  <si>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</si>
  <si>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</si>
  <si>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</si>
  <si>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</si>
  <si>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</si>
  <si>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</si>
  <si>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</si>
  <si>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</si>
  <si>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</si>
  <si>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</si>
  <si>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</si>
  <si>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</si>
  <si>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</si>
  <si>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</si>
  <si>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</si>
  <si>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</si>
  <si>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</si>
  <si>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</si>
  <si>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</si>
  <si>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</si>
  <si>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</si>
  <si>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</si>
  <si>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</si>
  <si>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</si>
  <si>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</si>
  <si>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</si>
  <si>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</si>
  <si>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</si>
  <si>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</si>
  <si>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</si>
  <si>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</si>
  <si>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</si>
  <si>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</si>
  <si>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</si>
  <si>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</si>
  <si>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</si>
  <si>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</si>
  <si>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</si>
  <si>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</si>
  <si>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</si>
  <si>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</si>
  <si>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</si>
  <si>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</si>
  <si>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</si>
  <si>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</si>
  <si>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</si>
  <si>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</si>
  <si>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</si>
  <si>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</si>
  <si>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</si>
  <si>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</si>
  <si>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</si>
  <si>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</si>
  <si>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</si>
  <si>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</si>
  <si>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</si>
  <si>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</si>
  <si>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</si>
  <si>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</si>
  <si>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</si>
  <si>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</si>
  <si>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</si>
  <si>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</si>
  <si>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</si>
  <si>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</si>
  <si>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</si>
  <si>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</si>
  <si>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</si>
  <si>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</si>
  <si>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</si>
  <si>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</si>
  <si>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</si>
  <si>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</si>
  <si>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</si>
  <si>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</si>
  <si>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</si>
  <si>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</si>
  <si>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</si>
  <si>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</si>
  <si>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</si>
  <si>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</si>
  <si>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</si>
  <si>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</si>
  <si>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</si>
  <si>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</si>
  <si>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</si>
  <si>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</si>
  <si>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</si>
  <si>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</si>
  <si>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</si>
  <si>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</si>
  <si>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</si>
  <si>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</si>
  <si>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</si>
  <si>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</si>
  <si>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</si>
  <si>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</si>
  <si>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</si>
  <si>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</si>
  <si>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</si>
  <si>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</si>
  <si>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</si>
  <si>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</si>
  <si>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</si>
  <si>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</si>
  <si>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</si>
  <si>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</si>
  <si>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</si>
  <si>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</si>
  <si>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</si>
  <si>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</si>
  <si>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</si>
  <si>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</si>
  <si>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</si>
  <si>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</si>
  <si>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</si>
  <si>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</si>
  <si>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</si>
  <si>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</si>
  <si>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</si>
  <si>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</si>
  <si>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</si>
  <si>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</si>
  <si>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</si>
  <si>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</si>
  <si>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</si>
  <si>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</si>
  <si>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</si>
  <si>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</si>
  <si>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</si>
  <si>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</si>
  <si>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</si>
  <si>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</si>
  <si>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</si>
  <si>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</si>
  <si>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</si>
  <si>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</si>
  <si>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</si>
  <si>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</si>
  <si>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</si>
  <si>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</si>
  <si>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</si>
  <si>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</si>
  <si>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</si>
  <si>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</si>
  <si>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</si>
  <si>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</si>
  <si>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</si>
  <si>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</si>
  <si>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</si>
  <si>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</si>
  <si>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</si>
  <si>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</si>
  <si>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</si>
  <si>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</si>
  <si>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</si>
  <si>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</si>
  <si>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</si>
  <si>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</si>
  <si>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</si>
  <si>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</si>
  <si>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</si>
  <si>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</si>
  <si>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</si>
  <si>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</si>
  <si>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</si>
  <si>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</si>
  <si>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</si>
  <si>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</si>
  <si>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</si>
  <si>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</si>
  <si>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</si>
  <si>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</si>
  <si>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</si>
  <si>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</si>
  <si>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</si>
  <si>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</si>
  <si>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</si>
  <si>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</si>
  <si>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</si>
  <si>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</si>
  <si>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</si>
  <si>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</si>
  <si>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</si>
  <si>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</si>
  <si>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</si>
  <si>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</si>
  <si>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</si>
  <si>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</si>
  <si>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</si>
  <si>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</si>
  <si>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</si>
  <si>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</si>
  <si>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</si>
  <si>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</si>
  <si>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</si>
  <si>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</si>
  <si>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</si>
  <si>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</si>
  <si>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</si>
  <si>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</si>
  <si>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</si>
  <si>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</si>
  <si>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</si>
  <si>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</si>
  <si>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</si>
  <si>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</si>
  <si>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</si>
  <si>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</si>
  <si>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</si>
  <si>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</si>
  <si>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</si>
  <si>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</si>
  <si>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</si>
  <si>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</si>
  <si>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</si>
  <si>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</si>
  <si>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</si>
  <si>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</si>
  <si>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</si>
  <si>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</si>
  <si>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</si>
  <si>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</si>
  <si>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</si>
  <si>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</si>
  <si>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</si>
  <si>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</si>
  <si>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</si>
  <si>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</si>
  <si>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</si>
  <si>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</si>
  <si>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</si>
  <si>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</si>
  <si>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</si>
  <si>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</si>
  <si>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</si>
  <si>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</si>
  <si>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</si>
  <si>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</si>
  <si>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</si>
  <si>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</si>
  <si>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</si>
  <si>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</si>
  <si>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</si>
  <si>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</si>
  <si>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</si>
  <si>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</si>
  <si>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</si>
  <si>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</si>
  <si>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</si>
  <si>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</si>
  <si>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</si>
  <si>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</si>
  <si>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</si>
  <si>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</si>
  <si>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</si>
  <si>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</si>
  <si>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</si>
  <si>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</si>
  <si>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</si>
  <si>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</si>
  <si>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</si>
  <si>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</si>
  <si>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</si>
  <si>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</si>
  <si>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</si>
  <si>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</si>
  <si>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</si>
  <si>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</si>
  <si>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</si>
  <si>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</si>
  <si>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</si>
  <si>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</si>
  <si>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</si>
  <si>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</si>
  <si>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</si>
  <si>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</si>
  <si>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</si>
  <si>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</si>
  <si>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</si>
  <si>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</si>
  <si>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</si>
  <si>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</si>
  <si>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</si>
  <si>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</si>
  <si>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</si>
  <si>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</si>
  <si>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</si>
  <si>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</si>
  <si>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</si>
  <si>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</si>
  <si>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</si>
  <si>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</si>
  <si>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</si>
  <si>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</si>
  <si>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</si>
  <si>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</si>
  <si>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</si>
  <si>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</si>
  <si>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</si>
  <si>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</si>
  <si>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</si>
  <si>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</si>
  <si>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</si>
  <si>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</si>
  <si>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</si>
  <si>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</si>
  <si>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</si>
  <si>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</si>
  <si>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</si>
  <si>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</si>
  <si>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</si>
  <si>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</si>
  <si>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</si>
  <si>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</si>
  <si>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</si>
  <si>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</si>
  <si>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</si>
  <si>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</si>
  <si>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</si>
  <si>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</si>
  <si>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</si>
  <si>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</si>
  <si>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</si>
  <si>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</si>
  <si>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</si>
  <si>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</si>
  <si>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</si>
  <si>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</si>
  <si>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</si>
  <si>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</si>
  <si>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</si>
  <si>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</si>
  <si>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</si>
  <si>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</si>
  <si>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</si>
  <si>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</si>
  <si>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</si>
  <si>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</si>
  <si>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</si>
  <si>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</si>
  <si>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</si>
  <si>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</si>
  <si>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</si>
  <si>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</si>
  <si>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</si>
  <si>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</si>
  <si>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</si>
  <si>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</si>
  <si>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</si>
  <si>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</si>
  <si>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</si>
  <si>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</si>
  <si>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</si>
  <si>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</si>
  <si>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</si>
  <si>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</si>
  <si>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</si>
  <si>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</si>
  <si>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</si>
  <si>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</si>
  <si>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</si>
  <si>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</si>
  <si>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</si>
  <si>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</si>
  <si>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</si>
  <si>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</si>
  <si>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</si>
  <si>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</si>
  <si>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</si>
  <si>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</si>
  <si>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</si>
  <si>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</si>
  <si>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</si>
  <si>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</si>
  <si>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</si>
  <si>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</si>
  <si>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</si>
  <si>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</si>
  <si>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</si>
  <si>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</si>
  <si>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</si>
  <si>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</si>
  <si>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</si>
  <si>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</si>
  <si>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</si>
  <si>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</si>
  <si>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</si>
  <si>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</si>
  <si>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</si>
  <si>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</si>
  <si>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</si>
  <si>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</si>
  <si>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</si>
  <si>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</si>
  <si>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</si>
  <si>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</si>
  <si>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</si>
  <si>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</si>
  <si>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</si>
  <si>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</si>
  <si>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</si>
  <si>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</si>
  <si>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</si>
  <si>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</si>
  <si>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</si>
  <si>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</si>
  <si>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</si>
  <si>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</si>
  <si>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</si>
  <si>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</si>
  <si>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</si>
  <si>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</si>
  <si>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</si>
  <si>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</si>
  <si>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</si>
  <si>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</si>
  <si>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</si>
  <si>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</si>
  <si>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</si>
  <si>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</si>
  <si>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</si>
  <si>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</si>
  <si>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</si>
  <si>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</si>
  <si>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</si>
  <si>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</si>
  <si>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</si>
  <si>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</si>
  <si>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</si>
  <si>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</si>
  <si>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</si>
  <si>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</si>
  <si>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</si>
  <si>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</si>
  <si>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</si>
  <si>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</si>
  <si>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</si>
  <si>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</si>
  <si>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</si>
  <si>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</si>
  <si>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</si>
  <si>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</si>
  <si>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</si>
  <si>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</si>
  <si>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</si>
  <si>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</si>
  <si>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</si>
  <si>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</si>
  <si>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</si>
  <si>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</si>
  <si>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</si>
  <si>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</si>
  <si>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</si>
  <si>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</si>
  <si>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</si>
  <si>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</si>
  <si>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</si>
  <si>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</si>
  <si>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</si>
  <si>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</si>
  <si>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</si>
  <si>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</si>
  <si>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</si>
  <si>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</si>
  <si>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</si>
  <si>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</si>
  <si>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</si>
  <si>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</si>
  <si>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</si>
  <si>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</si>
  <si>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</si>
  <si>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</si>
  <si>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</si>
  <si>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</si>
  <si>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</si>
  <si>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</si>
  <si>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</si>
  <si>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</si>
  <si>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</si>
  <si>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</si>
  <si>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</si>
  <si>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</si>
  <si>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</si>
  <si>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</si>
  <si>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</si>
  <si>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</si>
  <si>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</si>
  <si>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</si>
  <si>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</si>
  <si>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</si>
  <si>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</si>
  <si>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</si>
  <si>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</si>
  <si>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</si>
  <si>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</si>
  <si>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</si>
  <si>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</si>
  <si>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</si>
  <si>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</si>
  <si>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</si>
  <si>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</si>
  <si>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</si>
  <si>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</si>
  <si>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</si>
  <si>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</si>
  <si>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</si>
  <si>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</si>
  <si>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</si>
  <si>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</si>
  <si>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</si>
  <si>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</si>
  <si>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</si>
  <si>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</si>
  <si>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</si>
  <si>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</si>
  <si>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</si>
  <si>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</si>
  <si>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</si>
  <si>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</si>
  <si>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</si>
  <si>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</si>
  <si>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</si>
  <si>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</si>
  <si>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</si>
  <si>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</si>
  <si>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</si>
  <si>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</si>
  <si>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</si>
  <si>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</si>
  <si>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</si>
  <si>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</si>
  <si>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</si>
  <si>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</si>
  <si>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</si>
  <si>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</si>
  <si>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</si>
  <si>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</si>
  <si>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</si>
  <si>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</si>
  <si>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</si>
  <si>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</si>
  <si>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</si>
  <si>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</si>
  <si>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</si>
  <si>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</si>
  <si>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</si>
  <si>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</si>
  <si>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</si>
  <si>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</si>
  <si>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</si>
  <si>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</si>
  <si>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</si>
  <si>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</si>
  <si>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</si>
  <si>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</si>
  <si>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</si>
  <si>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</si>
  <si>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</si>
  <si>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</si>
  <si>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</si>
  <si>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</si>
  <si>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</si>
  <si>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</si>
  <si>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</si>
  <si>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</si>
  <si>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</si>
  <si>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</si>
  <si>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</si>
  <si>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</si>
  <si>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</si>
  <si>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</si>
  <si>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</si>
  <si>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</si>
  <si>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</si>
  <si>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</si>
  <si>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</si>
  <si>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</si>
  <si>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</si>
  <si>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</si>
  <si>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</si>
  <si>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</si>
  <si>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</si>
  <si>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</si>
  <si>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</si>
  <si>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</si>
  <si>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</si>
  <si>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</si>
  <si>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</si>
  <si>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</si>
  <si>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</si>
  <si>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</si>
  <si>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</si>
  <si>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</si>
  <si>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</si>
  <si>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</si>
  <si>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</si>
  <si>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</si>
  <si>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</si>
  <si>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</si>
  <si>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</si>
  <si>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</si>
  <si>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</si>
  <si>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</si>
  <si>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</si>
  <si>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</si>
  <si>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</si>
  <si>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</si>
  <si>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</si>
  <si>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</si>
  <si>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</si>
  <si>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</si>
  <si>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</si>
  <si>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</si>
  <si>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</si>
  <si>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</si>
  <si>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</si>
  <si>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</si>
  <si>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</si>
  <si>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</si>
  <si>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</si>
  <si>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</si>
  <si>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</si>
  <si>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</si>
  <si>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</si>
  <si>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</si>
  <si>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</si>
  <si>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</si>
  <si>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</si>
  <si>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</si>
  <si>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</si>
  <si>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</si>
  <si>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</si>
  <si>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</si>
  <si>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</si>
  <si>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</si>
  <si>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</si>
  <si>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</si>
  <si>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</si>
  <si>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</si>
  <si>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</si>
  <si>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</si>
  <si>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</si>
  <si>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</si>
  <si>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</si>
  <si>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</si>
  <si>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</si>
  <si>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</si>
  <si>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</si>
  <si>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</si>
  <si>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</si>
  <si>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</si>
  <si>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</si>
  <si>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</si>
  <si>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</si>
  <si>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</si>
  <si>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</si>
  <si>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</si>
  <si>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</si>
  <si>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</si>
  <si>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</si>
  <si>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</si>
  <si>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</si>
  <si>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</si>
  <si>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</si>
  <si>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</si>
  <si>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</si>
  <si>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</si>
  <si>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</si>
  <si>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</si>
  <si>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</si>
  <si>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</si>
  <si>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</si>
  <si>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</si>
  <si>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</si>
  <si>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</si>
  <si>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</si>
  <si>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</si>
  <si>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</si>
  <si>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</si>
  <si>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</si>
  <si>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</si>
  <si>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</si>
  <si>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</si>
  <si>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</si>
  <si>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</si>
  <si>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</si>
  <si>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</si>
  <si>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</si>
  <si>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</si>
  <si>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</si>
  <si>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</si>
  <si>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</si>
  <si>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</si>
  <si>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</si>
  <si>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</si>
  <si>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</si>
  <si>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</si>
  <si>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</si>
  <si>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</si>
  <si>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</si>
  <si>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</si>
  <si>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</si>
  <si>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</si>
  <si>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</si>
  <si>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</si>
  <si>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</si>
  <si>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</si>
  <si>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</si>
  <si>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</si>
  <si>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</si>
  <si>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</si>
  <si>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</si>
  <si>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</si>
  <si>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</si>
  <si>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</si>
  <si>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</si>
  <si>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</si>
  <si>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</si>
  <si>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</si>
  <si>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</si>
  <si>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</si>
  <si>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</si>
  <si>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</si>
  <si>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</si>
  <si>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</si>
  <si>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</si>
  <si>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</si>
  <si>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</si>
  <si>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</si>
  <si>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</si>
  <si>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</si>
  <si>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</si>
  <si>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</si>
  <si>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</si>
  <si>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</si>
  <si>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</si>
  <si>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</si>
  <si>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</si>
  <si>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</si>
  <si>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</si>
  <si>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</si>
  <si>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</si>
  <si>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</si>
  <si>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</si>
  <si>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</si>
  <si>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</si>
  <si>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</si>
  <si>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</si>
  <si>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</si>
  <si>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</si>
  <si>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</si>
  <si>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</si>
  <si>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</si>
  <si>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</si>
  <si>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</si>
  <si>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</si>
  <si>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</si>
  <si>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</si>
  <si>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</si>
  <si>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</si>
  <si>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</si>
  <si>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</si>
  <si>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</si>
  <si>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</si>
  <si>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</si>
  <si>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</si>
  <si>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</si>
  <si>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</si>
  <si>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</si>
  <si>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</si>
  <si>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</si>
  <si>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</si>
  <si>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</si>
  <si>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</si>
  <si>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</si>
  <si>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</si>
  <si>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</si>
  <si>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</si>
  <si>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</si>
  <si>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</si>
  <si>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</si>
  <si>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</si>
  <si>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</si>
  <si>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</si>
  <si>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</si>
  <si>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</si>
  <si>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</si>
  <si>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</si>
  <si>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</si>
  <si>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</si>
  <si>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</si>
  <si>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</si>
  <si>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</si>
  <si>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</si>
  <si>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</si>
  <si>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</si>
  <si>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</si>
  <si>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</si>
  <si>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</si>
  <si>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</si>
  <si>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</si>
  <si>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</si>
  <si>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</si>
  <si>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</si>
  <si>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</si>
  <si>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</si>
  <si>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</si>
  <si>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</si>
  <si>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</si>
  <si>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</si>
  <si>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</si>
  <si>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</si>
  <si>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</si>
  <si>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</si>
  <si>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</si>
  <si>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</si>
  <si>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</si>
  <si>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</si>
  <si>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</si>
  <si>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</si>
  <si>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</si>
  <si>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</si>
  <si>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</si>
  <si>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</si>
  <si>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</si>
  <si>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</si>
  <si>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</si>
  <si>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</si>
  <si>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</si>
  <si>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</si>
  <si>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</si>
  <si>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</si>
  <si>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</si>
  <si>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</si>
  <si>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</si>
  <si>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</si>
  <si>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</si>
  <si>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</si>
  <si>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</si>
  <si>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</si>
  <si>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</si>
  <si>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</si>
  <si>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</si>
  <si>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</si>
  <si>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</si>
  <si>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</si>
  <si>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</si>
  <si>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</si>
  <si>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</si>
  <si>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</si>
  <si>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</si>
  <si>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</si>
  <si>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</si>
  <si>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</si>
  <si>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</si>
  <si>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</si>
  <si>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</si>
  <si>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</si>
  <si>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</si>
  <si>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</si>
  <si>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</si>
  <si>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</si>
  <si>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</si>
  <si>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</si>
  <si>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</si>
  <si>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</si>
  <si>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</si>
  <si>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</si>
  <si>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</si>
  <si>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</si>
  <si>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</si>
  <si>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</si>
  <si>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</si>
  <si>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</si>
  <si>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</si>
  <si>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</si>
  <si>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</si>
  <si>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</si>
  <si>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</si>
  <si>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</si>
  <si>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</si>
  <si>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</si>
  <si>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</si>
  <si>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</si>
  <si>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</si>
  <si>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</si>
  <si>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</si>
  <si>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</si>
  <si>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</si>
  <si>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</si>
  <si>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</si>
  <si>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</si>
  <si>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</si>
  <si>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</si>
  <si>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</si>
  <si>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</si>
  <si>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</si>
  <si>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</si>
  <si>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</si>
  <si>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</si>
  <si>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</si>
  <si>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</si>
  <si>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</si>
  <si>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</si>
  <si>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</si>
  <si>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</si>
  <si>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</si>
  <si>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</si>
  <si>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</si>
  <si>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</si>
  <si>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</si>
  <si>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</si>
  <si>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</si>
  <si>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</si>
  <si>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</si>
  <si>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</si>
  <si>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</si>
  <si>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</si>
  <si>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</si>
  <si>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</si>
  <si>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</si>
  <si>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</si>
  <si>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</si>
  <si>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</si>
  <si>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</si>
  <si>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</si>
  <si>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</si>
  <si>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</si>
  <si>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</si>
  <si>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</si>
  <si>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</si>
  <si>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</si>
  <si>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</si>
  <si>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</si>
  <si>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</si>
  <si>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</si>
  <si>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</si>
  <si>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</si>
  <si>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</si>
  <si>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</si>
  <si>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</si>
  <si>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</si>
  <si>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</si>
  <si>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</si>
  <si>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</si>
  <si>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</si>
  <si>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</si>
  <si>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</si>
  <si>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</si>
  <si>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</si>
  <si>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</si>
  <si>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</si>
  <si>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</si>
  <si>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</si>
  <si>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</si>
  <si>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</si>
  <si>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</si>
  <si>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</si>
  <si>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</si>
  <si>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</si>
  <si>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</si>
  <si>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</si>
  <si>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</si>
  <si>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</si>
  <si>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</si>
  <si>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</si>
  <si>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</si>
  <si>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</si>
  <si>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</si>
  <si>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</si>
  <si>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</si>
  <si>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</si>
  <si>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</si>
  <si>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</si>
  <si>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</si>
  <si>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</si>
  <si>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</si>
  <si>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</si>
  <si>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</si>
  <si>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</si>
  <si>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</si>
  <si>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</si>
  <si>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</si>
  <si>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</si>
  <si>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</si>
  <si>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</si>
  <si>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</si>
  <si>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</si>
  <si>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</si>
  <si>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</si>
  <si>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</si>
  <si>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</si>
  <si>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</si>
  <si>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</si>
  <si>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</si>
  <si>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</si>
  <si>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</si>
  <si>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</si>
  <si>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</si>
  <si>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</si>
  <si>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</si>
  <si>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</si>
  <si>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</si>
  <si>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</si>
  <si>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</si>
  <si>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</si>
  <si>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</si>
  <si>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</si>
  <si>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</si>
  <si>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</si>
  <si>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</si>
  <si>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</si>
  <si>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</si>
  <si>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</si>
  <si>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</si>
  <si>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</si>
  <si>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</si>
  <si>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</si>
  <si>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</si>
  <si>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</si>
  <si>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</si>
  <si>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</si>
  <si>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</si>
  <si>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</si>
  <si>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</si>
  <si>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</si>
  <si>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</si>
  <si>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</si>
  <si>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</si>
  <si>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</si>
  <si>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</si>
  <si>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</si>
  <si>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</si>
  <si>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</si>
  <si>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</si>
  <si>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</si>
  <si>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</si>
  <si>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</si>
  <si>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</si>
  <si>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</si>
  <si>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</si>
  <si>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</si>
  <si>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</si>
  <si>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</si>
  <si>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</si>
  <si>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</si>
  <si>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</si>
  <si>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</si>
  <si>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</si>
  <si>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</si>
  <si>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</si>
  <si>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</si>
  <si>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</si>
  <si>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</si>
  <si>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</si>
  <si>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</si>
  <si>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</si>
  <si>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</si>
  <si>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</si>
  <si>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</si>
  <si>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</si>
  <si>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</si>
  <si>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</si>
  <si>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</si>
  <si>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</si>
  <si>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</si>
  <si>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</si>
  <si>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</si>
  <si>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</si>
  <si>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</si>
  <si>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</si>
  <si>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</si>
  <si>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</si>
  <si>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</si>
  <si>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</si>
  <si>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</si>
  <si>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</si>
  <si>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</si>
  <si>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</si>
  <si>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</si>
  <si>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</si>
  <si>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</si>
  <si>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</si>
  <si>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</si>
  <si>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</si>
  <si>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</si>
  <si>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</si>
  <si>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</si>
  <si>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</si>
  <si>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</si>
  <si>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</si>
  <si>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</si>
  <si>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</si>
  <si>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</si>
  <si>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</si>
  <si>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</si>
  <si>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</si>
  <si>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</si>
  <si>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</si>
  <si>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</si>
  <si>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</si>
  <si>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</si>
  <si>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</si>
  <si>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</si>
  <si>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</si>
  <si>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</si>
  <si>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</si>
  <si>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</si>
  <si>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</si>
  <si>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</si>
  <si>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</si>
  <si>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</si>
  <si>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</si>
  <si>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</si>
  <si>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</si>
  <si>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</si>
  <si>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</si>
  <si>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</si>
  <si>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</si>
  <si>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</si>
  <si>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</si>
  <si>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</si>
  <si>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</si>
  <si>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</si>
  <si>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</si>
  <si>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</si>
  <si>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</si>
  <si>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</si>
  <si>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</si>
  <si>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</si>
  <si>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</si>
  <si>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</si>
  <si>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</si>
  <si>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</si>
  <si>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</si>
  <si>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</si>
  <si>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</si>
  <si>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</si>
  <si>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</si>
  <si>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</si>
  <si>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</si>
  <si>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</si>
  <si>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</si>
  <si>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</si>
  <si>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</si>
  <si>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</si>
  <si>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</si>
  <si>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</si>
  <si>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</si>
  <si>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</si>
  <si>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</si>
  <si>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</si>
  <si>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</si>
  <si>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</si>
  <si>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</si>
  <si>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</si>
  <si>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</si>
  <si>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</si>
  <si>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</si>
  <si>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</si>
  <si>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</si>
  <si>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</si>
  <si>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</si>
  <si>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</si>
  <si>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</si>
  <si>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</si>
  <si>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</si>
  <si>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</si>
  <si>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</si>
  <si>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</si>
  <si>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</si>
  <si>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</si>
  <si>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</si>
  <si>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</si>
  <si>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</si>
  <si>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</si>
  <si>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</si>
  <si>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</si>
  <si>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</si>
  <si>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</si>
  <si>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</si>
  <si>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</si>
  <si>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</si>
  <si>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</si>
  <si>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</si>
  <si>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</si>
  <si>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</si>
  <si>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</si>
  <si>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</si>
  <si>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</si>
  <si>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</si>
  <si>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</si>
  <si>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</si>
  <si>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</si>
  <si>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</si>
  <si>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</si>
  <si>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</si>
  <si>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</si>
  <si>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</si>
  <si>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</si>
  <si>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</si>
  <si>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</si>
  <si>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</si>
  <si>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</si>
  <si>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</si>
  <si>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</si>
  <si>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</si>
  <si>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</si>
  <si>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</si>
  <si>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</si>
  <si>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</si>
  <si>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</si>
  <si>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</si>
  <si>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</si>
  <si>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</si>
  <si>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</si>
  <si>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</si>
  <si>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</si>
  <si>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</si>
  <si>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</si>
  <si>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</si>
  <si>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</si>
  <si>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</si>
  <si>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</si>
  <si>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</si>
  <si>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</si>
  <si>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</si>
  <si>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</si>
  <si>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</si>
  <si>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</si>
  <si>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</si>
  <si>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</si>
  <si>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</si>
  <si>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</si>
  <si>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</si>
  <si>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</si>
  <si>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</si>
  <si>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</si>
  <si>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</si>
  <si>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</si>
  <si>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</si>
  <si>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</si>
  <si>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</si>
  <si>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</si>
  <si>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</si>
  <si>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</si>
  <si>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</si>
  <si>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</si>
  <si>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</si>
  <si>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</si>
  <si>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</si>
  <si>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</si>
  <si>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</si>
  <si>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</si>
  <si>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</si>
  <si>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</si>
  <si>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</si>
  <si>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</si>
  <si>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</si>
  <si>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</si>
  <si>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</si>
  <si>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</si>
  <si>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</si>
  <si>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</si>
  <si>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</si>
  <si>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</si>
  <si>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</si>
  <si>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</si>
  <si>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</si>
  <si>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</si>
  <si>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</si>
  <si>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</si>
  <si>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</si>
  <si>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</si>
  <si>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</si>
  <si>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</si>
  <si>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</si>
  <si>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</si>
  <si>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</si>
  <si>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</si>
  <si>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</si>
  <si>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</si>
  <si>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</si>
  <si>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</si>
  <si>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</si>
  <si>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</si>
  <si>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</si>
  <si>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</si>
  <si>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</si>
  <si>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</si>
  <si>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</si>
  <si>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</si>
  <si>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</si>
  <si>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</si>
  <si>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</si>
  <si>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</si>
  <si>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</si>
  <si>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</si>
  <si>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</si>
  <si>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</si>
  <si>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</si>
  <si>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</si>
  <si>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</si>
  <si>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</si>
  <si>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</si>
  <si>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</si>
  <si>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</si>
  <si>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</si>
  <si>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</si>
  <si>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</si>
  <si>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</si>
  <si>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</si>
  <si>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</si>
  <si>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</si>
  <si>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</si>
  <si>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</si>
  <si>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</si>
  <si>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</si>
  <si>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</si>
  <si>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</si>
  <si>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</si>
  <si>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</si>
  <si>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</si>
  <si>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</si>
  <si>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</si>
  <si>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</si>
  <si>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</si>
  <si>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</si>
  <si>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</si>
  <si>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</si>
  <si>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</si>
  <si>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</si>
  <si>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</si>
  <si>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</si>
  <si>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</si>
  <si>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</si>
  <si>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</si>
  <si>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</si>
  <si>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</si>
  <si>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</si>
  <si>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</si>
  <si>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</si>
  <si>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</si>
  <si>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</si>
  <si>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</si>
  <si>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</si>
  <si>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</si>
  <si>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</si>
  <si>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</si>
  <si>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</si>
  <si>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</si>
  <si>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</si>
  <si>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</si>
  <si>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</si>
  <si>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</si>
  <si>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</si>
  <si>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</si>
  <si>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</si>
  <si>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</si>
  <si>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</si>
  <si>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</si>
  <si>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</si>
  <si>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</si>
  <si>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</si>
  <si>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</si>
  <si>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</si>
  <si>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</si>
  <si>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</si>
  <si>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</si>
  <si>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</si>
  <si>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</si>
  <si>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</si>
  <si>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</si>
  <si>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</si>
  <si>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</si>
  <si>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</si>
  <si>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</si>
  <si>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</si>
  <si>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</si>
  <si>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</si>
  <si>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</si>
  <si>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</si>
  <si>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</si>
  <si>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</si>
  <si>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</si>
  <si>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</si>
  <si>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</si>
  <si>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</si>
  <si>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</si>
  <si>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</si>
  <si>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</si>
  <si>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</si>
  <si>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</si>
  <si>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</si>
  <si>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</si>
  <si>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</si>
  <si>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</si>
  <si>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</si>
  <si>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</si>
  <si>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</si>
  <si>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</si>
  <si>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</si>
  <si>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</si>
  <si>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</si>
  <si>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</si>
  <si>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</si>
  <si>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</si>
  <si>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</si>
  <si>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</si>
  <si>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</si>
  <si>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</si>
  <si>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</si>
  <si>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</si>
  <si>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</si>
  <si>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</si>
  <si>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</si>
  <si>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</si>
  <si>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</si>
  <si>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</si>
  <si>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</si>
  <si>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</si>
  <si>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</si>
  <si>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</si>
  <si>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</si>
  <si>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</si>
  <si>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</si>
  <si>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</si>
  <si>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</si>
  <si>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</si>
  <si>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</si>
  <si>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</si>
  <si>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</si>
  <si>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</si>
  <si>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</si>
  <si>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</si>
  <si>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</si>
  <si>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</si>
  <si>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</si>
  <si>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</si>
  <si>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</si>
  <si>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</si>
  <si>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</si>
  <si>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</si>
  <si>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</si>
  <si>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</si>
  <si>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</si>
  <si>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</si>
  <si>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</si>
  <si>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</si>
  <si>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</si>
  <si>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</si>
  <si>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</si>
  <si>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</si>
  <si>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</si>
  <si>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</si>
  <si>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</si>
  <si>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</si>
  <si>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</si>
  <si>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</si>
  <si>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</si>
  <si>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</si>
  <si>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</si>
  <si>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</si>
  <si>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</si>
  <si>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</si>
  <si>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</si>
  <si>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</si>
  <si>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</si>
  <si>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</si>
  <si>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</si>
  <si>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</si>
  <si>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</si>
  <si>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</si>
  <si>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</si>
  <si>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</si>
  <si>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</si>
  <si>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</si>
  <si>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</si>
  <si>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</si>
  <si>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</si>
  <si>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</si>
  <si>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</si>
  <si>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</si>
  <si>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</si>
  <si>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</si>
  <si>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</si>
  <si>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</si>
  <si>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</si>
  <si>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</si>
  <si>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</si>
  <si>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</si>
  <si>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</si>
  <si>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</si>
  <si>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</si>
  <si>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</si>
  <si>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</si>
  <si>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</si>
  <si>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</si>
  <si>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</si>
  <si>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</si>
  <si>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</si>
  <si>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</si>
  <si>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</si>
  <si>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</si>
  <si>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</si>
  <si>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</si>
  <si>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</si>
  <si>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</si>
  <si>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</si>
  <si>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</si>
  <si>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</si>
  <si>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</si>
  <si>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</si>
  <si>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</si>
  <si>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</si>
  <si>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</si>
  <si>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</si>
  <si>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</si>
  <si>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</si>
  <si>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</si>
  <si>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</si>
  <si>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</si>
  <si>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</si>
  <si>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</si>
  <si>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</si>
  <si>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</si>
  <si>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</si>
  <si>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</si>
  <si>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</si>
  <si>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</si>
  <si>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</si>
  <si>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</si>
  <si>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</si>
  <si>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</si>
  <si>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</si>
  <si>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</si>
  <si>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</si>
  <si>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</si>
  <si>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</si>
  <si>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</si>
  <si>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</si>
  <si>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</si>
  <si>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</si>
  <si>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</si>
  <si>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</si>
  <si>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</si>
  <si>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</si>
  <si>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</si>
  <si>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</si>
  <si>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</si>
  <si>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</si>
  <si>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</si>
  <si>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</si>
  <si>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</si>
  <si>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</si>
  <si>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</si>
  <si>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</si>
  <si>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</si>
  <si>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</si>
  <si>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</si>
  <si>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</si>
  <si>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</si>
  <si>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</si>
  <si>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</si>
  <si>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</si>
  <si>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</si>
  <si>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</si>
  <si>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</si>
  <si>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</si>
  <si>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</si>
  <si>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</si>
  <si>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</si>
  <si>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</si>
  <si>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</si>
  <si>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</si>
  <si>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</si>
  <si>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</si>
  <si>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</si>
  <si>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</si>
  <si>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</si>
  <si>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</si>
  <si>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</si>
  <si>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</si>
  <si>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</si>
  <si>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</si>
  <si>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</si>
  <si>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</si>
  <si>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</si>
  <si>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</si>
  <si>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</si>
  <si>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</si>
  <si>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</si>
  <si>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</si>
  <si>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</si>
  <si>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</si>
  <si>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</si>
  <si>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</si>
  <si>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</si>
  <si>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</si>
  <si>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</si>
  <si>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</si>
  <si>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</si>
  <si>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</si>
  <si>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</si>
  <si>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</si>
  <si>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</si>
  <si>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</si>
  <si>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</si>
  <si>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</si>
  <si>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</si>
  <si>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</si>
  <si>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</si>
  <si>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</si>
  <si>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</si>
  <si>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</si>
  <si>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</si>
  <si>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</si>
  <si>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</si>
  <si>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</si>
  <si>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</si>
  <si>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</si>
  <si>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</si>
  <si>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</si>
  <si>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</si>
  <si>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</si>
  <si>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</si>
  <si>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</si>
  <si>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</si>
  <si>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</si>
  <si>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</si>
  <si>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</si>
  <si>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</si>
  <si>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</si>
  <si>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</si>
  <si>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</si>
  <si>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</si>
  <si>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</si>
  <si>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</si>
  <si>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</si>
  <si>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</si>
  <si>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</si>
  <si>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</si>
  <si>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</si>
  <si>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</si>
  <si>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</si>
  <si>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</si>
  <si>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</si>
  <si>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</si>
  <si>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</si>
  <si>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</si>
  <si>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</si>
  <si>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</si>
  <si>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</si>
  <si>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</si>
  <si>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</si>
  <si>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</si>
  <si>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</si>
  <si>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</si>
  <si>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</si>
  <si>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</si>
  <si>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</si>
  <si>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</si>
  <si>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</si>
  <si>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</si>
  <si>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</si>
  <si>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</si>
  <si>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</si>
  <si>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</si>
  <si>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</si>
  <si>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</si>
  <si>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</si>
  <si>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</si>
  <si>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</si>
  <si>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</si>
  <si>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</si>
  <si>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</si>
  <si>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</si>
  <si>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</si>
  <si>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</si>
  <si>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</si>
  <si>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</si>
  <si>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</si>
  <si>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</si>
  <si>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</si>
  <si>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</si>
  <si>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</si>
  <si>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</si>
  <si>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</si>
  <si>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</si>
  <si>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</si>
  <si>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</si>
  <si>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</si>
  <si>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</si>
  <si>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</si>
  <si>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</si>
  <si>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</si>
  <si>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</si>
  <si>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</si>
  <si>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</si>
  <si>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</si>
  <si>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</si>
  <si>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</si>
  <si>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</si>
  <si>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</si>
  <si>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</si>
  <si>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</si>
  <si>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</si>
  <si>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</si>
  <si>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</si>
  <si>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</si>
  <si>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</si>
  <si>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</si>
  <si>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</si>
  <si>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</si>
  <si>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</si>
  <si>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</si>
  <si>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</si>
  <si>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</si>
  <si>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</si>
  <si>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</si>
  <si>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</si>
  <si>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</si>
  <si>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</si>
  <si>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</si>
  <si>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</si>
  <si>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</si>
  <si>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</si>
  <si>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</si>
  <si>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</si>
  <si>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</si>
  <si>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</si>
  <si>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</si>
  <si>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</si>
  <si>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</si>
  <si>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</si>
  <si>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</si>
  <si>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</si>
  <si>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</si>
  <si>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</si>
  <si>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</si>
  <si>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</si>
  <si>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</si>
  <si>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</si>
  <si>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</si>
  <si>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</si>
  <si>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</si>
  <si>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</si>
  <si>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</si>
  <si>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</si>
  <si>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</si>
  <si>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</si>
  <si>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</si>
  <si>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</si>
  <si>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</si>
  <si>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</si>
  <si>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</si>
  <si>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</si>
  <si>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</si>
  <si>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</si>
  <si>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</si>
  <si>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</si>
  <si>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</si>
  <si>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</si>
  <si>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</si>
  <si>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</si>
  <si>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</si>
  <si>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</si>
  <si>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</si>
  <si>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</si>
  <si>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</si>
  <si>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</si>
  <si>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</si>
  <si>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</si>
  <si>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</si>
  <si>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</si>
  <si>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</si>
  <si>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</si>
  <si>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</si>
  <si>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</si>
  <si>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</si>
  <si>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</si>
  <si>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</si>
  <si>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</si>
  <si>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</si>
  <si>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</si>
  <si>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</si>
  <si>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</si>
  <si>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</si>
  <si>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</si>
  <si>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</si>
  <si>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</si>
  <si>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</si>
  <si>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</si>
  <si>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</si>
  <si>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</si>
  <si>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</si>
  <si>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</si>
  <si>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</si>
  <si>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</si>
  <si>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</si>
  <si>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</si>
  <si>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</si>
  <si>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</si>
  <si>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</si>
  <si>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</si>
  <si>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</si>
  <si>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</si>
  <si>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</si>
  <si>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</si>
  <si>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</si>
  <si>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</si>
  <si>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</si>
  <si>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</si>
  <si>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</si>
  <si>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</si>
  <si>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</si>
  <si>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</si>
  <si>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</si>
  <si>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</si>
  <si>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</si>
  <si>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</si>
  <si>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</si>
  <si>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</si>
  <si>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</si>
  <si>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</si>
  <si>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</si>
  <si>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</si>
  <si>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</si>
  <si>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</si>
  <si>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</si>
  <si>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</si>
  <si>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</si>
  <si>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</si>
  <si>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</si>
  <si>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</si>
  <si>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</si>
  <si>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</si>
  <si>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</si>
  <si>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</si>
  <si>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</si>
  <si>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</si>
  <si>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</si>
  <si>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</si>
  <si>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</si>
  <si>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</si>
  <si>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</si>
  <si>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</si>
  <si>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</si>
  <si>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</si>
  <si>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</si>
  <si>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</si>
  <si>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</si>
  <si>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</si>
  <si>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</si>
  <si>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</si>
  <si>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</si>
  <si>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</si>
  <si>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</si>
  <si>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</si>
  <si>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</si>
  <si>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</si>
  <si>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</si>
  <si>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</si>
  <si>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</si>
  <si>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</si>
  <si>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</si>
  <si>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</si>
  <si>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</si>
  <si>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</si>
  <si>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</si>
  <si>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</si>
  <si>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</si>
  <si>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</si>
  <si>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</si>
  <si>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</si>
  <si>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</si>
  <si>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</si>
  <si>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</si>
  <si>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</si>
  <si>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</si>
  <si>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</si>
  <si>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</si>
  <si>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</si>
  <si>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</si>
  <si>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</si>
  <si>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</si>
  <si>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</si>
  <si>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</si>
  <si>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</si>
  <si>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</si>
  <si>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</si>
  <si>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</si>
  <si>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</si>
  <si>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</si>
  <si>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</si>
  <si>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</si>
  <si>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</si>
  <si>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</si>
  <si>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</si>
  <si>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</si>
  <si>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</si>
  <si>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</si>
  <si>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</si>
  <si>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</si>
  <si>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</si>
  <si>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</si>
  <si>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</si>
  <si>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</si>
  <si>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</si>
  <si>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</si>
  <si>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</si>
  <si>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</si>
  <si>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</si>
  <si>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</si>
  <si>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</si>
  <si>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</si>
  <si>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</si>
  <si>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</si>
  <si>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</si>
  <si>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</si>
  <si>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</si>
  <si>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</si>
  <si>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</si>
  <si>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</si>
  <si>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</si>
  <si>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</si>
  <si>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</si>
  <si>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</si>
  <si>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</si>
  <si>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</si>
  <si>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</si>
  <si>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</si>
  <si>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</si>
  <si>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</si>
  <si>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</si>
  <si>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</si>
  <si>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</si>
  <si>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</si>
  <si>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</si>
  <si>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</si>
  <si>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</si>
  <si>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</si>
  <si>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</si>
  <si>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</si>
  <si>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</si>
  <si>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</si>
  <si>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</si>
  <si>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</si>
  <si>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</si>
  <si>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</si>
  <si>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</si>
  <si>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</si>
  <si>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</si>
  <si>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</si>
  <si>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</si>
  <si>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</si>
  <si>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</si>
  <si>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</si>
  <si>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</si>
  <si>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</si>
  <si>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</si>
  <si>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</si>
  <si>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</si>
  <si>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</si>
  <si>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</si>
  <si>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</si>
  <si>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</si>
  <si>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</si>
  <si>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</si>
  <si>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</si>
  <si>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</si>
  <si>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</si>
  <si>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</si>
  <si>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</si>
  <si>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</si>
  <si>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</si>
  <si>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</si>
  <si>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</si>
  <si>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</si>
  <si>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</si>
  <si>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</si>
  <si>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</si>
  <si>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</si>
  <si>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</si>
  <si>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</si>
  <si>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</si>
  <si>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</si>
  <si>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</si>
  <si>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</si>
  <si>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</si>
  <si>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</si>
  <si>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</si>
  <si>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</si>
  <si>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</si>
  <si>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</si>
  <si>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</si>
  <si>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</si>
  <si>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</si>
  <si>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</si>
  <si>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</si>
  <si>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</si>
  <si>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</si>
  <si>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</si>
  <si>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</si>
  <si>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</si>
  <si>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</si>
  <si>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</si>
  <si>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</si>
  <si>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</si>
  <si>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</si>
  <si>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</si>
  <si>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</si>
  <si>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</si>
  <si>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</si>
  <si>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</si>
  <si>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</si>
  <si>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</si>
  <si>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</si>
  <si>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</si>
  <si>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</si>
  <si>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</si>
  <si>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</si>
  <si>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</si>
  <si>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</si>
  <si>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</si>
  <si>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</si>
  <si>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</si>
  <si>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</si>
  <si>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</si>
  <si>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</si>
  <si>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</si>
  <si>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</si>
  <si>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</si>
  <si>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</si>
  <si>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</si>
  <si>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</si>
  <si>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</si>
  <si>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</si>
  <si>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</si>
  <si>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</si>
  <si>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</si>
  <si>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</si>
  <si>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</si>
  <si>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</si>
  <si>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</si>
  <si>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</si>
  <si>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</si>
  <si>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</si>
  <si>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</si>
  <si>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</si>
  <si>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</si>
  <si>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</si>
  <si>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</si>
  <si>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</si>
  <si>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</si>
  <si>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</si>
  <si>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</si>
  <si>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</si>
  <si>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</si>
  <si>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</si>
  <si>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</si>
  <si>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</si>
  <si>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</si>
  <si>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</si>
  <si>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</si>
  <si>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</si>
  <si>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</si>
  <si>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</si>
  <si>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</si>
  <si>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</si>
  <si>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</si>
  <si>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</si>
  <si>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</si>
  <si>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</si>
  <si>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</si>
  <si>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</si>
  <si>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</si>
  <si>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</si>
  <si>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</si>
  <si>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</si>
  <si>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</si>
  <si>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</si>
  <si>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</si>
  <si>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</si>
  <si>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</si>
  <si>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</si>
  <si>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</si>
  <si>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</si>
  <si>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</si>
  <si>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</si>
  <si>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</si>
  <si>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</si>
  <si>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</si>
  <si>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</si>
  <si>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</si>
  <si>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</si>
  <si>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</si>
  <si>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</si>
  <si>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</si>
  <si>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</si>
  <si>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</si>
  <si>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</si>
  <si>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</si>
  <si>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</si>
  <si>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</si>
  <si>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</si>
  <si>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</si>
  <si>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</si>
  <si>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</si>
  <si>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</si>
  <si>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</si>
  <si>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</si>
  <si>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</si>
  <si>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</si>
  <si>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</si>
  <si>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</si>
  <si>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</si>
  <si>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</si>
  <si>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</si>
  <si>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</si>
  <si>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</si>
  <si>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</si>
  <si>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</si>
  <si>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</si>
  <si>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</si>
  <si>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</si>
  <si>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</si>
  <si>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</si>
  <si>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</si>
  <si>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</si>
  <si>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</si>
  <si>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</si>
  <si>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</si>
  <si>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</si>
  <si>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</si>
  <si>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</si>
  <si>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</si>
  <si>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</si>
  <si>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</si>
  <si>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</si>
  <si>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</si>
  <si>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</si>
  <si>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</si>
  <si>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</si>
  <si>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</si>
  <si>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</si>
  <si>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</si>
  <si>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</si>
  <si>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</si>
  <si>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</si>
  <si>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</si>
  <si>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</si>
  <si>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</si>
  <si>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</si>
  <si>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</si>
  <si>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</si>
  <si>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</si>
  <si>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</si>
  <si>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</si>
  <si>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</si>
  <si>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</si>
  <si>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</si>
  <si>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</si>
  <si>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</si>
  <si>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</si>
  <si>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</si>
  <si>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</si>
  <si>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</si>
  <si>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</si>
  <si>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</si>
  <si>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</si>
  <si>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</si>
  <si>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</si>
  <si>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</si>
  <si>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</si>
  <si>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</si>
  <si>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</si>
  <si>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</si>
  <si>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</si>
  <si>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</si>
  <si>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</si>
  <si>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</si>
  <si>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</si>
  <si>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</si>
  <si>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</si>
  <si>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</si>
  <si>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</si>
  <si>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</si>
  <si>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</si>
  <si>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</si>
  <si>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</si>
  <si>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</si>
  <si>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</si>
  <si>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</si>
  <si>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</si>
  <si>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</si>
  <si>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</si>
  <si>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</si>
  <si>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</si>
  <si>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</si>
  <si>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</si>
  <si>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</si>
  <si>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</si>
  <si>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</si>
  <si>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</si>
  <si>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</si>
  <si>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</si>
  <si>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</si>
  <si>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</si>
  <si>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</si>
  <si>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</si>
  <si>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</si>
  <si>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</si>
  <si>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</si>
  <si>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</si>
  <si>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</si>
  <si>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</si>
  <si>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</si>
  <si>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</si>
  <si>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</si>
  <si>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</si>
  <si>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</si>
  <si>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</si>
  <si>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</si>
  <si>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</si>
  <si>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</si>
  <si>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</si>
  <si>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</si>
  <si>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</si>
  <si>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</si>
  <si>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</si>
  <si>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以内</t>
    </r>
    <phoneticPr fontId="21" type="noConversion"/>
  </si>
  <si>
    <r>
      <t>100</t>
    </r>
    <r>
      <rPr>
        <sz val="11"/>
        <color indexed="8"/>
        <rFont val="宋体"/>
        <family val="3"/>
        <charset val="134"/>
      </rPr>
      <t>以上</t>
    </r>
  </si>
  <si>
    <r>
      <t>100</t>
    </r>
    <r>
      <rPr>
        <sz val="11"/>
        <color indexed="8"/>
        <rFont val="宋体"/>
        <family val="3"/>
        <charset val="134"/>
      </rPr>
      <t>以上</t>
    </r>
    <phoneticPr fontId="21" type="noConversion"/>
  </si>
  <si>
    <r>
      <t>100</t>
    </r>
    <r>
      <rPr>
        <sz val="11"/>
        <rFont val="宋体"/>
        <family val="3"/>
        <charset val="134"/>
      </rPr>
      <t>以上</t>
    </r>
  </si>
  <si>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</si>
  <si>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</si>
  <si>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两房</t>
  </si>
  <si>
    <t>三房</t>
  </si>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</sst>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101969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2018年12月4日（评估专业人员勘察现场之日）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估价期日：2018年12月4日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143335</v>
      </c>
    </row>
    <row r="47" spans="1:2">
      <c r="A47" s="2855" t="s">
        <v>2725</v>
      </c>
      <c r="B47" s="2856">
        <f ca="1">'预评函-2'!Q5</f>
        <v>22052</v>
      </c>
    </row>
    <row r="48" spans="1:2">
      <c r="A48" s="2855" t="s">
        <v>2726</v>
      </c>
      <c r="B48" s="2856">
        <f ca="1">'预评函-2'!R5</f>
        <v>398741</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K7" sqref="K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58" t="str">
        <f>IF(B10="北京市","北京市",C10)&amp;F10&amp;B16&amp;"国有建设用地使用权"&amp;B9&amp;"预评估"</f>
        <v>出让国有建设用地使用权预评估</v>
      </c>
      <c r="C1" s="3259"/>
      <c r="D1" s="3259"/>
      <c r="E1" s="3259"/>
      <c r="F1" s="3259"/>
      <c r="G1" s="3259"/>
      <c r="H1" s="3259"/>
      <c r="I1" s="3260"/>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43438</v>
      </c>
      <c r="C3" s="1660" t="s">
        <v>1996</v>
      </c>
      <c r="D3" s="1659">
        <v>43438</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64"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65"/>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61"/>
      <c r="C12" s="3262"/>
      <c r="D12" s="3263"/>
      <c r="E12" s="1696" t="s">
        <v>2062</v>
      </c>
      <c r="F12" s="3279" t="s">
        <v>2891</v>
      </c>
      <c r="G12" s="3280"/>
      <c r="H12" s="3280"/>
      <c r="I12" s="3281"/>
      <c r="J12" s="1691"/>
      <c r="K12" s="1771"/>
      <c r="L12" s="1720"/>
      <c r="M12" s="1720"/>
      <c r="N12" s="1691"/>
      <c r="O12" s="1692"/>
      <c r="P12" s="1691"/>
      <c r="Q12" s="1691"/>
      <c r="R12" s="1691"/>
      <c r="S12" s="1691"/>
      <c r="T12" s="1691"/>
      <c r="U12" s="1691"/>
    </row>
    <row r="13" spans="1:21">
      <c r="A13" s="1684" t="s">
        <v>2060</v>
      </c>
      <c r="B13" s="3261"/>
      <c r="C13" s="3262"/>
      <c r="D13" s="3263"/>
      <c r="E13" s="1696" t="s">
        <v>2062</v>
      </c>
      <c r="F13" s="3279" t="s">
        <v>2892</v>
      </c>
      <c r="G13" s="3280"/>
      <c r="H13" s="3280"/>
      <c r="I13" s="3281"/>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住宅2088年12月3日</v>
      </c>
      <c r="L16" s="1696" t="str">
        <f>IF(OR(K16="",M16=""),"","、")</f>
        <v>、</v>
      </c>
      <c r="M16" s="2433" t="str">
        <f>IF(E17="","",E16&amp;TEXT(E17,"yyyy年m月d日;;"))</f>
        <v>商业2058年12月3日</v>
      </c>
      <c r="N16" s="1696" t="str">
        <f>IF(OR(M16="",O16=""),"","、")</f>
        <v>、</v>
      </c>
      <c r="O16" s="2433" t="str">
        <f>IF(F17="","",F16&amp;TEXT(F17,"yyyy年m月d日;;"))</f>
        <v>办公2058年12月3日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69005</v>
      </c>
      <c r="E17" s="3178">
        <v>58047</v>
      </c>
      <c r="F17" s="3178">
        <v>58047</v>
      </c>
      <c r="G17" s="1697"/>
      <c r="H17" s="1697"/>
      <c r="I17" s="1697"/>
      <c r="J17" s="1691"/>
      <c r="K17" s="2432" t="str">
        <f>CONCATENATE(K16,L16,M16,N16,O16,P16,Q16,R16,S16,T16,,U16)</f>
        <v>住宅2088年12月3日、商业2058年12月3日、办公2058年12月3日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76"/>
      <c r="E20" s="3277"/>
      <c r="F20" s="3277"/>
      <c r="G20" s="3277"/>
      <c r="H20" s="3277"/>
      <c r="I20" s="3278"/>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66" t="s">
        <v>1999</v>
      </c>
      <c r="F21" s="3267"/>
      <c r="G21" s="3267"/>
      <c r="H21" s="3267"/>
      <c r="I21" s="3268"/>
      <c r="J21" s="1691"/>
      <c r="K21" s="1771"/>
      <c r="L21" s="1720"/>
      <c r="M21" s="1720"/>
      <c r="N21" s="1691"/>
      <c r="O21" s="1692"/>
      <c r="P21" s="1691"/>
      <c r="Q21" s="1691"/>
      <c r="R21" s="1691"/>
      <c r="S21" s="1691"/>
      <c r="T21" s="1691"/>
      <c r="U21" s="1691"/>
    </row>
    <row r="22" spans="1:21">
      <c r="A22" s="3123" t="s">
        <v>952</v>
      </c>
      <c r="B22" s="1658" t="s">
        <v>1962</v>
      </c>
      <c r="C22" s="1683">
        <f>'数据-汇总表'!D3</f>
        <v>27818.76</v>
      </c>
      <c r="D22" s="1684" t="s">
        <v>1961</v>
      </c>
      <c r="E22" s="3266" t="s">
        <v>2893</v>
      </c>
      <c r="F22" s="3267"/>
      <c r="G22" s="3267"/>
      <c r="H22" s="3267"/>
      <c r="I22" s="3268"/>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69" t="s">
        <v>1967</v>
      </c>
      <c r="C24" s="3270"/>
      <c r="D24" s="3271" t="s">
        <v>1968</v>
      </c>
      <c r="E24" s="3272"/>
      <c r="F24" s="1705" t="s">
        <v>1969</v>
      </c>
      <c r="G24" s="1691"/>
      <c r="H24" s="1691"/>
      <c r="I24" s="1704"/>
      <c r="J24" s="1691"/>
      <c r="K24" s="3257"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5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5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84" t="s">
        <v>2002</v>
      </c>
      <c r="B31" s="1761" t="s">
        <v>2003</v>
      </c>
      <c r="C31" s="3282"/>
      <c r="D31" s="3283"/>
      <c r="E31" s="1691"/>
      <c r="F31" s="1691"/>
      <c r="G31" s="1691"/>
      <c r="H31" s="1691"/>
      <c r="I31" s="1704"/>
      <c r="J31" s="1691"/>
      <c r="K31" s="2435"/>
      <c r="L31" s="1691"/>
      <c r="M31" s="1691"/>
      <c r="N31" s="1691"/>
      <c r="O31" s="1691"/>
      <c r="P31" s="1691"/>
      <c r="Q31" s="1691"/>
      <c r="R31" s="1691"/>
      <c r="S31" s="1691"/>
      <c r="T31" s="1691"/>
      <c r="U31" s="1691"/>
    </row>
    <row r="32" spans="1:21">
      <c r="A32" s="3284"/>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84"/>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85"/>
      <c r="B34" s="1658" t="s">
        <v>2006</v>
      </c>
      <c r="C34" s="3286"/>
      <c r="D34" s="3287"/>
      <c r="E34" s="1691"/>
      <c r="F34" s="1691"/>
      <c r="G34" s="1691"/>
      <c r="H34" s="1691"/>
      <c r="I34" s="1704"/>
      <c r="J34" s="1691"/>
      <c r="K34" s="2435"/>
      <c r="L34" s="1691"/>
      <c r="M34" s="1691"/>
      <c r="N34" s="1691"/>
      <c r="O34" s="1691"/>
      <c r="P34" s="1691"/>
      <c r="Q34" s="1691"/>
      <c r="R34" s="1691"/>
      <c r="S34" s="1691"/>
      <c r="T34" s="1691"/>
      <c r="U34" s="1691"/>
    </row>
    <row r="35" spans="1:21">
      <c r="A35" s="3288" t="s">
        <v>847</v>
      </c>
      <c r="B35" s="1719"/>
      <c r="C35" s="1773" t="str">
        <f>IF(B35="场地平整","——","具体情况：")</f>
        <v>具体情况：</v>
      </c>
      <c r="D35" s="3290"/>
      <c r="E35" s="3291"/>
      <c r="F35" s="3291"/>
      <c r="G35" s="3291"/>
      <c r="H35" s="3291"/>
      <c r="I35" s="3292"/>
      <c r="J35" s="1691"/>
      <c r="K35" s="1772"/>
      <c r="L35" s="1720"/>
      <c r="M35" s="1720"/>
      <c r="N35" s="1691"/>
      <c r="O35" s="1692"/>
      <c r="P35" s="1691"/>
      <c r="Q35" s="1691"/>
      <c r="R35" s="1691"/>
      <c r="S35" s="1691"/>
      <c r="T35" s="1691"/>
      <c r="U35" s="1691"/>
    </row>
    <row r="36" spans="1:21">
      <c r="A36" s="3284"/>
      <c r="B36" s="3293" t="s">
        <v>2055</v>
      </c>
      <c r="C36" s="3294"/>
      <c r="D36" s="1789"/>
      <c r="E36" s="3295"/>
      <c r="F36" s="3295"/>
      <c r="G36" s="1684" t="str">
        <f>IF(B35="场地未平整","估价结果处理","")</f>
        <v/>
      </c>
      <c r="H36" s="3296"/>
      <c r="I36" s="3296"/>
      <c r="J36" s="1691"/>
      <c r="K36" s="1772"/>
      <c r="L36" s="1720"/>
      <c r="M36" s="1720"/>
      <c r="N36" s="1691"/>
      <c r="O36" s="1692"/>
      <c r="P36" s="1691"/>
      <c r="Q36" s="1691"/>
      <c r="R36" s="1691"/>
      <c r="S36" s="1691"/>
      <c r="T36" s="1691"/>
      <c r="U36" s="1691"/>
    </row>
    <row r="37" spans="1:21" ht="28.5">
      <c r="A37" s="3284"/>
      <c r="B37" s="327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4"/>
      <c r="B38" s="3274"/>
      <c r="C38" s="1666"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285"/>
      <c r="B39" s="327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56" t="s">
        <v>1986</v>
      </c>
      <c r="T40" s="1728" t="str">
        <f>NUMBERSTRING(7-K40,1)&amp;"通"</f>
        <v>七通</v>
      </c>
      <c r="U40" s="1691"/>
    </row>
    <row r="41" spans="1:21">
      <c r="A41" s="1660"/>
      <c r="B41" s="3289" t="s">
        <v>1722</v>
      </c>
      <c r="C41" s="3289"/>
      <c r="D41" s="3289"/>
      <c r="E41" s="3289"/>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6"/>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30" sqref="F3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8" t="s">
        <v>203</v>
      </c>
      <c r="B2" s="3308"/>
      <c r="C2" s="3308"/>
      <c r="D2" s="1973" t="s">
        <v>204</v>
      </c>
      <c r="E2" s="106" t="s">
        <v>205</v>
      </c>
      <c r="F2" s="1982"/>
      <c r="G2" s="1197"/>
      <c r="H2" s="1198"/>
      <c r="I2" s="1199" t="s">
        <v>857</v>
      </c>
      <c r="J2" s="1982"/>
      <c r="K2" s="1982"/>
      <c r="L2" s="1982"/>
    </row>
    <row r="3" spans="1:16" ht="15.75" thickBot="1">
      <c r="A3" s="3309" t="s">
        <v>206</v>
      </c>
      <c r="B3" s="3309"/>
      <c r="C3" s="3309"/>
      <c r="D3" s="107">
        <f>'数据-基础表'!AY6</f>
        <v>27818.76</v>
      </c>
      <c r="E3" s="107">
        <f>'数据-基础表'!AZ5</f>
        <v>180817</v>
      </c>
      <c r="F3" s="1982"/>
      <c r="G3" s="280" t="s">
        <v>858</v>
      </c>
      <c r="H3" s="275" t="s">
        <v>859</v>
      </c>
      <c r="I3" s="1974">
        <f>ROUND('数据-基础表'!B3/'数据-基础表'!A3,2)</f>
        <v>6.5</v>
      </c>
      <c r="J3" s="1982"/>
      <c r="K3" s="1982"/>
      <c r="L3" s="1982"/>
    </row>
    <row r="4" spans="1:16" ht="15">
      <c r="A4" s="3310"/>
      <c r="B4" s="3311"/>
      <c r="C4" s="3312"/>
      <c r="D4" s="108" t="s">
        <v>204</v>
      </c>
      <c r="E4" s="109" t="s">
        <v>205</v>
      </c>
      <c r="F4" s="1982"/>
      <c r="G4" s="1200"/>
      <c r="H4" s="275" t="s">
        <v>860</v>
      </c>
      <c r="I4" s="1974">
        <f>ROUND(SUMIF('数据-基础表'!I9:AS9,"地上",'数据-基础表'!I5:AS5)/'数据-基础表'!A3,2)</f>
        <v>6.5</v>
      </c>
      <c r="J4" s="1982"/>
      <c r="K4" s="1982"/>
      <c r="L4" s="1982"/>
    </row>
    <row r="5" spans="1:16">
      <c r="A5" s="110" t="s">
        <v>207</v>
      </c>
      <c r="B5" s="3313" t="s">
        <v>230</v>
      </c>
      <c r="C5" s="3313"/>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13" t="s">
        <v>208</v>
      </c>
      <c r="C6" s="3313"/>
      <c r="D6" s="111">
        <f>ROUND($D$3*E6/$E$3,2)</f>
        <v>8345.61</v>
      </c>
      <c r="E6" s="112">
        <f>E3-E5</f>
        <v>54245</v>
      </c>
      <c r="F6" s="1982"/>
      <c r="G6" s="1200"/>
      <c r="H6" s="275" t="s">
        <v>860</v>
      </c>
      <c r="I6" s="1974">
        <f>ROUND(F31/D31,2)</f>
        <v>6.5</v>
      </c>
      <c r="J6" s="1982"/>
      <c r="K6" s="1982"/>
      <c r="L6" s="1982"/>
    </row>
    <row r="7" spans="1:16" ht="15">
      <c r="A7" s="3305"/>
      <c r="B7" s="3306"/>
      <c r="C7" s="3307"/>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299" t="s">
        <v>2567</v>
      </c>
      <c r="L16" s="3300"/>
      <c r="M16" s="3300"/>
      <c r="N16" s="3300"/>
      <c r="O16" s="3300"/>
      <c r="P16" s="3301"/>
    </row>
    <row r="17" spans="1:19" ht="15">
      <c r="A17" s="121" t="s">
        <v>216</v>
      </c>
      <c r="B17" s="122" t="s">
        <v>217</v>
      </c>
      <c r="C17" s="2296" t="s">
        <v>2314</v>
      </c>
      <c r="D17" s="108" t="s">
        <v>204</v>
      </c>
      <c r="E17" s="124" t="s">
        <v>205</v>
      </c>
      <c r="F17" s="125"/>
      <c r="G17" s="1365"/>
      <c r="H17" s="969" t="s">
        <v>218</v>
      </c>
      <c r="I17" s="970" t="s">
        <v>2313</v>
      </c>
      <c r="J17" s="1982"/>
      <c r="K17" s="3302" t="s">
        <v>2568</v>
      </c>
      <c r="L17" s="3303"/>
      <c r="M17" s="3304"/>
      <c r="N17" s="3302" t="s">
        <v>2569</v>
      </c>
      <c r="O17" s="3303"/>
      <c r="P17" s="3304"/>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4" t="s">
        <v>3180</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6" sqref="I2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43438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69005</v>
      </c>
      <c r="F6" s="174">
        <f>SUMIF(项目基本情况!D$15:I$15,C6,项目基本情况!D$19:I$19)</f>
        <v>70</v>
      </c>
      <c r="G6" s="175">
        <f>IF(ISERROR(ROUND(POWER(1+H6,D6-F6)*(POWER(1+H6,F6)-1)/(POWER(1+H6,D6)-1),3)),0,ROUND(POWER(1+H6,D6-F6)*(POWER(1+H6,F6)-1)/(POWER(1+H6,D6)-1),3))</f>
        <v>1</v>
      </c>
      <c r="H6" s="3000">
        <v>0.05</v>
      </c>
      <c r="I6" s="3000">
        <v>5.5E-2</v>
      </c>
      <c r="J6" s="176">
        <v>8.5000000000000006E-2</v>
      </c>
      <c r="K6" s="179">
        <f>SUMIF('数据-汇总表'!C$19:C$33,'数据-取费表'!A6,'数据-汇总表'!E$19:E$33)</f>
        <v>126572</v>
      </c>
      <c r="L6" s="3001">
        <v>3000</v>
      </c>
      <c r="M6" s="177">
        <f t="shared" ref="M6:M14" si="0">ROUND(K6*L6/10000,0)</f>
        <v>37972</v>
      </c>
      <c r="N6" s="3002">
        <v>0</v>
      </c>
      <c r="O6" s="177">
        <f>IF($N$5="成新度","——",ROUND(M6*N6,0))</f>
        <v>0</v>
      </c>
      <c r="P6" s="178">
        <f>IF($N$5="成新度","——",M6-O6)</f>
        <v>37972</v>
      </c>
      <c r="Q6" s="3003">
        <v>0.05</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0.96699999999999997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58047</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3200</v>
      </c>
      <c r="M7" s="177">
        <f t="shared" si="0"/>
        <v>1804</v>
      </c>
      <c r="N7" s="3002">
        <v>0</v>
      </c>
      <c r="O7" s="177">
        <f t="shared" ref="O7:O14" si="3">IF($N$5="成新度","——",ROUND(M7*N7,0))</f>
        <v>0</v>
      </c>
      <c r="P7" s="178">
        <f t="shared" ref="P7:P14" si="4">IF($N$5="成新度","——",M7-O7)</f>
        <v>1804</v>
      </c>
      <c r="Q7" s="3003">
        <v>0.1</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180">
        <v>16</v>
      </c>
      <c r="V7" s="181">
        <v>3.5000000000000003E-2</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1.4999999999999999E-2</v>
      </c>
      <c r="AN7" s="2369" t="s">
        <v>3166</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58047</v>
      </c>
      <c r="F8" s="174">
        <f>SUMIF(项目基本情况!D$15:I$15,C8,项目基本情况!D$19:I$19)</f>
        <v>40</v>
      </c>
      <c r="G8" s="175">
        <f t="shared" si="2"/>
        <v>1</v>
      </c>
      <c r="H8" s="3000">
        <v>5.5E-2</v>
      </c>
      <c r="I8" s="3000">
        <v>0.05</v>
      </c>
      <c r="J8" s="176">
        <v>8.5000000000000006E-2</v>
      </c>
      <c r="K8" s="179">
        <f>SUMIF('数据-汇总表'!C$19:C$33,'数据-取费表'!A8,'数据-汇总表'!E$19:E$33)</f>
        <v>43329</v>
      </c>
      <c r="L8" s="3001">
        <v>3200</v>
      </c>
      <c r="M8" s="177">
        <f>ROUND(K8*L8/10000,0)</f>
        <v>13865</v>
      </c>
      <c r="N8" s="3002">
        <v>0</v>
      </c>
      <c r="O8" s="177">
        <f t="shared" si="3"/>
        <v>0</v>
      </c>
      <c r="P8" s="178">
        <f t="shared" si="4"/>
        <v>13865</v>
      </c>
      <c r="Q8" s="3003">
        <v>0.1</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1.4999999999999999E-2</v>
      </c>
      <c r="AN8" s="2369" t="s">
        <v>3164</v>
      </c>
      <c r="AO8" s="1998"/>
      <c r="AP8" s="1203">
        <f t="shared" si="8"/>
        <v>0.88300000000000001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193">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5.0999999999999997E-2</v>
      </c>
      <c r="I16" s="204"/>
      <c r="J16" s="204"/>
      <c r="K16" s="205">
        <f>SUM(K6:K15)</f>
        <v>180817</v>
      </c>
      <c r="L16" s="206">
        <f>ROUND(M16*10000/SUM(K6:K14),0)</f>
        <v>3054</v>
      </c>
      <c r="M16" s="206">
        <f>SUM(M6:M14)</f>
        <v>55225</v>
      </c>
      <c r="N16" s="207">
        <f>ROUND(SUMPRODUCT(M6:M14,N6:N14)/M16,3)</f>
        <v>0</v>
      </c>
      <c r="O16" s="206">
        <f>SUM(O6:O14)</f>
        <v>0</v>
      </c>
      <c r="P16" s="206">
        <f>SUM(P6:P14)</f>
        <v>55225</v>
      </c>
      <c r="Q16" s="208">
        <f>ROUND(SUMPRODUCT(Q6:Q13,K6:K13)/SUMPRODUCT((Q6:Q13&gt;0)*(K6:K13)),2)</f>
        <v>0.06</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0.94399999999999995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14" t="s">
        <v>1664</v>
      </c>
      <c r="B1" s="3315"/>
      <c r="C1" s="3315"/>
      <c r="D1" s="3315"/>
      <c r="E1" s="3315"/>
      <c r="F1" s="3315"/>
      <c r="G1" s="3315"/>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5" sqref="B25"/>
    </sheetView>
  </sheetViews>
  <sheetFormatPr defaultColWidth="14.625" defaultRowHeight="13.5"/>
  <cols>
    <col min="1" max="1" width="24.375" customWidth="1"/>
  </cols>
  <sheetData>
    <row r="1" spans="1:9" ht="16.5">
      <c r="A1" s="3020" t="s">
        <v>2845</v>
      </c>
      <c r="B1" s="3020">
        <f>SUM(B14:B23)</f>
        <v>225147</v>
      </c>
      <c r="C1" s="3021"/>
      <c r="D1" s="3021"/>
      <c r="E1" s="3021"/>
      <c r="F1" s="3021"/>
    </row>
    <row r="2" spans="1:9" ht="16.5">
      <c r="A2" s="3020" t="s">
        <v>2846</v>
      </c>
      <c r="B2" s="3020">
        <f>SUM(C14:C23)</f>
        <v>34638.629999999997</v>
      </c>
      <c r="C2" s="3021"/>
      <c r="D2" s="3021"/>
      <c r="E2" s="3021"/>
      <c r="F2" s="3021"/>
    </row>
    <row r="3" spans="1:9" ht="16.5">
      <c r="A3" s="3020" t="s">
        <v>2847</v>
      </c>
      <c r="B3" s="3022">
        <f>项目基本情况!D3</f>
        <v>43438</v>
      </c>
      <c r="C3" s="3021"/>
      <c r="D3" s="3021"/>
      <c r="E3" s="3021"/>
      <c r="F3" s="3021"/>
    </row>
    <row r="4" spans="1:9" ht="33">
      <c r="A4" s="3020" t="s">
        <v>2848</v>
      </c>
      <c r="B4" s="3020" t="s">
        <v>2849</v>
      </c>
      <c r="C4" s="3020" t="s">
        <v>2850</v>
      </c>
      <c r="D4" s="3020" t="s">
        <v>2851</v>
      </c>
      <c r="E4" s="3021"/>
      <c r="F4" s="3021"/>
    </row>
    <row r="5" spans="1:9" ht="16.5">
      <c r="A5" s="3020" t="s">
        <v>2852</v>
      </c>
      <c r="B5" s="3020">
        <f ca="1">SUM(D14:D23)</f>
        <v>500710</v>
      </c>
      <c r="C5" s="3020">
        <f ca="1">ROUND(B5*10000/$B$1,0)</f>
        <v>22239</v>
      </c>
      <c r="D5" s="3020">
        <f ca="1">ROUND(B5*10000/$B$2,0)</f>
        <v>144552</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180817</v>
      </c>
      <c r="C14" s="3024">
        <f>结果表!K38</f>
        <v>27818.76</v>
      </c>
      <c r="D14" s="3024">
        <f ca="1">结果表!C42</f>
        <v>398741</v>
      </c>
      <c r="E14" s="3024">
        <f ca="1">ROUND(D14*10000/B14,0)</f>
        <v>22052</v>
      </c>
      <c r="F14" s="3024">
        <f ca="1">ROUND(D14*10000/C14,0)</f>
        <v>143335</v>
      </c>
      <c r="G14" s="3024" t="str">
        <f>结果表!C44</f>
        <v>——</v>
      </c>
      <c r="H14" s="3024" t="str">
        <f>结果表!C45</f>
        <v>——</v>
      </c>
      <c r="I14" s="3024" t="str">
        <f>结果表!C46</f>
        <v>——</v>
      </c>
    </row>
    <row r="15" spans="1:9" ht="16.5">
      <c r="A15" s="3027" t="s">
        <v>2862</v>
      </c>
      <c r="B15" s="3028">
        <f>'[1]数据-汇总表'!$E$3</f>
        <v>44330</v>
      </c>
      <c r="C15" s="3028">
        <f>'[1]数据-汇总表'!$D$3</f>
        <v>6819.87</v>
      </c>
      <c r="D15" s="3028">
        <f ca="1">[2]结果表!$G$19</f>
        <v>101969</v>
      </c>
      <c r="E15" s="3024">
        <f t="shared" ref="E15:E23" ca="1" si="2">ROUND(D15*10000/B15,0)</f>
        <v>23002</v>
      </c>
      <c r="F15" s="3024">
        <f t="shared" ref="F15:F23" ca="1" si="3">ROUND(D15*10000/C15,0)</f>
        <v>149518</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61" t="str">
        <f>项目基本情况!K2</f>
        <v>出让国有建设用地使用权</v>
      </c>
      <c r="B2" s="3362"/>
      <c r="C2" s="3363"/>
      <c r="D2" s="3363"/>
      <c r="E2" s="3363"/>
      <c r="F2" s="3363"/>
      <c r="G2" s="3362"/>
      <c r="H2" s="3362"/>
      <c r="I2" s="3364"/>
      <c r="J2" s="2028"/>
      <c r="K2" s="2027"/>
      <c r="L2" s="2027"/>
      <c r="M2" s="2027"/>
      <c r="N2" s="2027"/>
      <c r="O2" s="2027"/>
      <c r="P2" s="2027"/>
      <c r="Q2" s="2027"/>
      <c r="R2" s="2027"/>
      <c r="S2" s="2027"/>
      <c r="T2" s="2027"/>
      <c r="U2" s="2027"/>
      <c r="V2" s="2027"/>
    </row>
    <row r="3" spans="1:22" ht="14.25">
      <c r="A3" s="3372" t="s">
        <v>298</v>
      </c>
      <c r="B3" s="3373"/>
      <c r="C3" s="3373"/>
      <c r="D3" s="3373"/>
      <c r="E3" s="3373"/>
      <c r="F3" s="3373"/>
      <c r="G3" s="3373"/>
      <c r="H3" s="3373"/>
      <c r="I3" s="3373"/>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36" t="s">
        <v>301</v>
      </c>
      <c r="F4" s="3378"/>
      <c r="G4" s="3378"/>
      <c r="H4" s="3378"/>
      <c r="I4" s="333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65" t="s">
        <v>302</v>
      </c>
      <c r="B5" s="3366">
        <v>25</v>
      </c>
      <c r="C5" s="3374"/>
      <c r="D5" s="3377"/>
      <c r="E5" s="261" t="s">
        <v>303</v>
      </c>
      <c r="F5" s="262"/>
      <c r="G5" s="262"/>
      <c r="H5" s="262"/>
      <c r="I5" s="263"/>
      <c r="J5" s="2028"/>
      <c r="K5" s="2027"/>
      <c r="L5" s="2027"/>
      <c r="M5" s="2027"/>
      <c r="N5" s="2027"/>
      <c r="O5" s="2027"/>
      <c r="P5" s="2027"/>
      <c r="Q5" s="2027"/>
      <c r="R5" s="2027"/>
      <c r="S5" s="2027"/>
      <c r="T5" s="2027"/>
      <c r="U5" s="2027"/>
      <c r="V5" s="2027"/>
    </row>
    <row r="6" spans="1:22" ht="14.25">
      <c r="A6" s="3365"/>
      <c r="B6" s="3366"/>
      <c r="C6" s="3375"/>
      <c r="D6" s="3377"/>
      <c r="E6" s="261" t="s">
        <v>304</v>
      </c>
      <c r="F6" s="262"/>
      <c r="G6" s="262"/>
      <c r="H6" s="262"/>
      <c r="I6" s="263"/>
      <c r="J6" s="2028"/>
      <c r="K6" s="2027"/>
      <c r="L6" s="2027"/>
      <c r="M6" s="2027"/>
      <c r="N6" s="2027"/>
      <c r="O6" s="2027"/>
      <c r="P6" s="2027"/>
      <c r="Q6" s="2027"/>
      <c r="R6" s="2027"/>
      <c r="S6" s="2027"/>
      <c r="T6" s="2027"/>
      <c r="U6" s="2027"/>
      <c r="V6" s="2027"/>
    </row>
    <row r="7" spans="1:22" ht="14.25">
      <c r="A7" s="3365"/>
      <c r="B7" s="3366"/>
      <c r="C7" s="3376"/>
      <c r="D7" s="3377"/>
      <c r="E7" s="261" t="s">
        <v>305</v>
      </c>
      <c r="F7" s="262"/>
      <c r="G7" s="262"/>
      <c r="H7" s="262"/>
      <c r="I7" s="263"/>
      <c r="J7" s="2028"/>
      <c r="K7" s="2027"/>
      <c r="L7" s="2027"/>
      <c r="M7" s="2027"/>
      <c r="N7" s="2027"/>
      <c r="O7" s="2027"/>
      <c r="P7" s="2027"/>
      <c r="Q7" s="2027"/>
      <c r="R7" s="2027"/>
      <c r="S7" s="2027"/>
      <c r="T7" s="2027"/>
      <c r="U7" s="2027"/>
      <c r="V7" s="2027"/>
    </row>
    <row r="8" spans="1:22" ht="14.25">
      <c r="A8" s="3365" t="s">
        <v>306</v>
      </c>
      <c r="B8" s="3366">
        <v>15</v>
      </c>
      <c r="C8" s="3374"/>
      <c r="D8" s="3377"/>
      <c r="E8" s="261" t="s">
        <v>307</v>
      </c>
      <c r="F8" s="262"/>
      <c r="G8" s="262"/>
      <c r="H8" s="262"/>
      <c r="I8" s="263"/>
      <c r="J8" s="2028"/>
      <c r="K8" s="2027"/>
      <c r="L8" s="2027"/>
      <c r="M8" s="2027"/>
      <c r="N8" s="2027"/>
      <c r="O8" s="2027"/>
      <c r="P8" s="2027"/>
      <c r="Q8" s="2027"/>
      <c r="R8" s="2027"/>
      <c r="S8" s="2027"/>
      <c r="T8" s="2027"/>
      <c r="U8" s="2027"/>
      <c r="V8" s="2027"/>
    </row>
    <row r="9" spans="1:22" ht="14.25">
      <c r="A9" s="3365"/>
      <c r="B9" s="3366"/>
      <c r="C9" s="3376"/>
      <c r="D9" s="3377"/>
      <c r="E9" s="261" t="s">
        <v>308</v>
      </c>
      <c r="F9" s="262"/>
      <c r="G9" s="262"/>
      <c r="H9" s="262"/>
      <c r="I9" s="263"/>
      <c r="J9" s="2028"/>
      <c r="K9" s="2027"/>
      <c r="L9" s="2027"/>
      <c r="M9" s="2027"/>
      <c r="N9" s="2027"/>
      <c r="O9" s="2027"/>
      <c r="P9" s="2027"/>
      <c r="Q9" s="2027"/>
      <c r="R9" s="2027"/>
      <c r="S9" s="2027"/>
      <c r="T9" s="2027"/>
      <c r="U9" s="2027"/>
      <c r="V9" s="2027"/>
    </row>
    <row r="10" spans="1:22" ht="14.25">
      <c r="A10" s="3365" t="s">
        <v>309</v>
      </c>
      <c r="B10" s="3366">
        <v>15</v>
      </c>
      <c r="C10" s="3374"/>
      <c r="D10" s="337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65"/>
      <c r="B11" s="3366"/>
      <c r="C11" s="3376"/>
      <c r="D11" s="337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65" t="s">
        <v>312</v>
      </c>
      <c r="B12" s="3366">
        <v>15</v>
      </c>
      <c r="C12" s="3374"/>
      <c r="D12" s="337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65"/>
      <c r="B13" s="3366"/>
      <c r="C13" s="3376"/>
      <c r="D13" s="337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65" t="s">
        <v>315</v>
      </c>
      <c r="B14" s="3366">
        <v>30</v>
      </c>
      <c r="C14" s="3374">
        <v>3</v>
      </c>
      <c r="D14" s="3377">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65"/>
      <c r="B15" s="3366"/>
      <c r="C15" s="3375"/>
      <c r="D15" s="337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65"/>
      <c r="B16" s="3366"/>
      <c r="C16" s="3376"/>
      <c r="D16" s="337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274786</v>
      </c>
      <c r="D19" s="271">
        <f ca="1">SUMIF(INDIRECT("'"&amp;D4&amp;"'"&amp;"!A:A"),结果表!B19,INDIRECT("'"&amp;D4&amp;"'"&amp;"!B:B"))</f>
        <v>451865</v>
      </c>
      <c r="E19" s="268" t="s">
        <v>323</v>
      </c>
      <c r="F19" s="269" t="s">
        <v>322</v>
      </c>
      <c r="G19" s="272">
        <f ca="1">ROUND(C19*$C$18+D19*$D$18,0)</f>
        <v>398741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15197</v>
      </c>
      <c r="D20" s="277">
        <f ca="1">SUMIF(INDIRECT("'"&amp;D4&amp;"'"&amp;"!A:A"),结果表!B20,INDIRECT("'"&amp;D4&amp;"'"&amp;"!B:B"))</f>
        <v>24990</v>
      </c>
      <c r="E20" s="274"/>
      <c r="F20" s="275" t="s">
        <v>325</v>
      </c>
      <c r="G20" s="278">
        <f ca="1">ROUND(C20*$C$18+D20*$D$18,0)</f>
        <v>22052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98777</v>
      </c>
      <c r="D21" s="151">
        <f ca="1">SUMIF(INDIRECT("'"&amp;D4&amp;"'"&amp;"!A:A"),结果表!B21,INDIRECT("'"&amp;D4&amp;"'"&amp;"!B:B"))</f>
        <v>162432</v>
      </c>
      <c r="E21" s="274"/>
      <c r="F21" s="280" t="s">
        <v>327</v>
      </c>
      <c r="G21" s="282">
        <f ca="1">ROUND(C21*$C$18+D21*$D$18,0)</f>
        <v>143336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0.64442511627229915</v>
      </c>
      <c r="E22" s="284"/>
      <c r="F22" s="285"/>
      <c r="G22" s="286">
        <f ca="1">ROUND(G19/('数据-汇总表'!D3/666.67),0)</f>
        <v>9556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8"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80"/>
      <c r="B25" s="1320" t="s">
        <v>331</v>
      </c>
      <c r="C25" s="290">
        <f>IF(B30=0,0,C30)</f>
        <v>0</v>
      </c>
      <c r="D25" s="291"/>
      <c r="E25" s="311"/>
      <c r="F25" s="311"/>
      <c r="G25" s="311"/>
      <c r="H25" s="311"/>
      <c r="I25" s="311"/>
      <c r="J25" s="2027"/>
      <c r="K25" s="1254" t="str">
        <f ca="1">项目基本情况!B16&amp;"国有建设用地使用权价格："&amp;O38&amp;"万元"</f>
        <v>出让国有建设用地使用权价格：398741万元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大写金额：人民币叁拾玖亿捌仟柒佰肆拾壹万元整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单位面积地价：143335元/平方米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楼面地价：22052元/平方米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398741</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22052</v>
      </c>
      <c r="D33" s="1384" t="s">
        <v>1692</v>
      </c>
      <c r="E33" s="3338"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143335</v>
      </c>
      <c r="D34" s="1386" t="s">
        <v>1692</v>
      </c>
      <c r="E34" s="3339"/>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9556</v>
      </c>
      <c r="D35" s="1389" t="s">
        <v>1694</v>
      </c>
      <c r="E35" s="3340"/>
      <c r="F35" s="301" t="s">
        <v>342</v>
      </c>
      <c r="G35" s="981"/>
      <c r="H35" s="980" t="s">
        <v>343</v>
      </c>
      <c r="I35" s="311"/>
      <c r="J35" s="2027"/>
      <c r="K35" s="3344" t="s">
        <v>350</v>
      </c>
      <c r="L35" s="3344" t="s">
        <v>351</v>
      </c>
      <c r="M35" s="1263" t="s">
        <v>352</v>
      </c>
      <c r="N35" s="3344" t="s">
        <v>353</v>
      </c>
      <c r="O35" s="3344" t="s">
        <v>354</v>
      </c>
      <c r="P35" s="2027"/>
      <c r="V35" s="2027"/>
    </row>
    <row r="36" spans="1:26" ht="16.5" customHeight="1">
      <c r="A36" s="303" t="s">
        <v>344</v>
      </c>
      <c r="B36" s="304" t="s">
        <v>333</v>
      </c>
      <c r="C36" s="305" t="s">
        <v>345</v>
      </c>
      <c r="D36" s="305" t="s">
        <v>346</v>
      </c>
      <c r="E36" s="306" t="s">
        <v>347</v>
      </c>
      <c r="F36" s="311"/>
      <c r="G36" s="311"/>
      <c r="H36" s="311"/>
      <c r="I36" s="311"/>
      <c r="J36" s="2029"/>
      <c r="K36" s="3345"/>
      <c r="L36" s="3345"/>
      <c r="M36" s="1265" t="s">
        <v>355</v>
      </c>
      <c r="N36" s="3345"/>
      <c r="O36" s="3345"/>
      <c r="P36" s="2027"/>
      <c r="V36" s="2027"/>
    </row>
    <row r="37" spans="1:26" ht="16.5" customHeight="1" thickBot="1">
      <c r="A37" s="1259" t="s">
        <v>348</v>
      </c>
      <c r="B37" s="307"/>
      <c r="C37" s="294"/>
      <c r="D37" s="294"/>
      <c r="E37" s="295"/>
      <c r="F37" s="311"/>
      <c r="G37" s="311"/>
      <c r="H37" s="311"/>
      <c r="I37" s="311"/>
      <c r="J37" s="2029"/>
      <c r="K37" s="3346"/>
      <c r="L37" s="3346"/>
      <c r="M37" s="1266"/>
      <c r="N37" s="3346"/>
      <c r="O37" s="3346"/>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143335</v>
      </c>
      <c r="N38" s="1268">
        <f ca="1">C33</f>
        <v>22052</v>
      </c>
      <c r="O38" s="1269">
        <f ca="1">C32</f>
        <v>398741</v>
      </c>
      <c r="P38" s="2027"/>
      <c r="V38" s="2027"/>
    </row>
    <row r="39" spans="1:26" ht="16.5" customHeight="1" thickBot="1">
      <c r="A39" s="1264"/>
      <c r="B39" s="308"/>
      <c r="C39" s="309"/>
      <c r="D39" s="309"/>
      <c r="E39" s="310"/>
      <c r="F39" s="311"/>
      <c r="G39" s="311"/>
      <c r="H39" s="311"/>
      <c r="I39" s="311"/>
      <c r="J39" s="2029"/>
      <c r="K39" s="3321" t="str">
        <f>MID(A44,3,LEN(A44)-2)</f>
        <v/>
      </c>
      <c r="L39" s="3322"/>
      <c r="M39" s="3322"/>
      <c r="N39" s="3323"/>
      <c r="O39" s="1391" t="str">
        <f>C44</f>
        <v>——</v>
      </c>
      <c r="P39" s="2027"/>
      <c r="V39" s="2027"/>
    </row>
    <row r="40" spans="1:26" ht="19.5" thickBot="1">
      <c r="A40" s="104" t="s">
        <v>873</v>
      </c>
      <c r="B40" s="311"/>
      <c r="C40" s="311"/>
      <c r="D40" s="311"/>
      <c r="E40" s="311"/>
      <c r="F40" s="311"/>
      <c r="G40" s="311"/>
      <c r="H40" s="311"/>
      <c r="I40" s="311"/>
      <c r="J40" s="2029"/>
      <c r="K40" s="3321" t="str">
        <f t="shared" ref="K40:K41" si="0">MID(A45,3,LEN(A45)-2)</f>
        <v/>
      </c>
      <c r="L40" s="3322"/>
      <c r="M40" s="3322"/>
      <c r="N40" s="3323"/>
      <c r="O40" s="1391" t="str">
        <f>C45</f>
        <v>——</v>
      </c>
      <c r="P40" s="2027"/>
      <c r="V40" s="2027"/>
    </row>
    <row r="41" spans="1:26" ht="16.5" thickBot="1">
      <c r="A41" s="312" t="s">
        <v>356</v>
      </c>
      <c r="B41" s="313"/>
      <c r="C41" s="314" t="s">
        <v>357</v>
      </c>
      <c r="D41" s="315" t="s">
        <v>358</v>
      </c>
      <c r="E41" s="315" t="s">
        <v>359</v>
      </c>
      <c r="F41" s="316" t="s">
        <v>360</v>
      </c>
      <c r="G41" s="311"/>
      <c r="H41" s="311"/>
      <c r="I41" s="311"/>
      <c r="J41" s="2029"/>
      <c r="K41" s="3321" t="str">
        <f t="shared" si="0"/>
        <v/>
      </c>
      <c r="L41" s="3322"/>
      <c r="M41" s="3322"/>
      <c r="N41" s="3323"/>
      <c r="O41" s="1391" t="str">
        <f>C46</f>
        <v>——</v>
      </c>
      <c r="P41" s="2027"/>
      <c r="V41" s="2027"/>
    </row>
    <row r="42" spans="1:26" ht="29.25">
      <c r="A42" s="3381" t="s">
        <v>2068</v>
      </c>
      <c r="B42" s="3382"/>
      <c r="C42" s="264">
        <f ca="1">C32</f>
        <v>398741</v>
      </c>
      <c r="D42" s="317">
        <f ca="1">C33</f>
        <v>22052</v>
      </c>
      <c r="E42" s="317">
        <f ca="1">C34</f>
        <v>143335</v>
      </c>
      <c r="F42" s="318">
        <f ca="1">C35</f>
        <v>9556</v>
      </c>
      <c r="G42" s="311"/>
      <c r="H42" s="311"/>
      <c r="I42" s="319"/>
      <c r="J42" s="2029"/>
      <c r="K42" s="1270" t="s">
        <v>361</v>
      </c>
      <c r="L42" s="2046" t="s">
        <v>362</v>
      </c>
      <c r="M42" s="1271" t="s">
        <v>363</v>
      </c>
      <c r="N42" s="2047" t="s">
        <v>364</v>
      </c>
      <c r="O42" s="2048" t="s">
        <v>365</v>
      </c>
      <c r="P42" s="2027"/>
      <c r="V42" s="2027"/>
    </row>
    <row r="43" spans="1:26" ht="30">
      <c r="A43" s="3391" t="s">
        <v>2731</v>
      </c>
      <c r="B43" s="3392"/>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274786</v>
      </c>
      <c r="M43" s="1274">
        <f>C18</f>
        <v>0.3</v>
      </c>
      <c r="N43" s="1275">
        <f ca="1">IF(N42="测算结果/万元",G19,G20)</f>
        <v>398741</v>
      </c>
      <c r="O43" s="1276">
        <f ca="1">IF(O42="最终结果/万元",C32,C33)</f>
        <v>398741</v>
      </c>
      <c r="P43" s="2027"/>
      <c r="V43" s="2027"/>
    </row>
    <row r="44" spans="1:26" ht="30.75" thickBot="1">
      <c r="A44" s="3381" t="str">
        <f>IF(OR(项目基本情况!E8="抵押价格",项目基本情况!E8="已注销及未注销"),"3.抵押价格","——")</f>
        <v>——</v>
      </c>
      <c r="B44" s="3382"/>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451865</v>
      </c>
      <c r="M44" s="1279">
        <f>D18</f>
        <v>0.7</v>
      </c>
      <c r="N44" s="1280"/>
      <c r="O44" s="1281"/>
      <c r="P44" s="2027"/>
      <c r="V44" s="2027"/>
    </row>
    <row r="45" spans="1:26" ht="15">
      <c r="A45" s="3386" t="str">
        <f>IF(项目基本情况!E8="已注销及未注销","4.抵押担保权已注销时的抵押价格",IF(项目基本情况!E8="已注销","3.抵押担保权已注销时的抵押价格","——"))</f>
        <v>——</v>
      </c>
      <c r="B45" s="338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83" t="str">
        <f>IF(项目基本情况!E9="抵押净值",IF(A45="——","4.抵押净值","5.抵押净值"),"——")</f>
        <v>——</v>
      </c>
      <c r="B46" s="338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9" t="s">
        <v>374</v>
      </c>
      <c r="B63" s="3350"/>
      <c r="C63" s="3351"/>
      <c r="D63" s="341">
        <f ca="1">ROUND(C42*F63,0)</f>
        <v>239245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88" t="s">
        <v>378</v>
      </c>
      <c r="B64" s="3389"/>
      <c r="C64" s="3389"/>
      <c r="D64" s="3389"/>
      <c r="E64" s="3389"/>
      <c r="F64" s="3389"/>
      <c r="G64" s="3390"/>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85" t="s">
        <v>386</v>
      </c>
      <c r="B66" s="3356"/>
      <c r="C66" s="3356"/>
      <c r="D66" s="261">
        <f ca="1">IF(H66="情况1",0,IF(H66="情况2",D70,IF(H66="情况3",D71,IF(H66="情况4",D72))))</f>
        <v>12760</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25" t="s">
        <v>385</v>
      </c>
      <c r="M66" s="3326"/>
      <c r="N66" s="2436"/>
      <c r="O66" s="2437"/>
      <c r="P66" s="2438"/>
      <c r="Q66" s="2027"/>
      <c r="R66" s="2027"/>
      <c r="S66" s="2027"/>
      <c r="T66" s="2027"/>
      <c r="U66" s="2027"/>
      <c r="V66" s="2027"/>
    </row>
    <row r="67" spans="1:22" ht="25.5" customHeight="1">
      <c r="A67" s="352" t="s">
        <v>390</v>
      </c>
      <c r="B67" s="3368" t="s">
        <v>391</v>
      </c>
      <c r="C67" s="3368"/>
      <c r="D67" s="353">
        <v>0</v>
      </c>
      <c r="E67" s="41" t="s">
        <v>392</v>
      </c>
      <c r="F67" s="62" t="s">
        <v>21</v>
      </c>
      <c r="G67" s="3352"/>
      <c r="H67" s="311"/>
      <c r="I67" s="1291"/>
      <c r="J67" s="2034"/>
      <c r="K67" s="1975">
        <v>2</v>
      </c>
      <c r="L67" s="3324" t="s">
        <v>389</v>
      </c>
      <c r="M67" s="3324"/>
      <c r="N67" s="1324">
        <f>'数据-取费表'!B2</f>
        <v>43438</v>
      </c>
      <c r="O67" s="1324"/>
      <c r="P67" s="1324"/>
      <c r="Q67" s="2027"/>
      <c r="R67" s="2027"/>
      <c r="S67" s="2027"/>
      <c r="T67" s="2027"/>
      <c r="U67" s="2027"/>
      <c r="V67" s="2027"/>
    </row>
    <row r="68" spans="1:22" ht="25.5" customHeight="1">
      <c r="A68" s="354"/>
      <c r="B68" s="3368" t="s">
        <v>394</v>
      </c>
      <c r="C68" s="3368"/>
      <c r="D68" s="355"/>
      <c r="E68" s="77"/>
      <c r="F68" s="356"/>
      <c r="G68" s="3353"/>
      <c r="H68" s="311"/>
      <c r="I68" s="1291"/>
      <c r="J68" s="2034"/>
      <c r="K68" s="1975">
        <v>3</v>
      </c>
      <c r="L68" s="3324" t="s">
        <v>393</v>
      </c>
      <c r="M68" s="3324"/>
      <c r="N68" s="1292">
        <f ca="1">C42</f>
        <v>398741</v>
      </c>
      <c r="O68" s="1292"/>
      <c r="P68" s="1292"/>
      <c r="Q68" s="2027"/>
      <c r="R68" s="2027"/>
      <c r="S68" s="2027"/>
      <c r="T68" s="2027"/>
      <c r="U68" s="2027"/>
      <c r="V68" s="2027"/>
    </row>
    <row r="69" spans="1:22" ht="12" customHeight="1">
      <c r="A69" s="357"/>
      <c r="B69" s="3368" t="s">
        <v>395</v>
      </c>
      <c r="C69" s="3368"/>
      <c r="D69" s="358"/>
      <c r="E69" s="73"/>
      <c r="F69" s="356"/>
      <c r="G69" s="3354"/>
      <c r="H69" s="311"/>
      <c r="I69" s="1291"/>
      <c r="J69" s="2034"/>
      <c r="K69" s="1293">
        <v>4</v>
      </c>
      <c r="L69" s="3330" t="s">
        <v>2884</v>
      </c>
      <c r="M69" s="3331"/>
      <c r="N69" s="1294" t="str">
        <f>C44</f>
        <v>——</v>
      </c>
      <c r="O69" s="1294"/>
      <c r="P69" s="1294"/>
      <c r="Q69" s="2027"/>
      <c r="R69" s="2027"/>
      <c r="S69" s="2027"/>
      <c r="T69" s="2027"/>
      <c r="U69" s="2027"/>
      <c r="V69" s="2027"/>
    </row>
    <row r="70" spans="1:22" ht="24" customHeight="1">
      <c r="A70" s="359" t="s">
        <v>396</v>
      </c>
      <c r="B70" s="3368" t="s">
        <v>397</v>
      </c>
      <c r="C70" s="3368"/>
      <c r="D70" s="358">
        <f ca="1">ROUND(D63*'数据-取费表'!B41/(1+'数据-取费表'!C42),0)</f>
        <v>12760</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67" t="s">
        <v>405</v>
      </c>
      <c r="C71" s="3379"/>
      <c r="D71" s="358">
        <f ca="1">ROUND(D63*'数据-取费表'!B41/(1+'数据-取费表'!C42),0)</f>
        <v>12760</v>
      </c>
      <c r="E71" s="17" t="s">
        <v>398</v>
      </c>
      <c r="F71" s="360">
        <f>'数据-取费表'!B41</f>
        <v>5.6000000000000001E-2</v>
      </c>
      <c r="G71" s="361"/>
      <c r="H71" s="311"/>
      <c r="I71" s="1291"/>
      <c r="J71" s="2034"/>
      <c r="K71" s="3036" t="s">
        <v>399</v>
      </c>
      <c r="L71" s="3332" t="s">
        <v>400</v>
      </c>
      <c r="M71" s="3332"/>
      <c r="N71" s="3036" t="s">
        <v>401</v>
      </c>
      <c r="O71" s="3036" t="s">
        <v>402</v>
      </c>
      <c r="P71" s="3036" t="s">
        <v>403</v>
      </c>
      <c r="Q71" s="2027"/>
      <c r="R71" s="2027"/>
      <c r="S71" s="2027"/>
      <c r="T71" s="2027"/>
      <c r="U71" s="2027"/>
      <c r="V71" s="2027"/>
    </row>
    <row r="72" spans="1:22" ht="12" customHeight="1">
      <c r="A72" s="359" t="s">
        <v>407</v>
      </c>
      <c r="B72" s="3367" t="s">
        <v>408</v>
      </c>
      <c r="C72" s="3379"/>
      <c r="D72" s="358">
        <f ca="1">C86</f>
        <v>12648</v>
      </c>
      <c r="E72" s="73" t="s">
        <v>409</v>
      </c>
      <c r="F72" s="360">
        <f>'数据-取费表'!B41</f>
        <v>5.6000000000000001E-2</v>
      </c>
      <c r="G72" s="361"/>
      <c r="H72" s="1297"/>
      <c r="I72" s="1291"/>
      <c r="J72" s="2034"/>
      <c r="K72" s="1975">
        <v>1</v>
      </c>
      <c r="L72" s="3329" t="s">
        <v>406</v>
      </c>
      <c r="M72" s="3329"/>
      <c r="N72" s="1295">
        <f ca="1">D66</f>
        <v>12760</v>
      </c>
      <c r="O72" s="1858" t="str">
        <f>E66</f>
        <v>销售额×税（费）率</v>
      </c>
      <c r="P72" s="1296">
        <f>F66</f>
        <v>5.6000000000000001E-2</v>
      </c>
      <c r="Q72" s="2027"/>
      <c r="R72" s="2027"/>
      <c r="S72" s="2027"/>
      <c r="T72" s="2027"/>
      <c r="U72" s="2027"/>
      <c r="V72" s="2027"/>
    </row>
    <row r="73" spans="1:22" ht="24" customHeight="1">
      <c r="A73" s="3355" t="s">
        <v>411</v>
      </c>
      <c r="B73" s="3356"/>
      <c r="C73" s="3356"/>
      <c r="D73" s="362">
        <f>IF(H73="个人住宅",0,ROUND(D63*I73,0))</f>
        <v>0</v>
      </c>
      <c r="E73" s="17" t="s">
        <v>412</v>
      </c>
      <c r="F73" s="360" t="str">
        <f>IF(H73="正常",I73,"免征")</f>
        <v>免征</v>
      </c>
      <c r="G73" s="361"/>
      <c r="H73" s="191" t="s">
        <v>2456</v>
      </c>
      <c r="I73" s="360">
        <f>'数据-取费表'!B49</f>
        <v>5.0000000000000001E-4</v>
      </c>
      <c r="J73" s="2034"/>
      <c r="K73" s="1975">
        <v>2</v>
      </c>
      <c r="L73" s="3329" t="s">
        <v>410</v>
      </c>
      <c r="M73" s="3329"/>
      <c r="N73" s="1295">
        <f t="shared" ref="N73:P74" si="1">D73</f>
        <v>0</v>
      </c>
      <c r="O73" s="1858" t="str">
        <f t="shared" si="1"/>
        <v>销售额×税（费）率</v>
      </c>
      <c r="P73" s="1296" t="str">
        <f t="shared" si="1"/>
        <v>免征</v>
      </c>
      <c r="Q73" s="2027"/>
      <c r="R73" s="2027"/>
      <c r="S73" s="2027"/>
      <c r="T73" s="2027"/>
      <c r="U73" s="2027"/>
      <c r="V73" s="2027"/>
    </row>
    <row r="74" spans="1:22" ht="24.75">
      <c r="A74" s="3355" t="s">
        <v>415</v>
      </c>
      <c r="B74" s="3356"/>
      <c r="C74" s="3356"/>
      <c r="D74" s="362">
        <f ca="1">IF(H74="个人住宅",D75,D76)</f>
        <v>134757</v>
      </c>
      <c r="E74" s="17" t="s">
        <v>416</v>
      </c>
      <c r="F74" s="360" t="str">
        <f>IF(H74="正常",F76,"免征")</f>
        <v>——</v>
      </c>
      <c r="G74" s="982" t="s">
        <v>417</v>
      </c>
      <c r="H74" s="363" t="s">
        <v>413</v>
      </c>
      <c r="I74" s="42"/>
      <c r="J74" s="2034"/>
      <c r="K74" s="1975">
        <v>3</v>
      </c>
      <c r="L74" s="3329" t="s">
        <v>414</v>
      </c>
      <c r="M74" s="3329"/>
      <c r="N74" s="1295">
        <f t="shared" ca="1" si="1"/>
        <v>134757</v>
      </c>
      <c r="O74" s="1858" t="str">
        <f t="shared" si="1"/>
        <v>增值额×税（费）率</v>
      </c>
      <c r="P74" s="1298" t="str">
        <f t="shared" si="1"/>
        <v>——</v>
      </c>
      <c r="Q74" s="2027"/>
      <c r="R74" s="2027"/>
      <c r="S74" s="2027"/>
      <c r="T74" s="2027"/>
      <c r="U74" s="2027"/>
      <c r="V74" s="2027"/>
    </row>
    <row r="75" spans="1:22" ht="24">
      <c r="A75" s="359" t="s">
        <v>418</v>
      </c>
      <c r="B75" s="3336" t="s">
        <v>419</v>
      </c>
      <c r="C75" s="3337"/>
      <c r="D75" s="364">
        <v>0</v>
      </c>
      <c r="E75" s="41" t="s">
        <v>420</v>
      </c>
      <c r="F75" s="365"/>
      <c r="G75" s="361"/>
      <c r="H75" s="42"/>
      <c r="I75" s="42"/>
      <c r="J75" s="2034"/>
      <c r="K75" s="3029">
        <f>IF(H77="非个人房产","",4)</f>
        <v>4</v>
      </c>
      <c r="L75" s="3329" t="str">
        <f>IF(H77="非个人房产","——","个人所得税")</f>
        <v>个人所得税</v>
      </c>
      <c r="M75" s="3329"/>
      <c r="N75" s="1299">
        <f ca="1">D77</f>
        <v>2392</v>
      </c>
      <c r="O75" s="1871" t="str">
        <f>E77</f>
        <v>销售额×税（费）率</v>
      </c>
      <c r="P75" s="1300">
        <f>F77</f>
        <v>0.01</v>
      </c>
      <c r="Q75" s="2027"/>
      <c r="R75" s="2027"/>
      <c r="S75" s="2027"/>
      <c r="T75" s="2027"/>
      <c r="U75" s="2027"/>
      <c r="V75" s="2027"/>
    </row>
    <row r="76" spans="1:22" ht="24.75">
      <c r="A76" s="359" t="s">
        <v>396</v>
      </c>
      <c r="B76" s="3336" t="s">
        <v>422</v>
      </c>
      <c r="C76" s="3378"/>
      <c r="D76" s="362">
        <f ca="1">IF(H76="转让取得",C99,C115)</f>
        <v>134757</v>
      </c>
      <c r="E76" s="17" t="s">
        <v>423</v>
      </c>
      <c r="F76" s="53" t="s">
        <v>21</v>
      </c>
      <c r="G76" s="361"/>
      <c r="H76" s="363" t="s">
        <v>424</v>
      </c>
      <c r="I76" s="42"/>
      <c r="J76" s="2034"/>
      <c r="K76" s="3029" t="str">
        <f>IF(项目基本情况!K6="上海银行",IF(K75="",4,K75+1),"")</f>
        <v/>
      </c>
      <c r="L76" s="3317" t="str">
        <f>IF(项目基本情况!K6="上海银行","其他处置费用","")</f>
        <v/>
      </c>
      <c r="M76" s="3318"/>
      <c r="N76" s="1295" t="str">
        <f>IF(项目基本情况!K6="上海银行",N89,"")</f>
        <v/>
      </c>
      <c r="O76" s="3319" t="str">
        <f>IF(项目基本情况!K6="上海银行","包含处置中涉及的律师、诉讼、拍卖、评估等费用","")</f>
        <v/>
      </c>
      <c r="P76" s="3320"/>
      <c r="Q76" s="2027"/>
      <c r="R76" s="2027"/>
      <c r="S76" s="2027"/>
      <c r="T76" s="2027"/>
      <c r="U76" s="2027"/>
      <c r="V76" s="2027"/>
    </row>
    <row r="77" spans="1:22" ht="26.25" thickBot="1">
      <c r="A77" s="3347" t="s">
        <v>426</v>
      </c>
      <c r="B77" s="3348"/>
      <c r="C77" s="3348"/>
      <c r="D77" s="366">
        <f ca="1">IF(H77="非个人房产","——",IF(H77="个人住宅",0,ROUND(D63*I77,0)))</f>
        <v>2392</v>
      </c>
      <c r="E77" s="367" t="str">
        <f>IF(H77="非个人房产","——","销售额×税（费）率")</f>
        <v>销售额×税（费）率</v>
      </c>
      <c r="F77" s="368">
        <f>IF(H77="非个人房产","——",IF(H77="个人住宅","免征",I77))</f>
        <v>0.01</v>
      </c>
      <c r="G77" s="983" t="s">
        <v>417</v>
      </c>
      <c r="H77" s="363" t="s">
        <v>2885</v>
      </c>
      <c r="I77" s="369">
        <v>0.01</v>
      </c>
      <c r="J77" s="2034"/>
      <c r="K77" s="3343">
        <f>IF(AND(K75="",K76=""),4,IF(项目基本情况!K6="上海银行",K76+1,K75+1))</f>
        <v>5</v>
      </c>
      <c r="L77" s="3329" t="s">
        <v>2886</v>
      </c>
      <c r="M77" s="3035" t="s">
        <v>421</v>
      </c>
      <c r="N77" s="1301"/>
      <c r="O77" s="1302">
        <f ca="1">SUMIF(N72:N76,"&lt;9e307")</f>
        <v>149909</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43"/>
      <c r="L78" s="3329"/>
      <c r="M78" s="3035" t="s">
        <v>425</v>
      </c>
      <c r="N78" s="1301"/>
      <c r="O78" s="1302" t="str">
        <f ca="1">NUMBERSTRING(INT(O77*10000),2)&amp;"元整"</f>
        <v>壹拾肆亿玖仟玖佰零玖万元整</v>
      </c>
      <c r="P78" s="1303"/>
      <c r="Q78" s="2027"/>
      <c r="R78" s="2027"/>
      <c r="S78" s="2027"/>
      <c r="T78" s="2027"/>
      <c r="U78" s="2027"/>
      <c r="V78" s="2027"/>
    </row>
    <row r="79" spans="1:22" ht="13.5" thickBot="1">
      <c r="A79" s="3333" t="s">
        <v>427</v>
      </c>
      <c r="B79" s="3333"/>
      <c r="C79" s="3333"/>
      <c r="D79" s="3333"/>
      <c r="E79" s="3333"/>
      <c r="F79" s="42"/>
      <c r="G79" s="42"/>
      <c r="H79" s="1002"/>
      <c r="I79" s="311"/>
      <c r="J79" s="2034"/>
      <c r="K79" s="3327">
        <f>K77+1</f>
        <v>6</v>
      </c>
      <c r="L79" s="3329" t="s">
        <v>2887</v>
      </c>
      <c r="M79" s="3035" t="s">
        <v>421</v>
      </c>
      <c r="N79" s="1301"/>
      <c r="O79" s="1302" t="e">
        <f ca="1">N69-O77</f>
        <v>#VALUE!</v>
      </c>
      <c r="P79" s="1303"/>
      <c r="Q79" s="2027"/>
      <c r="R79" s="2027"/>
      <c r="S79" s="2027"/>
      <c r="T79" s="2027"/>
      <c r="U79" s="2027"/>
      <c r="V79" s="2027"/>
    </row>
    <row r="80" spans="1:22" ht="12.75">
      <c r="A80" s="3334" t="s">
        <v>428</v>
      </c>
      <c r="B80" s="3335"/>
      <c r="C80" s="993"/>
      <c r="D80" s="993" t="s">
        <v>429</v>
      </c>
      <c r="E80" s="370" t="s">
        <v>430</v>
      </c>
      <c r="F80" s="42"/>
      <c r="G80" s="42"/>
      <c r="H80" s="1002"/>
      <c r="I80" s="311"/>
      <c r="J80" s="2027"/>
      <c r="K80" s="3328"/>
      <c r="L80" s="3329"/>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227852</v>
      </c>
      <c r="D81" s="373"/>
      <c r="E81" s="374"/>
      <c r="F81" s="42"/>
      <c r="G81" s="42"/>
      <c r="H81" s="1002"/>
      <c r="I81" s="311"/>
      <c r="J81" s="2027"/>
      <c r="K81" s="3029">
        <f>K79+1</f>
        <v>7</v>
      </c>
      <c r="L81" s="3341" t="s">
        <v>2888</v>
      </c>
      <c r="M81" s="3342"/>
      <c r="N81" s="1305"/>
      <c r="O81" s="1306" t="e">
        <f ca="1">ROUND(O79*10000/'数据-汇总表'!E3,0)</f>
        <v>#VALUE!</v>
      </c>
      <c r="P81" s="1307"/>
      <c r="Q81" s="2027"/>
      <c r="R81" s="2027"/>
      <c r="S81" s="2027"/>
      <c r="T81" s="2027"/>
      <c r="U81" s="2027"/>
      <c r="V81" s="2027"/>
    </row>
    <row r="82" spans="1:26" ht="13.5" thickTop="1">
      <c r="A82" s="375" t="s">
        <v>1825</v>
      </c>
      <c r="B82" s="376" t="s">
        <v>432</v>
      </c>
      <c r="C82" s="377">
        <f ca="1">D63</f>
        <v>239245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16"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16"/>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225852</v>
      </c>
      <c r="D85" s="378" t="s">
        <v>19</v>
      </c>
      <c r="E85" s="379"/>
      <c r="F85" s="42"/>
      <c r="G85" s="42"/>
      <c r="H85" s="1002"/>
      <c r="I85" s="311"/>
      <c r="J85" s="2027"/>
      <c r="K85" s="3316"/>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12648</v>
      </c>
      <c r="D86" s="389">
        <f>'数据-取费表'!B41</f>
        <v>5.6000000000000001E-2</v>
      </c>
      <c r="E86" s="390"/>
      <c r="F86" s="42"/>
      <c r="G86" s="42"/>
      <c r="H86" s="1002"/>
      <c r="I86" s="311"/>
      <c r="J86" s="2027"/>
      <c r="K86" s="3316"/>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16"/>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70" t="s">
        <v>437</v>
      </c>
      <c r="B88" s="3371"/>
      <c r="C88" s="3371"/>
      <c r="D88" s="3371"/>
      <c r="E88" s="3371"/>
      <c r="F88" s="3371"/>
      <c r="G88" s="3371"/>
      <c r="H88" s="3371"/>
      <c r="I88" s="1314"/>
      <c r="J88" s="2035"/>
      <c r="K88" s="3316"/>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34" t="s">
        <v>428</v>
      </c>
      <c r="B89" s="3335"/>
      <c r="C89" s="993"/>
      <c r="D89" s="993" t="s">
        <v>429</v>
      </c>
      <c r="E89" s="391" t="s">
        <v>438</v>
      </c>
      <c r="F89" s="392"/>
      <c r="G89" s="392"/>
      <c r="H89" s="393"/>
      <c r="I89" s="1315"/>
      <c r="J89" s="2037"/>
      <c r="K89" s="3316"/>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227852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3928</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67" t="s">
        <v>447</v>
      </c>
      <c r="F94" s="3368"/>
      <c r="G94" s="3368"/>
      <c r="H94" s="336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1367</v>
      </c>
      <c r="D96" s="406">
        <f>'数据-取费表'!B43</f>
        <v>6.000000000000001E-3</v>
      </c>
      <c r="E96" s="3357" t="s">
        <v>2429</v>
      </c>
      <c r="F96" s="3358"/>
      <c r="G96" s="3358"/>
      <c r="H96" s="335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223924</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57.007128309572302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132980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0" t="s">
        <v>454</v>
      </c>
      <c r="B101" s="3371"/>
      <c r="C101" s="3371"/>
      <c r="D101" s="3371"/>
      <c r="E101" s="3371"/>
      <c r="F101" s="3371"/>
      <c r="G101" s="3371"/>
      <c r="H101" s="337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34" t="s">
        <v>428</v>
      </c>
      <c r="B102" s="3335"/>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227852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2057</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60" t="s">
        <v>462</v>
      </c>
      <c r="F109" s="3358"/>
      <c r="G109" s="3358"/>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60" t="s">
        <v>464</v>
      </c>
      <c r="F110" s="3358"/>
      <c r="G110" s="3358"/>
      <c r="H110" s="335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1367</v>
      </c>
      <c r="D111" s="406">
        <f>'数据-取费表'!B43</f>
        <v>6.000000000000001E-3</v>
      </c>
      <c r="E111" s="3357" t="s">
        <v>2429</v>
      </c>
      <c r="F111" s="3358"/>
      <c r="G111" s="3358"/>
      <c r="H111" s="335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60" t="s">
        <v>2454</v>
      </c>
      <c r="F112" s="3358"/>
      <c r="G112" s="3358"/>
      <c r="H112" s="335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225795</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109.76908118619349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134757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396" t="s">
        <v>2305</v>
      </c>
      <c r="D1" s="3397"/>
      <c r="E1" s="3397"/>
      <c r="F1" s="3397"/>
      <c r="G1" s="3397"/>
      <c r="H1" s="3397"/>
      <c r="I1" s="3397"/>
      <c r="J1" s="3397"/>
      <c r="K1" s="3397"/>
      <c r="L1" s="3397"/>
      <c r="M1" s="3397"/>
      <c r="N1" s="3397"/>
      <c r="O1" s="3397"/>
      <c r="P1" s="3397"/>
      <c r="Q1" s="3397"/>
      <c r="R1" s="3397"/>
      <c r="S1" s="3398"/>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496495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22052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393" t="s">
        <v>20</v>
      </c>
      <c r="D22" s="3394"/>
      <c r="E22" s="3394"/>
      <c r="F22" s="3394"/>
      <c r="G22" s="3394"/>
      <c r="H22" s="3394"/>
      <c r="I22" s="3394"/>
      <c r="J22" s="3394"/>
      <c r="K22" s="3394"/>
      <c r="L22" s="3394"/>
      <c r="M22" s="3394"/>
      <c r="N22" s="3394"/>
      <c r="O22" s="3394"/>
      <c r="P22" s="3394"/>
      <c r="Q22" s="3395"/>
      <c r="R22" s="490">
        <f ca="1">ROUND(S22*10000/B22,0)</f>
        <v>22052</v>
      </c>
      <c r="S22" s="53">
        <f ca="1">SUM(S24:S10000)</f>
        <v>496495</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22052</v>
      </c>
      <c r="S24" s="961">
        <f t="shared" ref="S24:S54" ca="1" si="11">ROUND(R24*B24/10000,0)</f>
        <v>398738</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22052</v>
      </c>
      <c r="S25" s="799">
        <f t="shared" ca="1" si="11"/>
        <v>97757</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3" sqref="M4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274786</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15197</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98777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6585</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21" t="s">
        <v>522</v>
      </c>
      <c r="D6" s="3422"/>
      <c r="E6" s="3421" t="s">
        <v>523</v>
      </c>
      <c r="F6" s="3422"/>
      <c r="G6" s="3421" t="s">
        <v>524</v>
      </c>
      <c r="H6" s="3422"/>
      <c r="I6" s="3421" t="s">
        <v>525</v>
      </c>
      <c r="J6" s="3422"/>
      <c r="K6" s="514" t="s">
        <v>526</v>
      </c>
      <c r="L6" s="2132"/>
      <c r="M6" s="2131"/>
      <c r="N6" s="2131"/>
      <c r="O6" s="2133"/>
      <c r="P6" s="3423" t="s">
        <v>527</v>
      </c>
      <c r="Q6" s="3424"/>
      <c r="R6" s="3409" t="s">
        <v>523</v>
      </c>
      <c r="S6" s="3410"/>
      <c r="T6" s="3409" t="s">
        <v>524</v>
      </c>
      <c r="U6" s="3410"/>
      <c r="V6" s="3429" t="s">
        <v>525</v>
      </c>
      <c r="W6" s="3429"/>
      <c r="X6" s="1566"/>
      <c r="Y6" s="3409" t="s">
        <v>527</v>
      </c>
      <c r="Z6" s="3410"/>
      <c r="AA6" s="3404" t="s">
        <v>523</v>
      </c>
      <c r="AB6" s="3405" t="s">
        <v>524</v>
      </c>
      <c r="AC6" s="3404" t="s">
        <v>525</v>
      </c>
    </row>
    <row r="7" spans="1:30" ht="20.25">
      <c r="A7" s="515"/>
      <c r="B7" s="516"/>
      <c r="C7" s="3432" t="s">
        <v>2932</v>
      </c>
      <c r="D7" s="3433"/>
      <c r="E7" s="3432" t="str">
        <f>土地案例!A2</f>
        <v>龙华区福城街道</v>
      </c>
      <c r="F7" s="3433"/>
      <c r="G7" s="3432" t="str">
        <f>土地案例!A4</f>
        <v>龙岗区平湖街道</v>
      </c>
      <c r="H7" s="3433"/>
      <c r="I7" s="3432" t="str">
        <f>土地案例!A5</f>
        <v>龙华民治街道</v>
      </c>
      <c r="J7" s="3433"/>
      <c r="K7" s="514"/>
      <c r="L7" s="2132"/>
      <c r="M7" s="2131"/>
      <c r="N7" s="2131"/>
      <c r="O7" s="2133"/>
      <c r="P7" s="3425"/>
      <c r="Q7" s="3426"/>
      <c r="R7" s="3411"/>
      <c r="S7" s="3412"/>
      <c r="T7" s="3411"/>
      <c r="U7" s="3412"/>
      <c r="V7" s="3429"/>
      <c r="W7" s="3429"/>
      <c r="X7" s="1566"/>
      <c r="Y7" s="3411"/>
      <c r="Z7" s="3412"/>
      <c r="AA7" s="3405"/>
      <c r="AB7" s="3405"/>
      <c r="AC7" s="3405"/>
    </row>
    <row r="8" spans="1:30" ht="21" thickBot="1">
      <c r="A8" s="515"/>
      <c r="B8" s="516"/>
      <c r="C8" s="3434" t="s">
        <v>2936</v>
      </c>
      <c r="D8" s="3435"/>
      <c r="E8" s="3434" t="s">
        <v>2936</v>
      </c>
      <c r="F8" s="3435"/>
      <c r="G8" s="3430" t="s">
        <v>2936</v>
      </c>
      <c r="H8" s="3431"/>
      <c r="I8" s="3430" t="s">
        <v>2936</v>
      </c>
      <c r="J8" s="3431"/>
      <c r="K8" s="514" t="s">
        <v>528</v>
      </c>
      <c r="L8" s="2132"/>
      <c r="M8" s="2131"/>
      <c r="N8" s="2131"/>
      <c r="O8" s="2133"/>
      <c r="P8" s="3427"/>
      <c r="Q8" s="3428"/>
      <c r="R8" s="3411"/>
      <c r="S8" s="3412"/>
      <c r="T8" s="3413"/>
      <c r="U8" s="3414"/>
      <c r="V8" s="3429"/>
      <c r="W8" s="3429"/>
      <c r="X8" s="1566"/>
      <c r="Y8" s="3413"/>
      <c r="Z8" s="3414"/>
      <c r="AA8" s="3406"/>
      <c r="AB8" s="3406"/>
      <c r="AC8" s="3406"/>
    </row>
    <row r="9" spans="1:30" s="1219" customFormat="1" ht="21" thickBot="1">
      <c r="A9" s="2890"/>
      <c r="B9" s="2897" t="s">
        <v>529</v>
      </c>
      <c r="C9" s="2889">
        <f>'数据-取费表'!B2</f>
        <v>43438</v>
      </c>
      <c r="D9" s="520">
        <v>100</v>
      </c>
      <c r="E9" s="521" t="str">
        <f>土地案例!O2</f>
        <v>2018-09-26</v>
      </c>
      <c r="F9" s="522">
        <f>SUMIF(72:72,YEAR(E9)&amp;"-"&amp;INT((MONTH(E9)+2)/3),73:73)</f>
        <v>99</v>
      </c>
      <c r="G9" s="523" t="str">
        <f>土地案例!O4</f>
        <v>2018-02-01</v>
      </c>
      <c r="H9" s="520">
        <f>SUMIF(72:72,YEAR(G9)&amp;"-"&amp;INT((MONTH(G9)+2)/3),73:73)</f>
        <v>97</v>
      </c>
      <c r="I9" s="523" t="str">
        <f>土地案例!O5</f>
        <v>2017-11-10</v>
      </c>
      <c r="J9" s="520">
        <f>SUMIF(72:72,YEAR(I9)&amp;"-"&amp;INT((MONTH(I9)+2)/3),73:73)</f>
        <v>96</v>
      </c>
      <c r="K9" s="524"/>
      <c r="L9" s="2134"/>
      <c r="M9" s="2131"/>
      <c r="N9" s="2131"/>
      <c r="O9" s="2135"/>
      <c r="P9" s="3407" t="s">
        <v>530</v>
      </c>
      <c r="Q9" s="3416"/>
      <c r="R9" s="1567" t="s">
        <v>8</v>
      </c>
      <c r="S9" s="1568">
        <f t="shared" ref="S9:S17" si="0">F9</f>
        <v>99</v>
      </c>
      <c r="T9" s="1567" t="s">
        <v>8</v>
      </c>
      <c r="U9" s="1568">
        <f t="shared" ref="U9:U17" si="1">H9</f>
        <v>97</v>
      </c>
      <c r="V9" s="1567" t="s">
        <v>8</v>
      </c>
      <c r="W9" s="1568">
        <f t="shared" ref="W9:W17" si="2">J9</f>
        <v>96</v>
      </c>
      <c r="X9" s="1569"/>
      <c r="Y9" s="3407" t="s">
        <v>530</v>
      </c>
      <c r="Z9" s="3408"/>
      <c r="AA9" s="1570">
        <f>D9/F9</f>
        <v>1.0101010101010102</v>
      </c>
      <c r="AB9" s="1570">
        <f>D9/H9</f>
        <v>1.0309278350515463</v>
      </c>
      <c r="AC9" s="1570">
        <f>D9/J9</f>
        <v>1.0416666666666667</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07" t="s">
        <v>533</v>
      </c>
      <c r="Q10" s="3408"/>
      <c r="R10" s="1567" t="s">
        <v>8</v>
      </c>
      <c r="S10" s="1568">
        <f t="shared" si="0"/>
        <v>100</v>
      </c>
      <c r="T10" s="1567" t="s">
        <v>8</v>
      </c>
      <c r="U10" s="1568">
        <f t="shared" si="1"/>
        <v>100</v>
      </c>
      <c r="V10" s="1567" t="s">
        <v>8</v>
      </c>
      <c r="W10" s="1568">
        <f t="shared" si="2"/>
        <v>100</v>
      </c>
      <c r="X10" s="1569"/>
      <c r="Y10" s="3407" t="s">
        <v>533</v>
      </c>
      <c r="Z10" s="3408"/>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15" t="s">
        <v>535</v>
      </c>
      <c r="Q11" s="1150" t="str">
        <f t="shared" ref="Q11:Q17" si="6">B11</f>
        <v>用途</v>
      </c>
      <c r="R11" s="1567" t="s">
        <v>8</v>
      </c>
      <c r="S11" s="1568">
        <f t="shared" si="0"/>
        <v>100</v>
      </c>
      <c r="T11" s="1567" t="s">
        <v>8</v>
      </c>
      <c r="U11" s="1568">
        <f t="shared" si="1"/>
        <v>100</v>
      </c>
      <c r="V11" s="1567" t="s">
        <v>8</v>
      </c>
      <c r="W11" s="1568">
        <f t="shared" si="2"/>
        <v>100</v>
      </c>
      <c r="X11" s="1569"/>
      <c r="Y11" s="3366"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15"/>
      <c r="Q12" s="1150" t="str">
        <f t="shared" si="6"/>
        <v>土地使用年限（年）</v>
      </c>
      <c r="R12" s="1567" t="s">
        <v>8</v>
      </c>
      <c r="S12" s="1568">
        <f t="shared" si="0"/>
        <v>100</v>
      </c>
      <c r="T12" s="1567" t="s">
        <v>8</v>
      </c>
      <c r="U12" s="1568">
        <f t="shared" si="1"/>
        <v>100</v>
      </c>
      <c r="V12" s="1567" t="s">
        <v>8</v>
      </c>
      <c r="W12" s="1568">
        <f t="shared" si="2"/>
        <v>100</v>
      </c>
      <c r="X12" s="1569"/>
      <c r="Y12" s="3366"/>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15"/>
      <c r="Q13" s="1150" t="str">
        <f t="shared" si="6"/>
        <v>容积率</v>
      </c>
      <c r="R13" s="1567" t="s">
        <v>8</v>
      </c>
      <c r="S13" s="1568">
        <f t="shared" si="0"/>
        <v>106</v>
      </c>
      <c r="T13" s="1567" t="s">
        <v>8</v>
      </c>
      <c r="U13" s="1568">
        <f t="shared" si="1"/>
        <v>103</v>
      </c>
      <c r="V13" s="1567" t="s">
        <v>8</v>
      </c>
      <c r="W13" s="1568">
        <f t="shared" si="2"/>
        <v>103</v>
      </c>
      <c r="X13" s="1569"/>
      <c r="Y13" s="3366"/>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2" t="s">
        <v>3113</v>
      </c>
      <c r="H14" s="3227">
        <f>SUMIF(84:84,G14,85:85)-SUMIF(84:84,C14,85:85)+100</f>
        <v>70</v>
      </c>
      <c r="I14" s="3183" t="s">
        <v>3113</v>
      </c>
      <c r="J14" s="3227">
        <f>SUMIF(84:84,I14,85:85)-SUMIF(84:84,C14,85:85)+100</f>
        <v>70</v>
      </c>
      <c r="K14" s="531"/>
      <c r="L14" s="2134"/>
      <c r="M14" s="2131"/>
      <c r="N14" s="2131"/>
      <c r="O14" s="2136"/>
      <c r="P14" s="3415"/>
      <c r="Q14" s="1150" t="str">
        <f t="shared" si="6"/>
        <v>配建</v>
      </c>
      <c r="R14" s="1567" t="s">
        <v>8</v>
      </c>
      <c r="S14" s="1568">
        <f t="shared" si="0"/>
        <v>120</v>
      </c>
      <c r="T14" s="1567" t="s">
        <v>8</v>
      </c>
      <c r="U14" s="1568">
        <f t="shared" si="1"/>
        <v>70</v>
      </c>
      <c r="V14" s="1567" t="s">
        <v>8</v>
      </c>
      <c r="W14" s="1568">
        <f t="shared" si="2"/>
        <v>70</v>
      </c>
      <c r="X14" s="1569"/>
      <c r="Y14" s="3366"/>
      <c r="Z14" s="1149" t="str">
        <f t="shared" si="7"/>
        <v>配建</v>
      </c>
      <c r="AA14" s="1570">
        <f>D14/F14</f>
        <v>0.83333333333333337</v>
      </c>
      <c r="AB14" s="1570">
        <f>D14/H14</f>
        <v>1.4285714285714286</v>
      </c>
      <c r="AC14" s="1570">
        <f>D14/J14</f>
        <v>1.4285714285714286</v>
      </c>
    </row>
    <row r="15" spans="1:30" ht="42" thickBot="1">
      <c r="A15" s="2895"/>
      <c r="B15" s="2901">
        <v>111</v>
      </c>
      <c r="C15" s="911" t="s">
        <v>3111</v>
      </c>
      <c r="D15" s="540">
        <v>100</v>
      </c>
      <c r="E15" s="3181" t="s">
        <v>3117</v>
      </c>
      <c r="F15" s="255">
        <f>SUMIF(86:86,E15,87:87)-SUMIF(86:86,C15,87:87)+100</f>
        <v>100</v>
      </c>
      <c r="G15" s="3179" t="s">
        <v>3112</v>
      </c>
      <c r="H15" s="540">
        <f>SUMIF(86:86,G15,87:87)-SUMIF(86:86,C15,87:87)+100</f>
        <v>100</v>
      </c>
      <c r="I15" s="3179" t="s">
        <v>3113</v>
      </c>
      <c r="J15" s="540">
        <f>SUMIF(86:86,I15,87:87)-SUMIF(86:86,C15,87:87)+100</f>
        <v>100</v>
      </c>
      <c r="K15" s="531"/>
      <c r="L15" s="2141"/>
      <c r="M15" s="2131"/>
      <c r="N15" s="2131"/>
      <c r="O15" s="2140"/>
      <c r="P15" s="3415"/>
      <c r="Q15" s="1150">
        <f t="shared" si="6"/>
        <v>111</v>
      </c>
      <c r="R15" s="1567" t="s">
        <v>8</v>
      </c>
      <c r="S15" s="1568">
        <f t="shared" si="0"/>
        <v>100</v>
      </c>
      <c r="T15" s="1567" t="s">
        <v>8</v>
      </c>
      <c r="U15" s="1568">
        <f t="shared" si="1"/>
        <v>100</v>
      </c>
      <c r="V15" s="1567" t="s">
        <v>8</v>
      </c>
      <c r="W15" s="1568">
        <f t="shared" si="2"/>
        <v>100</v>
      </c>
      <c r="X15" s="1569"/>
      <c r="Y15" s="3366"/>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5"/>
      <c r="Q16" s="1150">
        <f t="shared" si="6"/>
        <v>111</v>
      </c>
      <c r="R16" s="1567" t="s">
        <v>8</v>
      </c>
      <c r="S16" s="1568">
        <f t="shared" si="0"/>
        <v>100</v>
      </c>
      <c r="T16" s="1567" t="s">
        <v>8</v>
      </c>
      <c r="U16" s="1568">
        <f t="shared" si="1"/>
        <v>100</v>
      </c>
      <c r="V16" s="1567" t="s">
        <v>8</v>
      </c>
      <c r="W16" s="1568">
        <f t="shared" si="2"/>
        <v>100</v>
      </c>
      <c r="X16" s="1569"/>
      <c r="Y16" s="3366"/>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17" t="s">
        <v>540</v>
      </c>
      <c r="Q17" s="1571" t="str">
        <f t="shared" si="6"/>
        <v>居住社区成熟度</v>
      </c>
      <c r="R17" s="1572" t="s">
        <v>8</v>
      </c>
      <c r="S17" s="1573">
        <f t="shared" si="0"/>
        <v>100</v>
      </c>
      <c r="T17" s="1572" t="s">
        <v>8</v>
      </c>
      <c r="U17" s="1573">
        <f t="shared" si="1"/>
        <v>100</v>
      </c>
      <c r="V17" s="1572" t="s">
        <v>8</v>
      </c>
      <c r="W17" s="1573">
        <f t="shared" si="2"/>
        <v>100</v>
      </c>
      <c r="X17" s="1566"/>
      <c r="Y17" s="3417"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18"/>
      <c r="Q18" s="1571"/>
      <c r="R18" s="1572"/>
      <c r="S18" s="1573"/>
      <c r="T18" s="1572"/>
      <c r="U18" s="1573"/>
      <c r="V18" s="1572"/>
      <c r="W18" s="1573"/>
      <c r="X18" s="1566"/>
      <c r="Y18" s="3418"/>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18"/>
      <c r="Q19" s="1571" t="str">
        <f>B19</f>
        <v>商业繁华度</v>
      </c>
      <c r="R19" s="1572" t="s">
        <v>8</v>
      </c>
      <c r="S19" s="1573">
        <f>F19</f>
        <v>100</v>
      </c>
      <c r="T19" s="1572" t="s">
        <v>8</v>
      </c>
      <c r="U19" s="1573">
        <f>H19</f>
        <v>100</v>
      </c>
      <c r="V19" s="1572" t="s">
        <v>8</v>
      </c>
      <c r="W19" s="1573">
        <f>J19</f>
        <v>103</v>
      </c>
      <c r="X19" s="1566"/>
      <c r="Y19" s="3418"/>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18"/>
      <c r="Q20" s="1571"/>
      <c r="R20" s="1572"/>
      <c r="S20" s="1573"/>
      <c r="T20" s="1572"/>
      <c r="U20" s="1573"/>
      <c r="V20" s="1572"/>
      <c r="W20" s="1573"/>
      <c r="X20" s="1566"/>
      <c r="Y20" s="3418"/>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102</v>
      </c>
      <c r="G21" s="570"/>
      <c r="H21" s="559">
        <f>SUMIF(94:94,G22,95:95)-SUMIF(94:94,C22,95:95)+100</f>
        <v>100</v>
      </c>
      <c r="I21" s="572"/>
      <c r="J21" s="559">
        <f>SUMIF(94:94,I22,95:95)-SUMIF(94:94,C22,95:95)+100</f>
        <v>102</v>
      </c>
      <c r="K21" s="535">
        <v>2</v>
      </c>
      <c r="L21" s="2141"/>
      <c r="M21" s="2131"/>
      <c r="N21" s="2131"/>
      <c r="O21" s="2140"/>
      <c r="P21" s="3418"/>
      <c r="Q21" s="1571" t="str">
        <f>B21</f>
        <v>办公集聚程度</v>
      </c>
      <c r="R21" s="1572" t="s">
        <v>8</v>
      </c>
      <c r="S21" s="1573">
        <f>F21</f>
        <v>102</v>
      </c>
      <c r="T21" s="1572" t="s">
        <v>8</v>
      </c>
      <c r="U21" s="1573">
        <f>H21</f>
        <v>100</v>
      </c>
      <c r="V21" s="1572" t="s">
        <v>8</v>
      </c>
      <c r="W21" s="1573">
        <f>J21</f>
        <v>102</v>
      </c>
      <c r="X21" s="1566"/>
      <c r="Y21" s="3418"/>
      <c r="Z21" s="1574" t="str">
        <f>Q21</f>
        <v>办公集聚程度</v>
      </c>
      <c r="AA21" s="1575">
        <f t="shared" si="3"/>
        <v>0.98039215686274506</v>
      </c>
      <c r="AB21" s="1575">
        <f t="shared" si="4"/>
        <v>1</v>
      </c>
      <c r="AC21" s="1575">
        <f t="shared" si="5"/>
        <v>0.98039215686274506</v>
      </c>
    </row>
    <row r="22" spans="1:29" ht="20.25">
      <c r="A22" s="532"/>
      <c r="B22" s="566"/>
      <c r="C22" s="554" t="s">
        <v>3109</v>
      </c>
      <c r="D22" s="557"/>
      <c r="E22" s="558" t="s">
        <v>3108</v>
      </c>
      <c r="F22" s="555"/>
      <c r="G22" s="569" t="s">
        <v>3109</v>
      </c>
      <c r="H22" s="555"/>
      <c r="I22" s="558" t="s">
        <v>3108</v>
      </c>
      <c r="J22" s="555"/>
      <c r="K22" s="531"/>
      <c r="L22" s="2141"/>
      <c r="M22" s="2131"/>
      <c r="N22" s="2131"/>
      <c r="O22" s="2140"/>
      <c r="P22" s="3418"/>
      <c r="Q22" s="1571"/>
      <c r="R22" s="1572"/>
      <c r="S22" s="1573"/>
      <c r="T22" s="1572"/>
      <c r="U22" s="1573"/>
      <c r="V22" s="1572"/>
      <c r="W22" s="1573"/>
      <c r="X22" s="1566"/>
      <c r="Y22" s="3418"/>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95</v>
      </c>
      <c r="I23" s="564"/>
      <c r="J23" s="559">
        <f>SUMIF(96:96,I24,97:97)-SUMIF(96:96,C24,97:97)+100</f>
        <v>105</v>
      </c>
      <c r="K23" s="535">
        <v>5</v>
      </c>
      <c r="L23" s="2141"/>
      <c r="M23" s="2131"/>
      <c r="N23" s="2131"/>
      <c r="O23" s="2140"/>
      <c r="P23" s="3418"/>
      <c r="Q23" s="1571" t="str">
        <f>B23</f>
        <v>交通便捷度</v>
      </c>
      <c r="R23" s="1572" t="s">
        <v>8</v>
      </c>
      <c r="S23" s="1573">
        <f>F23</f>
        <v>95</v>
      </c>
      <c r="T23" s="1572" t="s">
        <v>8</v>
      </c>
      <c r="U23" s="1573">
        <f>H23</f>
        <v>95</v>
      </c>
      <c r="V23" s="1572" t="s">
        <v>8</v>
      </c>
      <c r="W23" s="1573">
        <f>J23</f>
        <v>105</v>
      </c>
      <c r="X23" s="1566"/>
      <c r="Y23" s="3418"/>
      <c r="Z23" s="1574" t="str">
        <f>Q23</f>
        <v>交通便捷度</v>
      </c>
      <c r="AA23" s="1575">
        <f t="shared" si="3"/>
        <v>1.0526315789473684</v>
      </c>
      <c r="AB23" s="1575">
        <f t="shared" si="4"/>
        <v>1.0526315789473684</v>
      </c>
      <c r="AC23" s="1575">
        <f t="shared" si="5"/>
        <v>0.95238095238095233</v>
      </c>
    </row>
    <row r="24" spans="1:29" ht="20.25">
      <c r="A24" s="532"/>
      <c r="B24" s="578"/>
      <c r="C24" s="554" t="s">
        <v>3108</v>
      </c>
      <c r="D24" s="557"/>
      <c r="E24" s="569" t="s">
        <v>3109</v>
      </c>
      <c r="F24" s="555"/>
      <c r="G24" s="569" t="s">
        <v>3109</v>
      </c>
      <c r="H24" s="555"/>
      <c r="I24" s="558" t="s">
        <v>3125</v>
      </c>
      <c r="J24" s="555"/>
      <c r="K24" s="531"/>
      <c r="L24" s="2141"/>
      <c r="M24" s="2131"/>
      <c r="N24" s="2131"/>
      <c r="O24" s="2140"/>
      <c r="P24" s="3418"/>
      <c r="Q24" s="1571"/>
      <c r="R24" s="1572"/>
      <c r="S24" s="1573"/>
      <c r="T24" s="1572"/>
      <c r="U24" s="1573"/>
      <c r="V24" s="1572"/>
      <c r="W24" s="1573"/>
      <c r="X24" s="1566"/>
      <c r="Y24" s="3418"/>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6">
        <v>5</v>
      </c>
      <c r="L25" s="2141"/>
      <c r="M25" s="2131"/>
      <c r="N25" s="2131"/>
      <c r="O25" s="2140"/>
      <c r="P25" s="3418"/>
      <c r="Q25" s="1571" t="str">
        <f t="shared" ref="Q25:Q39" si="8">B25</f>
        <v>区域土地利用方向</v>
      </c>
      <c r="R25" s="1572" t="s">
        <v>8</v>
      </c>
      <c r="S25" s="1573">
        <f>F25</f>
        <v>100</v>
      </c>
      <c r="T25" s="1572" t="s">
        <v>8</v>
      </c>
      <c r="U25" s="1573">
        <f>H25</f>
        <v>100</v>
      </c>
      <c r="V25" s="1572" t="s">
        <v>8</v>
      </c>
      <c r="W25" s="1573">
        <f>J25</f>
        <v>100</v>
      </c>
      <c r="X25" s="1566"/>
      <c r="Y25" s="3418"/>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18"/>
      <c r="Q26" s="1571"/>
      <c r="R26" s="1572"/>
      <c r="S26" s="1573"/>
      <c r="T26" s="1572"/>
      <c r="U26" s="1573"/>
      <c r="V26" s="1572"/>
      <c r="W26" s="1573"/>
      <c r="X26" s="1566"/>
      <c r="Y26" s="3418"/>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18"/>
      <c r="Q27" s="1571" t="str">
        <f t="shared" si="8"/>
        <v>自然及人文环境状况</v>
      </c>
      <c r="R27" s="1572" t="s">
        <v>8</v>
      </c>
      <c r="S27" s="1573">
        <f>F27</f>
        <v>100</v>
      </c>
      <c r="T27" s="1572" t="s">
        <v>8</v>
      </c>
      <c r="U27" s="1573">
        <f>H27</f>
        <v>100</v>
      </c>
      <c r="V27" s="1572" t="s">
        <v>8</v>
      </c>
      <c r="W27" s="1573">
        <f>J27</f>
        <v>100</v>
      </c>
      <c r="X27" s="1566"/>
      <c r="Y27" s="3418"/>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18"/>
      <c r="Q28" s="1571"/>
      <c r="R28" s="1572"/>
      <c r="S28" s="1573"/>
      <c r="T28" s="1572"/>
      <c r="U28" s="1573"/>
      <c r="V28" s="1572"/>
      <c r="W28" s="1573"/>
      <c r="X28" s="1566"/>
      <c r="Y28" s="3418"/>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535">
        <v>3</v>
      </c>
      <c r="L29" s="2134"/>
      <c r="M29" s="2131"/>
      <c r="N29" s="2131"/>
      <c r="O29" s="2136"/>
      <c r="P29" s="3418"/>
      <c r="Q29" s="1150" t="str">
        <f t="shared" si="8"/>
        <v>公共配套设施</v>
      </c>
      <c r="R29" s="1567" t="s">
        <v>8</v>
      </c>
      <c r="S29" s="1568">
        <f>F29</f>
        <v>97</v>
      </c>
      <c r="T29" s="1567" t="s">
        <v>8</v>
      </c>
      <c r="U29" s="1568">
        <f>H29</f>
        <v>100</v>
      </c>
      <c r="V29" s="1567" t="s">
        <v>8</v>
      </c>
      <c r="W29" s="1568">
        <f>J29</f>
        <v>100</v>
      </c>
      <c r="X29" s="1569"/>
      <c r="Y29" s="3418"/>
      <c r="Z29" s="1149" t="str">
        <f>Q29</f>
        <v>公共配套设施</v>
      </c>
      <c r="AA29" s="1575">
        <f>D29/F29</f>
        <v>1.0309278350515463</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18"/>
      <c r="Q30" s="1150"/>
      <c r="R30" s="1567"/>
      <c r="S30" s="1568"/>
      <c r="T30" s="1567"/>
      <c r="U30" s="1568"/>
      <c r="V30" s="1567"/>
      <c r="W30" s="1568"/>
      <c r="X30" s="1569"/>
      <c r="Y30" s="3418"/>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18"/>
      <c r="Q31" s="2556" t="str">
        <f t="shared" ref="Q31" si="9">B31</f>
        <v>基础设施水平</v>
      </c>
      <c r="R31" s="1567" t="s">
        <v>8</v>
      </c>
      <c r="S31" s="1568">
        <f>F31</f>
        <v>100</v>
      </c>
      <c r="T31" s="1567" t="s">
        <v>8</v>
      </c>
      <c r="U31" s="1568">
        <f>H31</f>
        <v>100</v>
      </c>
      <c r="V31" s="1567" t="s">
        <v>8</v>
      </c>
      <c r="W31" s="1568">
        <f>J31</f>
        <v>100</v>
      </c>
      <c r="X31" s="1569"/>
      <c r="Y31" s="3418"/>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18"/>
      <c r="Q32" s="2556"/>
      <c r="R32" s="1567"/>
      <c r="S32" s="1568"/>
      <c r="T32" s="1567"/>
      <c r="U32" s="1568"/>
      <c r="V32" s="1567"/>
      <c r="W32" s="1568"/>
      <c r="X32" s="1569"/>
      <c r="Y32" s="3418"/>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1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8"/>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18"/>
      <c r="Q34" s="1571" t="str">
        <f t="shared" si="8"/>
        <v>毗邻道路的类型与等级</v>
      </c>
      <c r="R34" s="1572" t="s">
        <v>8</v>
      </c>
      <c r="S34" s="1573">
        <f t="shared" si="10"/>
        <v>100</v>
      </c>
      <c r="T34" s="1572" t="s">
        <v>8</v>
      </c>
      <c r="U34" s="1573">
        <f t="shared" si="11"/>
        <v>100</v>
      </c>
      <c r="V34" s="1572" t="s">
        <v>8</v>
      </c>
      <c r="W34" s="1573">
        <f t="shared" si="12"/>
        <v>100</v>
      </c>
      <c r="X34" s="1566"/>
      <c r="Y34" s="3418"/>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18"/>
      <c r="Q35" s="1571"/>
      <c r="R35" s="1572"/>
      <c r="S35" s="1573"/>
      <c r="T35" s="1572"/>
      <c r="U35" s="1573"/>
      <c r="V35" s="1572"/>
      <c r="W35" s="1573"/>
      <c r="X35" s="1566"/>
      <c r="Y35" s="3418"/>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8"/>
      <c r="Q36" s="1571" t="str">
        <f t="shared" si="8"/>
        <v>土地级别</v>
      </c>
      <c r="R36" s="1572" t="s">
        <v>8</v>
      </c>
      <c r="S36" s="1573">
        <f t="shared" si="10"/>
        <v>100</v>
      </c>
      <c r="T36" s="1572" t="s">
        <v>8</v>
      </c>
      <c r="U36" s="1573">
        <f t="shared" si="11"/>
        <v>100</v>
      </c>
      <c r="V36" s="1572" t="s">
        <v>8</v>
      </c>
      <c r="W36" s="1573">
        <f t="shared" si="12"/>
        <v>100</v>
      </c>
      <c r="X36" s="1566"/>
      <c r="Y36" s="3418"/>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8"/>
      <c r="Q37" s="1571">
        <f t="shared" si="8"/>
        <v>111</v>
      </c>
      <c r="R37" s="1572" t="s">
        <v>8</v>
      </c>
      <c r="S37" s="1573">
        <f t="shared" si="10"/>
        <v>100</v>
      </c>
      <c r="T37" s="1572" t="s">
        <v>8</v>
      </c>
      <c r="U37" s="1573">
        <f t="shared" si="11"/>
        <v>100</v>
      </c>
      <c r="V37" s="1572" t="s">
        <v>8</v>
      </c>
      <c r="W37" s="1573">
        <f t="shared" si="12"/>
        <v>100</v>
      </c>
      <c r="X37" s="1566"/>
      <c r="Y37" s="3418"/>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9" t="s">
        <v>550</v>
      </c>
      <c r="Q38" s="1571">
        <f t="shared" si="8"/>
        <v>111</v>
      </c>
      <c r="R38" s="1572" t="s">
        <v>8</v>
      </c>
      <c r="S38" s="1573">
        <f t="shared" si="10"/>
        <v>100</v>
      </c>
      <c r="T38" s="1572" t="s">
        <v>8</v>
      </c>
      <c r="U38" s="1573">
        <f t="shared" si="11"/>
        <v>100</v>
      </c>
      <c r="V38" s="1572" t="s">
        <v>8</v>
      </c>
      <c r="W38" s="1573">
        <f t="shared" si="12"/>
        <v>100</v>
      </c>
      <c r="X38" s="1566"/>
      <c r="Y38" s="3420"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0"/>
      <c r="Q39" s="1571">
        <f t="shared" si="8"/>
        <v>111</v>
      </c>
      <c r="R39" s="1576" t="s">
        <v>8</v>
      </c>
      <c r="S39" s="1577">
        <f t="shared" si="10"/>
        <v>100</v>
      </c>
      <c r="T39" s="1576" t="s">
        <v>8</v>
      </c>
      <c r="U39" s="1577">
        <f t="shared" si="11"/>
        <v>100</v>
      </c>
      <c r="V39" s="1576" t="s">
        <v>8</v>
      </c>
      <c r="W39" s="1577">
        <f t="shared" si="12"/>
        <v>100</v>
      </c>
      <c r="X39" s="1578"/>
      <c r="Y39" s="3420"/>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20"/>
      <c r="Q40" s="1571" t="str">
        <f>B40</f>
        <v>宗地面积</v>
      </c>
      <c r="R40" s="1572" t="s">
        <v>8</v>
      </c>
      <c r="S40" s="1573">
        <f t="shared" si="10"/>
        <v>99</v>
      </c>
      <c r="T40" s="1572" t="s">
        <v>8</v>
      </c>
      <c r="U40" s="1573">
        <f t="shared" si="11"/>
        <v>99</v>
      </c>
      <c r="V40" s="1572" t="s">
        <v>8</v>
      </c>
      <c r="W40" s="1573">
        <f t="shared" si="12"/>
        <v>100</v>
      </c>
      <c r="X40" s="1566"/>
      <c r="Y40" s="3420"/>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20"/>
      <c r="Q41" s="1571" t="str">
        <f t="shared" ref="Q41:Q47" si="14">B41</f>
        <v>宗地形状</v>
      </c>
      <c r="R41" s="1572" t="s">
        <v>8</v>
      </c>
      <c r="S41" s="1573">
        <f t="shared" si="10"/>
        <v>100</v>
      </c>
      <c r="T41" s="1572" t="s">
        <v>8</v>
      </c>
      <c r="U41" s="1573">
        <f t="shared" si="11"/>
        <v>100</v>
      </c>
      <c r="V41" s="1572" t="s">
        <v>8</v>
      </c>
      <c r="W41" s="1573">
        <f t="shared" si="12"/>
        <v>100</v>
      </c>
      <c r="X41" s="1566"/>
      <c r="Y41" s="3420"/>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0"/>
      <c r="Q42" s="1571" t="str">
        <f t="shared" si="14"/>
        <v>临街宽度及深度</v>
      </c>
      <c r="R42" s="1572" t="s">
        <v>8</v>
      </c>
      <c r="S42" s="1573">
        <f t="shared" si="10"/>
        <v>100</v>
      </c>
      <c r="T42" s="1572" t="s">
        <v>8</v>
      </c>
      <c r="U42" s="1573">
        <f t="shared" si="11"/>
        <v>100</v>
      </c>
      <c r="V42" s="1572" t="s">
        <v>8</v>
      </c>
      <c r="W42" s="1573">
        <f t="shared" si="12"/>
        <v>100</v>
      </c>
      <c r="X42" s="1566"/>
      <c r="Y42" s="3420"/>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20"/>
      <c r="Q43" s="1571" t="str">
        <f t="shared" si="14"/>
        <v>宗地开发程度</v>
      </c>
      <c r="R43" s="1567" t="s">
        <v>8</v>
      </c>
      <c r="S43" s="1568">
        <f t="shared" si="10"/>
        <v>100</v>
      </c>
      <c r="T43" s="1567" t="s">
        <v>8</v>
      </c>
      <c r="U43" s="1568">
        <f t="shared" si="11"/>
        <v>100</v>
      </c>
      <c r="V43" s="1567" t="s">
        <v>8</v>
      </c>
      <c r="W43" s="1568">
        <f t="shared" si="12"/>
        <v>100</v>
      </c>
      <c r="X43" s="1569"/>
      <c r="Y43" s="3420"/>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20" t="s">
        <v>550</v>
      </c>
      <c r="Q44" s="1571" t="str">
        <f t="shared" si="14"/>
        <v>工程地质条件</v>
      </c>
      <c r="R44" s="1572" t="s">
        <v>8</v>
      </c>
      <c r="S44" s="1573">
        <f t="shared" si="10"/>
        <v>100</v>
      </c>
      <c r="T44" s="1572" t="s">
        <v>8</v>
      </c>
      <c r="U44" s="1573">
        <f t="shared" si="11"/>
        <v>100</v>
      </c>
      <c r="V44" s="1572" t="s">
        <v>8</v>
      </c>
      <c r="W44" s="1573">
        <f t="shared" si="12"/>
        <v>100</v>
      </c>
      <c r="X44" s="1566"/>
      <c r="Y44" s="3420"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0"/>
      <c r="Q45" s="1571">
        <f t="shared" si="14"/>
        <v>111</v>
      </c>
      <c r="R45" s="1572" t="s">
        <v>8</v>
      </c>
      <c r="S45" s="1573">
        <f t="shared" si="10"/>
        <v>100</v>
      </c>
      <c r="T45" s="1572" t="s">
        <v>8</v>
      </c>
      <c r="U45" s="1573">
        <f t="shared" si="11"/>
        <v>100</v>
      </c>
      <c r="V45" s="1572" t="s">
        <v>8</v>
      </c>
      <c r="W45" s="1573">
        <f t="shared" si="12"/>
        <v>100</v>
      </c>
      <c r="X45" s="1566"/>
      <c r="Y45" s="3420"/>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0"/>
      <c r="Q46" s="1571">
        <f t="shared" si="14"/>
        <v>111</v>
      </c>
      <c r="R46" s="1572" t="s">
        <v>8</v>
      </c>
      <c r="S46" s="1573">
        <f t="shared" si="10"/>
        <v>100</v>
      </c>
      <c r="T46" s="1572" t="s">
        <v>8</v>
      </c>
      <c r="U46" s="1573">
        <f t="shared" si="11"/>
        <v>100</v>
      </c>
      <c r="V46" s="1572" t="s">
        <v>8</v>
      </c>
      <c r="W46" s="1573">
        <f t="shared" si="12"/>
        <v>100</v>
      </c>
      <c r="X46" s="1566"/>
      <c r="Y46" s="3420"/>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0"/>
      <c r="Q47" s="1571">
        <f t="shared" si="14"/>
        <v>111</v>
      </c>
      <c r="R47" s="1576" t="s">
        <v>8</v>
      </c>
      <c r="S47" s="1577">
        <f t="shared" si="10"/>
        <v>100</v>
      </c>
      <c r="T47" s="1576" t="s">
        <v>8</v>
      </c>
      <c r="U47" s="1577">
        <f t="shared" si="11"/>
        <v>100</v>
      </c>
      <c r="V47" s="1576" t="s">
        <v>8</v>
      </c>
      <c r="W47" s="1577">
        <f t="shared" si="12"/>
        <v>100</v>
      </c>
      <c r="X47" s="1578"/>
      <c r="Y47" s="3420"/>
      <c r="Z47" s="1579">
        <f t="shared" si="13"/>
        <v>111</v>
      </c>
      <c r="AA47" s="1575">
        <f t="shared" si="3"/>
        <v>1</v>
      </c>
      <c r="AB47" s="1575">
        <f t="shared" si="4"/>
        <v>1</v>
      </c>
      <c r="AC47" s="1575">
        <f t="shared" si="5"/>
        <v>1</v>
      </c>
    </row>
    <row r="48" spans="1:29" ht="20.25">
      <c r="A48" s="607" t="s">
        <v>556</v>
      </c>
      <c r="B48" s="608" t="s">
        <v>3107</v>
      </c>
      <c r="C48" s="609" t="s">
        <v>1</v>
      </c>
      <c r="D48" s="610"/>
      <c r="E48" s="611">
        <f>土地案例!T2</f>
        <v>19177.18</v>
      </c>
      <c r="F48" s="612"/>
      <c r="G48" s="613">
        <f>土地案例!T4</f>
        <v>10477.11</v>
      </c>
      <c r="H48" s="614"/>
      <c r="I48" s="611">
        <f>土地案例!T5</f>
        <v>11199.81</v>
      </c>
      <c r="J48" s="614"/>
      <c r="K48" s="1339"/>
      <c r="L48" s="2143"/>
      <c r="M48" s="2131"/>
      <c r="N48" s="2131"/>
      <c r="O48" s="2144"/>
      <c r="P48" s="3415" t="str">
        <f>A48</f>
        <v>成交单价</v>
      </c>
      <c r="Q48" s="3415"/>
      <c r="R48" s="3429">
        <f>E48</f>
        <v>19177.18</v>
      </c>
      <c r="S48" s="3429"/>
      <c r="T48" s="3429">
        <f>G48</f>
        <v>10477.11</v>
      </c>
      <c r="U48" s="3429"/>
      <c r="V48" s="3429">
        <f>I48</f>
        <v>11199.81</v>
      </c>
      <c r="W48" s="3429"/>
      <c r="X48" s="1558"/>
      <c r="Y48" s="1580"/>
      <c r="Z48" s="1558"/>
      <c r="AA48" s="1558"/>
      <c r="AB48" s="1558"/>
      <c r="AC48" s="1558"/>
    </row>
    <row r="49" spans="1:29" ht="21" thickBot="1">
      <c r="A49" s="615" t="s">
        <v>2694</v>
      </c>
      <c r="B49" s="616"/>
      <c r="C49" s="617">
        <f>R50</f>
        <v>15654</v>
      </c>
      <c r="D49" s="618"/>
      <c r="E49" s="617">
        <f>R49</f>
        <v>16366</v>
      </c>
      <c r="F49" s="619"/>
      <c r="G49" s="620">
        <f>T49</f>
        <v>15929</v>
      </c>
      <c r="H49" s="618"/>
      <c r="I49" s="617">
        <f>V49</f>
        <v>14668</v>
      </c>
      <c r="J49" s="618"/>
      <c r="K49" s="1340"/>
      <c r="L49" s="2143"/>
      <c r="M49" s="2131"/>
      <c r="N49" s="2131"/>
      <c r="O49" s="2144"/>
      <c r="P49" s="3415" t="str">
        <f>A49</f>
        <v>比较价格（元/平方米）</v>
      </c>
      <c r="Q49" s="3415"/>
      <c r="R49" s="3439">
        <f>ROUND(PRODUCT(R48,AA9:AA47),0)</f>
        <v>16366</v>
      </c>
      <c r="S49" s="3439"/>
      <c r="T49" s="3439">
        <f>ROUND(PRODUCT(T48,AB9:AB47),0)</f>
        <v>15929</v>
      </c>
      <c r="U49" s="3439"/>
      <c r="V49" s="3439">
        <f>ROUND(PRODUCT(V48,AC9:AC47),0)</f>
        <v>14668</v>
      </c>
      <c r="W49" s="3439"/>
      <c r="X49" s="1558"/>
      <c r="Y49" s="1558"/>
      <c r="Z49" s="1558"/>
      <c r="AA49" s="1558"/>
      <c r="AB49" s="1558"/>
      <c r="AC49" s="1558"/>
    </row>
    <row r="50" spans="1:29" ht="21" thickBot="1">
      <c r="A50" s="621" t="s">
        <v>2938</v>
      </c>
      <c r="B50" s="622"/>
      <c r="C50" s="623">
        <f>R50</f>
        <v>15654</v>
      </c>
      <c r="D50" s="623"/>
      <c r="E50" s="623"/>
      <c r="F50" s="623"/>
      <c r="G50" s="623"/>
      <c r="H50" s="623"/>
      <c r="I50" s="623"/>
      <c r="J50" s="623"/>
      <c r="K50" s="1341"/>
      <c r="L50" s="2143"/>
      <c r="M50" s="2131"/>
      <c r="N50" s="2131"/>
      <c r="O50" s="2144"/>
      <c r="P50" s="3436" t="str">
        <f>A50</f>
        <v>估价对象XX用房的比较价格（楼面单价，元/平方米）</v>
      </c>
      <c r="Q50" s="3437"/>
      <c r="R50" s="3438">
        <f>ROUND(AVERAGE(R49:V49),0)</f>
        <v>15654</v>
      </c>
      <c r="S50" s="3438"/>
      <c r="T50" s="3438"/>
      <c r="U50" s="3438"/>
      <c r="V50" s="3438"/>
      <c r="W50" s="343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0.17176952218012964</v>
      </c>
      <c r="F53" s="627" t="str">
        <f>IF(OR(E53&gt;=0.3,E53&lt;=-0.3),"超过30%","")</f>
        <v/>
      </c>
      <c r="G53" s="626">
        <f>IF(G48&lt;G49,G49/G48-1,G48/G49-1)</f>
        <v>0.52036200822555068</v>
      </c>
      <c r="H53" s="627" t="str">
        <f>IF(OR(G53&gt;=0.3,G53&lt;=-0.3),"超过30%","")</f>
        <v>超过30%</v>
      </c>
      <c r="I53" s="626">
        <f>IF(I48&lt;I49,I49/I48-1,I48/I49-1)</f>
        <v>0.30966507467537396</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2.7434239437504004E-2</v>
      </c>
      <c r="F54" s="627" t="str">
        <f>IF(OR(E54&gt;=0.2,E54&lt;=-0.2),"超过20%","")</f>
        <v/>
      </c>
      <c r="G54" s="626">
        <f>IF(G49&lt;I49,I49/G49-1,G49/I49-1)</f>
        <v>8.5969457322061738E-2</v>
      </c>
      <c r="H54" s="627" t="str">
        <f>IF(OR(G54&gt;=0.2,G54&lt;=-0.2),"超过20%","")</f>
        <v/>
      </c>
      <c r="I54" s="626">
        <f>IF(I49&lt;E49,E49/I49-1,I49/E49-1)</f>
        <v>0.11576220343605126</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399" t="s">
        <v>2282</v>
      </c>
      <c r="H57" s="3400"/>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15654</v>
      </c>
      <c r="C58" s="635">
        <v>1</v>
      </c>
      <c r="D58" s="2227">
        <v>1</v>
      </c>
      <c r="E58" s="635">
        <f>'数据-汇总表'!E8+'数据-汇总表'!E9</f>
        <v>175537</v>
      </c>
      <c r="F58" s="636">
        <f t="shared" ref="F58:F67" si="15">ROUND(B58*E58/10000,0)</f>
        <v>274786</v>
      </c>
      <c r="G58" s="3401"/>
      <c r="H58" s="3402"/>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03"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03"/>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03"/>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03"/>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274786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2018-12-1</v>
      </c>
      <c r="D70" s="2777">
        <f>EDATE(C70,-3)</f>
        <v>43344</v>
      </c>
      <c r="E70" s="2777">
        <f t="shared" ref="E70:N70" si="18">EDATE(D70,-3)</f>
        <v>43252</v>
      </c>
      <c r="F70" s="2777">
        <f t="shared" si="18"/>
        <v>43160</v>
      </c>
      <c r="G70" s="2777">
        <f t="shared" si="18"/>
        <v>43070</v>
      </c>
      <c r="H70" s="2777">
        <f t="shared" si="18"/>
        <v>42979</v>
      </c>
      <c r="I70" s="2777">
        <f t="shared" si="18"/>
        <v>42887</v>
      </c>
      <c r="J70" s="2777">
        <f t="shared" si="18"/>
        <v>42795</v>
      </c>
      <c r="K70" s="2777">
        <f t="shared" si="18"/>
        <v>42705</v>
      </c>
      <c r="L70" s="2777">
        <f t="shared" si="18"/>
        <v>42614</v>
      </c>
      <c r="M70" s="2777">
        <f t="shared" si="18"/>
        <v>42522</v>
      </c>
      <c r="N70" s="2777">
        <f t="shared" si="18"/>
        <v>42430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2018-4</v>
      </c>
      <c r="D72" s="2779" t="str">
        <f>YEAR(D70)&amp;"-"&amp;ROUNDUP(MONTH(D70)/3,0)</f>
        <v>2018-3</v>
      </c>
      <c r="E72" s="2779" t="str">
        <f t="shared" ref="E72:N72" si="19">YEAR(E70)&amp;"-"&amp;ROUNDUP(MONTH(E70)/3,0)</f>
        <v>2018-2</v>
      </c>
      <c r="F72" s="2779" t="str">
        <f t="shared" si="19"/>
        <v>2018-1</v>
      </c>
      <c r="G72" s="2779" t="str">
        <f t="shared" si="19"/>
        <v>2017-4</v>
      </c>
      <c r="H72" s="2779" t="str">
        <f t="shared" si="19"/>
        <v>2017-3</v>
      </c>
      <c r="I72" s="2779" t="str">
        <f t="shared" si="19"/>
        <v>2017-2</v>
      </c>
      <c r="J72" s="2779" t="str">
        <f t="shared" si="19"/>
        <v>2017-1</v>
      </c>
      <c r="K72" s="2779" t="str">
        <f t="shared" si="19"/>
        <v>2016-4</v>
      </c>
      <c r="L72" s="2779" t="str">
        <f t="shared" si="19"/>
        <v>2016-3</v>
      </c>
      <c r="M72" s="2779" t="str">
        <f t="shared" si="19"/>
        <v>2016-2</v>
      </c>
      <c r="N72" s="2779"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北京市平均增长率2.19%</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80"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5">
        <v>50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8" t="str">
        <f>项目基本情况!B1</f>
        <v>出让国有建设用地使用权预评估</v>
      </c>
      <c r="C37" s="3228"/>
      <c r="D37" s="3228"/>
      <c r="E37" s="3228"/>
      <c r="F37" s="3228"/>
      <c r="G37" s="3228"/>
      <c r="H37" s="3228"/>
      <c r="I37" s="3228"/>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0" sqref="N1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451865</v>
      </c>
      <c r="C2" s="2103"/>
      <c r="D2" s="2103"/>
      <c r="E2" s="2103"/>
      <c r="F2" s="2103"/>
      <c r="G2" s="2103"/>
      <c r="H2" s="2103"/>
      <c r="I2" s="2103"/>
      <c r="J2" s="2103"/>
      <c r="K2" s="2103"/>
    </row>
    <row r="3" spans="1:31" s="2040" customFormat="1" ht="18" customHeight="1">
      <c r="A3" s="2105" t="s">
        <v>1685</v>
      </c>
      <c r="B3" s="2106">
        <f ca="1">ROUND(B2*10000/IF(B1="",'数据-汇总表'!E3,INDIRECT("'数据-取费表'!K"&amp;$K$1)),0)</f>
        <v>24990</v>
      </c>
      <c r="C3" s="2103"/>
      <c r="D3" s="2103"/>
      <c r="E3" s="2103"/>
      <c r="F3" s="2103"/>
      <c r="G3" s="2103"/>
      <c r="H3" s="2103"/>
      <c r="I3" s="2103"/>
      <c r="J3" s="2103"/>
      <c r="K3" s="2103"/>
    </row>
    <row r="4" spans="1:31" s="2040" customFormat="1" ht="18" customHeight="1">
      <c r="A4" s="426" t="s">
        <v>468</v>
      </c>
      <c r="B4" s="427">
        <f ca="1">ROUND(B2*10000/IF(B1="",'数据-汇总表'!D3,INDIRECT("'数据-取费表'!R"&amp;$K$1)),0)</f>
        <v>162432</v>
      </c>
      <c r="C4" s="428"/>
      <c r="D4" s="422"/>
      <c r="E4" s="422"/>
      <c r="F4" s="422"/>
      <c r="G4" s="422"/>
      <c r="H4" s="422"/>
      <c r="I4" s="422"/>
      <c r="J4" s="422"/>
      <c r="K4" s="422"/>
    </row>
    <row r="5" spans="1:31" s="2040" customFormat="1" ht="18" customHeight="1" thickBot="1">
      <c r="A5" s="429"/>
      <c r="B5" s="430">
        <f ca="1">ROUND(B2/(IF(B1="",'数据-汇总表'!D3,INDIRECT("'数据-取费表'!R"&amp;$K$1))/666.67),0)</f>
        <v>10829</v>
      </c>
      <c r="C5" s="431" t="s">
        <v>469</v>
      </c>
      <c r="D5" s="422"/>
      <c r="E5" s="422"/>
      <c r="F5" s="422"/>
      <c r="G5" s="422"/>
      <c r="H5" s="422"/>
      <c r="I5" s="422"/>
      <c r="J5" s="422"/>
      <c r="K5" s="422"/>
    </row>
    <row r="6" spans="1:31" s="2110" customFormat="1" ht="16.5" customHeight="1">
      <c r="A6" s="2806" t="s">
        <v>1843</v>
      </c>
      <c r="B6" s="2807"/>
      <c r="C6" s="2808">
        <f ca="1">SUM(C10:K10)</f>
        <v>685130</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32148</v>
      </c>
      <c r="D8" s="2812">
        <f ca="1">'不动产收益法（商业）'!B3</f>
        <v>99015</v>
      </c>
      <c r="E8" s="2812">
        <f>'不动产比较法-办公'!C50</f>
        <v>51333</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406904</v>
      </c>
      <c r="D10" s="3004">
        <f ca="1">ROUND(D8*D9/10000,0)</f>
        <v>55805</v>
      </c>
      <c r="E10" s="3004">
        <f>'不动产比较法-办公'!B2</f>
        <v>222421</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55225</v>
      </c>
      <c r="D13" s="2822"/>
      <c r="E13" s="2823"/>
      <c r="F13" s="2824"/>
      <c r="G13" s="2790"/>
      <c r="H13" s="2791"/>
      <c r="I13" s="2791"/>
      <c r="J13" s="2791"/>
      <c r="K13" s="2792"/>
    </row>
    <row r="14" spans="1:31" s="2115" customFormat="1" ht="13.5" customHeight="1">
      <c r="A14" s="2820" t="s">
        <v>1850</v>
      </c>
      <c r="B14" s="2821" t="s">
        <v>480</v>
      </c>
      <c r="C14" s="53">
        <f ca="1">ROUND(C13*F14,0)</f>
        <v>2761</v>
      </c>
      <c r="D14" s="2822"/>
      <c r="E14" s="2823"/>
      <c r="F14" s="2825">
        <f>'数据-取费表'!B33</f>
        <v>0.05</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3797</v>
      </c>
      <c r="D15" s="2822"/>
      <c r="E15" s="2823"/>
      <c r="F15" s="2825">
        <f>'数据-取费表'!B34</f>
        <v>0.1</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828</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66227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4"/>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10" t="s">
        <v>2835</v>
      </c>
      <c r="C23" s="2830">
        <f ca="1">ROUND((C18+C19+C20)*F23,0)</f>
        <v>1390</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17128</v>
      </c>
      <c r="D24" s="475"/>
      <c r="E24" s="473"/>
      <c r="F24" s="2834">
        <f>'数据-取费表'!B38</f>
        <v>2.5000000000000001E-2</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5256</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5256</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36540</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129795</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129795</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9" t="s">
        <v>2834</v>
      </c>
      <c r="B33" s="3007" t="s">
        <v>2832</v>
      </c>
      <c r="C33" s="478">
        <f ca="1">C35</f>
        <v>5280</v>
      </c>
      <c r="D33" s="467">
        <f ca="1">C34</f>
        <v>6.1699999999999998E-2</v>
      </c>
      <c r="E33" s="469" t="s">
        <v>495</v>
      </c>
      <c r="F33" s="479">
        <f ca="1">IF(B1="",'数据-取费表'!Q16,INDIRECT("'数据-取费表'!q"&amp;$K$1))</f>
        <v>0.06</v>
      </c>
      <c r="G33" s="2794"/>
      <c r="H33" s="2795"/>
      <c r="I33" s="2795"/>
      <c r="J33" s="2795"/>
      <c r="K33" s="2796"/>
    </row>
    <row r="34" spans="1:11" s="2122" customFormat="1" ht="13.5" customHeight="1">
      <c r="A34" s="375" t="s">
        <v>1857</v>
      </c>
      <c r="B34" s="2841" t="s">
        <v>501</v>
      </c>
      <c r="C34" s="472">
        <f ca="1">ROUND((1+C25)*F33,4)</f>
        <v>6.1699999999999998E-2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5280</v>
      </c>
      <c r="D35" s="1628"/>
      <c r="E35" s="2842"/>
      <c r="F35" s="1629"/>
      <c r="G35" s="2800"/>
      <c r="H35" s="2801"/>
      <c r="I35" s="2801"/>
      <c r="J35" s="2801"/>
      <c r="K35" s="2802"/>
    </row>
    <row r="36" spans="1:11" s="2084" customFormat="1" ht="13.5" customHeight="1" thickBot="1">
      <c r="A36" s="284" t="s">
        <v>1845</v>
      </c>
      <c r="B36" s="2804"/>
      <c r="C36" s="2843">
        <f ca="1">ROUND((C6-C30-C33)/(1+D30+D33),0)</f>
        <v>451865</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55225</v>
      </c>
      <c r="D13" s="451"/>
      <c r="E13" s="365"/>
      <c r="F13" s="452"/>
      <c r="G13" s="444"/>
      <c r="H13" s="447"/>
      <c r="I13" s="447"/>
      <c r="J13" s="447"/>
      <c r="K13" s="448"/>
    </row>
    <row r="14" spans="1:41" s="2115" customFormat="1" ht="13.5" customHeight="1">
      <c r="A14" s="1632" t="s">
        <v>1850</v>
      </c>
      <c r="B14" s="449" t="s">
        <v>480</v>
      </c>
      <c r="C14" s="53">
        <f ca="1">ROUND(C13*F14,0)</f>
        <v>2761</v>
      </c>
      <c r="D14" s="451"/>
      <c r="E14" s="365"/>
      <c r="F14" s="453">
        <f>'数据-取费表'!B33</f>
        <v>0.05</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3797</v>
      </c>
      <c r="D15" s="451"/>
      <c r="E15" s="365"/>
      <c r="F15" s="453">
        <f>'数据-取费表'!B34</f>
        <v>0.1</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828</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66227</v>
      </c>
      <c r="D18" s="461"/>
      <c r="E18" s="462"/>
      <c r="F18" s="462"/>
      <c r="G18" s="1326" t="s">
        <v>2433</v>
      </c>
      <c r="H18" s="447"/>
      <c r="I18" s="447"/>
      <c r="J18" s="447"/>
      <c r="K18" s="448"/>
    </row>
    <row r="19" spans="1:14" s="2118" customFormat="1" ht="13.5" customHeight="1">
      <c r="A19" s="1633" t="s">
        <v>1855</v>
      </c>
      <c r="B19" s="459" t="s">
        <v>493</v>
      </c>
      <c r="C19" s="460">
        <f ca="1">ROUND(C18*F19,0)</f>
        <v>1325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2.5000000000000001E-2</v>
      </c>
      <c r="D20" s="469" t="s">
        <v>505</v>
      </c>
      <c r="E20" s="469"/>
      <c r="F20" s="486">
        <f>'数据-取费表'!B38</f>
        <v>2.5000000000000001E-2</v>
      </c>
      <c r="G20" s="1326" t="s">
        <v>506</v>
      </c>
      <c r="H20" s="447"/>
      <c r="I20" s="447"/>
      <c r="J20" s="447"/>
      <c r="K20" s="448"/>
      <c r="L20" s="2120"/>
      <c r="M20" s="2120"/>
      <c r="N20" s="2120"/>
    </row>
    <row r="21" spans="1:14" s="2120" customFormat="1" ht="13.5" customHeight="1">
      <c r="A21" s="1633" t="s">
        <v>1859</v>
      </c>
      <c r="B21" s="461" t="s">
        <v>494</v>
      </c>
      <c r="C21" s="470">
        <f ca="1">C22</f>
        <v>4034</v>
      </c>
      <c r="D21" s="467">
        <f ca="1">C23</f>
        <v>1.5E-3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4034</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1.5E-3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4053</v>
      </c>
      <c r="D24" s="489">
        <f ca="1">C26</f>
        <v>1.5E-3</v>
      </c>
      <c r="E24" s="469" t="s">
        <v>507</v>
      </c>
      <c r="F24" s="479">
        <f ca="1">IF(B1="",'数据-取费表'!Q16,INDIRECT("'数据-取费表'!q"&amp;$K$1))</f>
        <v>0.06</v>
      </c>
      <c r="G24" s="444"/>
      <c r="H24" s="447"/>
      <c r="I24" s="447"/>
      <c r="J24" s="447"/>
      <c r="K24" s="448"/>
    </row>
    <row r="25" spans="1:14" s="2119" customFormat="1" ht="13.5" customHeight="1">
      <c r="A25" s="1632" t="s">
        <v>1849</v>
      </c>
      <c r="B25" s="1327" t="s">
        <v>2437</v>
      </c>
      <c r="C25" s="490">
        <f ca="1">ROUND((C18+C19)*F24,0)</f>
        <v>4053</v>
      </c>
      <c r="D25" s="472"/>
      <c r="E25" s="473"/>
      <c r="F25" s="480"/>
      <c r="G25" s="1325" t="s">
        <v>2434</v>
      </c>
      <c r="H25" s="457"/>
      <c r="I25" s="457"/>
      <c r="J25" s="457"/>
      <c r="K25" s="458"/>
    </row>
    <row r="26" spans="1:14" s="2119" customFormat="1" ht="13.5" customHeight="1">
      <c r="A26" s="1632" t="s">
        <v>1850</v>
      </c>
      <c r="B26" s="1327" t="s">
        <v>509</v>
      </c>
      <c r="C26" s="491">
        <f ca="1">ROUND(F20*F24,4)</f>
        <v>1.5E-3</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82333</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21" t="s">
        <v>522</v>
      </c>
      <c r="D6" s="3422"/>
      <c r="E6" s="3445" t="s">
        <v>523</v>
      </c>
      <c r="F6" s="3446"/>
      <c r="G6" s="3421" t="s">
        <v>524</v>
      </c>
      <c r="H6" s="3422"/>
      <c r="I6" s="3421" t="s">
        <v>525</v>
      </c>
      <c r="J6" s="3422"/>
      <c r="K6" s="514" t="s">
        <v>526</v>
      </c>
      <c r="L6" s="2132"/>
      <c r="M6" s="2133"/>
      <c r="N6" s="2133"/>
      <c r="O6" s="2133"/>
      <c r="P6" s="3423" t="s">
        <v>527</v>
      </c>
      <c r="Q6" s="3424"/>
      <c r="R6" s="3409" t="s">
        <v>523</v>
      </c>
      <c r="S6" s="3410"/>
      <c r="T6" s="3409" t="s">
        <v>524</v>
      </c>
      <c r="U6" s="3410"/>
      <c r="V6" s="3429" t="s">
        <v>525</v>
      </c>
      <c r="W6" s="3429"/>
      <c r="X6" s="1566"/>
      <c r="Y6" s="3409" t="s">
        <v>527</v>
      </c>
      <c r="Z6" s="3410"/>
      <c r="AA6" s="3404" t="s">
        <v>523</v>
      </c>
      <c r="AB6" s="3405" t="s">
        <v>524</v>
      </c>
      <c r="AC6" s="3404" t="s">
        <v>525</v>
      </c>
    </row>
    <row r="7" spans="1:29" ht="15">
      <c r="A7" s="515"/>
      <c r="B7" s="516"/>
      <c r="C7" s="3432" t="s">
        <v>2932</v>
      </c>
      <c r="D7" s="3433"/>
      <c r="E7" s="3447" t="s">
        <v>2933</v>
      </c>
      <c r="F7" s="3448"/>
      <c r="G7" s="3432" t="s">
        <v>2934</v>
      </c>
      <c r="H7" s="3433"/>
      <c r="I7" s="3432" t="s">
        <v>2935</v>
      </c>
      <c r="J7" s="3433"/>
      <c r="K7" s="514"/>
      <c r="L7" s="2132"/>
      <c r="M7" s="2133"/>
      <c r="N7" s="2133"/>
      <c r="O7" s="2133"/>
      <c r="P7" s="3425"/>
      <c r="Q7" s="3426"/>
      <c r="R7" s="3411"/>
      <c r="S7" s="3412"/>
      <c r="T7" s="3411"/>
      <c r="U7" s="3412"/>
      <c r="V7" s="3429"/>
      <c r="W7" s="3429"/>
      <c r="X7" s="1566"/>
      <c r="Y7" s="3411"/>
      <c r="Z7" s="3412"/>
      <c r="AA7" s="3405"/>
      <c r="AB7" s="3405"/>
      <c r="AC7" s="3405"/>
    </row>
    <row r="8" spans="1:29" ht="15.75" thickBot="1">
      <c r="A8" s="517"/>
      <c r="B8" s="518"/>
      <c r="C8" s="3430" t="s">
        <v>2936</v>
      </c>
      <c r="D8" s="3431"/>
      <c r="E8" s="3449" t="s">
        <v>2936</v>
      </c>
      <c r="F8" s="3450"/>
      <c r="G8" s="3430" t="s">
        <v>2936</v>
      </c>
      <c r="H8" s="3431"/>
      <c r="I8" s="3430" t="s">
        <v>2936</v>
      </c>
      <c r="J8" s="3431"/>
      <c r="K8" s="514" t="s">
        <v>528</v>
      </c>
      <c r="L8" s="2132"/>
      <c r="M8" s="2133"/>
      <c r="N8" s="2133"/>
      <c r="O8" s="2133"/>
      <c r="P8" s="3427"/>
      <c r="Q8" s="3428"/>
      <c r="R8" s="3411"/>
      <c r="S8" s="3412"/>
      <c r="T8" s="3413"/>
      <c r="U8" s="3414"/>
      <c r="V8" s="3429"/>
      <c r="W8" s="3429"/>
      <c r="X8" s="1566"/>
      <c r="Y8" s="3413"/>
      <c r="Z8" s="3414"/>
      <c r="AA8" s="3406"/>
      <c r="AB8" s="3406"/>
      <c r="AC8" s="3406"/>
    </row>
    <row r="9" spans="1:29" s="1219" customFormat="1" ht="15.75" thickBot="1">
      <c r="A9" s="2890"/>
      <c r="B9" s="2897" t="s">
        <v>529</v>
      </c>
      <c r="C9" s="519">
        <f>'数据-取费表'!B2</f>
        <v>43438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7" t="s">
        <v>530</v>
      </c>
      <c r="Q9" s="3416"/>
      <c r="R9" s="1567" t="s">
        <v>8</v>
      </c>
      <c r="S9" s="1568">
        <f t="shared" ref="S9:S17" si="0">F9</f>
        <v>0</v>
      </c>
      <c r="T9" s="1567" t="s">
        <v>8</v>
      </c>
      <c r="U9" s="1568">
        <f t="shared" ref="U9:U17" si="1">H9</f>
        <v>0</v>
      </c>
      <c r="V9" s="1567" t="s">
        <v>8</v>
      </c>
      <c r="W9" s="1568">
        <f t="shared" ref="W9:W17" si="2">J9</f>
        <v>0</v>
      </c>
      <c r="X9" s="1569"/>
      <c r="Y9" s="3407" t="s">
        <v>530</v>
      </c>
      <c r="Z9" s="3408"/>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7" t="s">
        <v>533</v>
      </c>
      <c r="Q10" s="3408"/>
      <c r="R10" s="1567" t="s">
        <v>8</v>
      </c>
      <c r="S10" s="1568">
        <f t="shared" si="0"/>
        <v>0</v>
      </c>
      <c r="T10" s="1567" t="s">
        <v>8</v>
      </c>
      <c r="U10" s="1568">
        <f t="shared" si="1"/>
        <v>0</v>
      </c>
      <c r="V10" s="1567" t="s">
        <v>8</v>
      </c>
      <c r="W10" s="1568">
        <f t="shared" si="2"/>
        <v>0</v>
      </c>
      <c r="X10" s="1569"/>
      <c r="Y10" s="3407" t="s">
        <v>533</v>
      </c>
      <c r="Z10" s="3408"/>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5" t="s">
        <v>535</v>
      </c>
      <c r="Q11" s="1150" t="str">
        <f t="shared" ref="Q11:Q17" si="6">B11</f>
        <v>用途</v>
      </c>
      <c r="R11" s="1567" t="s">
        <v>8</v>
      </c>
      <c r="S11" s="1568">
        <f t="shared" si="0"/>
        <v>100</v>
      </c>
      <c r="T11" s="1567" t="s">
        <v>8</v>
      </c>
      <c r="U11" s="1568">
        <f t="shared" si="1"/>
        <v>100</v>
      </c>
      <c r="V11" s="1567" t="s">
        <v>8</v>
      </c>
      <c r="W11" s="1568">
        <f t="shared" si="2"/>
        <v>100</v>
      </c>
      <c r="X11" s="1569"/>
      <c r="Y11" s="3366"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15"/>
      <c r="Q12" s="1150" t="str">
        <f t="shared" si="6"/>
        <v>土地使用年限（年）</v>
      </c>
      <c r="R12" s="1567" t="s">
        <v>8</v>
      </c>
      <c r="S12" s="1568">
        <f t="shared" si="0"/>
        <v>100</v>
      </c>
      <c r="T12" s="1567" t="s">
        <v>8</v>
      </c>
      <c r="U12" s="1568">
        <f t="shared" si="1"/>
        <v>100</v>
      </c>
      <c r="V12" s="1567" t="s">
        <v>8</v>
      </c>
      <c r="W12" s="1568">
        <f t="shared" si="2"/>
        <v>100</v>
      </c>
      <c r="X12" s="1569"/>
      <c r="Y12" s="3366"/>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5"/>
      <c r="Q13" s="1150" t="str">
        <f t="shared" si="6"/>
        <v>容积率</v>
      </c>
      <c r="R13" s="1567" t="s">
        <v>8</v>
      </c>
      <c r="S13" s="1568" t="e">
        <f t="shared" si="0"/>
        <v>#N/A</v>
      </c>
      <c r="T13" s="1567" t="s">
        <v>8</v>
      </c>
      <c r="U13" s="1568" t="e">
        <f t="shared" si="1"/>
        <v>#N/A</v>
      </c>
      <c r="V13" s="1567" t="s">
        <v>8</v>
      </c>
      <c r="W13" s="1568" t="e">
        <f t="shared" si="2"/>
        <v>#N/A</v>
      </c>
      <c r="X13" s="1569"/>
      <c r="Y13" s="3366"/>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5"/>
      <c r="Q14" s="1150">
        <f t="shared" si="6"/>
        <v>111</v>
      </c>
      <c r="R14" s="1567" t="s">
        <v>8</v>
      </c>
      <c r="S14" s="1568">
        <f t="shared" si="0"/>
        <v>100</v>
      </c>
      <c r="T14" s="1567" t="s">
        <v>8</v>
      </c>
      <c r="U14" s="1568">
        <f t="shared" si="1"/>
        <v>100</v>
      </c>
      <c r="V14" s="1567" t="s">
        <v>8</v>
      </c>
      <c r="W14" s="1568">
        <f t="shared" si="2"/>
        <v>100</v>
      </c>
      <c r="X14" s="1569"/>
      <c r="Y14" s="3366"/>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5"/>
      <c r="Q15" s="1150">
        <f t="shared" si="6"/>
        <v>111</v>
      </c>
      <c r="R15" s="1567" t="s">
        <v>8</v>
      </c>
      <c r="S15" s="1568">
        <f t="shared" si="0"/>
        <v>100</v>
      </c>
      <c r="T15" s="1567" t="s">
        <v>8</v>
      </c>
      <c r="U15" s="1568">
        <f t="shared" si="1"/>
        <v>100</v>
      </c>
      <c r="V15" s="1567" t="s">
        <v>8</v>
      </c>
      <c r="W15" s="1568">
        <f t="shared" si="2"/>
        <v>100</v>
      </c>
      <c r="X15" s="1569"/>
      <c r="Y15" s="3366"/>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5"/>
      <c r="Q16" s="1150">
        <f t="shared" si="6"/>
        <v>111</v>
      </c>
      <c r="R16" s="1567" t="s">
        <v>8</v>
      </c>
      <c r="S16" s="1568">
        <f t="shared" si="0"/>
        <v>100</v>
      </c>
      <c r="T16" s="1567" t="s">
        <v>8</v>
      </c>
      <c r="U16" s="1568">
        <f t="shared" si="1"/>
        <v>100</v>
      </c>
      <c r="V16" s="1567" t="s">
        <v>8</v>
      </c>
      <c r="W16" s="1568">
        <f t="shared" si="2"/>
        <v>100</v>
      </c>
      <c r="X16" s="1569"/>
      <c r="Y16" s="3366"/>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7" t="s">
        <v>540</v>
      </c>
      <c r="Q17" s="1571" t="str">
        <f t="shared" si="6"/>
        <v>产业集聚程度</v>
      </c>
      <c r="R17" s="1572" t="s">
        <v>8</v>
      </c>
      <c r="S17" s="1573">
        <f t="shared" si="0"/>
        <v>100</v>
      </c>
      <c r="T17" s="1572" t="s">
        <v>8</v>
      </c>
      <c r="U17" s="1573">
        <f t="shared" si="1"/>
        <v>100</v>
      </c>
      <c r="V17" s="1572" t="s">
        <v>8</v>
      </c>
      <c r="W17" s="1573">
        <f t="shared" si="2"/>
        <v>100</v>
      </c>
      <c r="X17" s="1566"/>
      <c r="Y17" s="3417"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18"/>
      <c r="Q18" s="1571"/>
      <c r="R18" s="1572"/>
      <c r="S18" s="1573"/>
      <c r="T18" s="1572"/>
      <c r="U18" s="1573"/>
      <c r="V18" s="1572"/>
      <c r="W18" s="1573"/>
      <c r="X18" s="1566"/>
      <c r="Y18" s="3418"/>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8"/>
      <c r="Q19" s="1571" t="str">
        <f>B19</f>
        <v>交通便捷度</v>
      </c>
      <c r="R19" s="1572" t="s">
        <v>8</v>
      </c>
      <c r="S19" s="1573">
        <f>F19</f>
        <v>100</v>
      </c>
      <c r="T19" s="1572" t="s">
        <v>8</v>
      </c>
      <c r="U19" s="1573">
        <f>H19</f>
        <v>100</v>
      </c>
      <c r="V19" s="1572" t="s">
        <v>8</v>
      </c>
      <c r="W19" s="1573">
        <f>J19</f>
        <v>100</v>
      </c>
      <c r="X19" s="1566"/>
      <c r="Y19" s="3418"/>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18"/>
      <c r="Q20" s="1571"/>
      <c r="R20" s="1572"/>
      <c r="S20" s="1573"/>
      <c r="T20" s="1572"/>
      <c r="U20" s="1573"/>
      <c r="V20" s="1572"/>
      <c r="W20" s="1573"/>
      <c r="X20" s="1566"/>
      <c r="Y20" s="3418"/>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18"/>
      <c r="Q21" s="1571" t="str">
        <f t="shared" ref="Q21:Q35" si="8">B21</f>
        <v>区域土地利用方向</v>
      </c>
      <c r="R21" s="1572" t="s">
        <v>8</v>
      </c>
      <c r="S21" s="1573">
        <f>F21</f>
        <v>100</v>
      </c>
      <c r="T21" s="1572" t="s">
        <v>8</v>
      </c>
      <c r="U21" s="1573">
        <f>H21</f>
        <v>100</v>
      </c>
      <c r="V21" s="1572" t="s">
        <v>8</v>
      </c>
      <c r="W21" s="1573">
        <f>J21</f>
        <v>100</v>
      </c>
      <c r="X21" s="1566"/>
      <c r="Y21" s="341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18"/>
      <c r="Q22" s="1571"/>
      <c r="R22" s="1572"/>
      <c r="S22" s="1573"/>
      <c r="T22" s="1572"/>
      <c r="U22" s="1573"/>
      <c r="V22" s="1572"/>
      <c r="W22" s="1573"/>
      <c r="X22" s="1566"/>
      <c r="Y22" s="3418"/>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8"/>
      <c r="Q23" s="1571" t="str">
        <f t="shared" si="8"/>
        <v>环境状况</v>
      </c>
      <c r="R23" s="1572" t="s">
        <v>8</v>
      </c>
      <c r="S23" s="1573">
        <f>F23</f>
        <v>100</v>
      </c>
      <c r="T23" s="1572" t="s">
        <v>8</v>
      </c>
      <c r="U23" s="1573">
        <f>H23</f>
        <v>100</v>
      </c>
      <c r="V23" s="1572" t="s">
        <v>8</v>
      </c>
      <c r="W23" s="1573">
        <f>J23</f>
        <v>100</v>
      </c>
      <c r="X23" s="1566"/>
      <c r="Y23" s="341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18"/>
      <c r="Q24" s="1571"/>
      <c r="R24" s="1572"/>
      <c r="S24" s="1573"/>
      <c r="T24" s="1572"/>
      <c r="U24" s="1573"/>
      <c r="V24" s="1572"/>
      <c r="W24" s="1573"/>
      <c r="X24" s="1566"/>
      <c r="Y24" s="3418"/>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8"/>
      <c r="Q25" s="1150" t="str">
        <f t="shared" si="8"/>
        <v>公共配套设施</v>
      </c>
      <c r="R25" s="1567" t="s">
        <v>8</v>
      </c>
      <c r="S25" s="1568">
        <f>F25</f>
        <v>100</v>
      </c>
      <c r="T25" s="1567" t="s">
        <v>8</v>
      </c>
      <c r="U25" s="1568">
        <f>H25</f>
        <v>100</v>
      </c>
      <c r="V25" s="1567" t="s">
        <v>8</v>
      </c>
      <c r="W25" s="1568">
        <f>J25</f>
        <v>100</v>
      </c>
      <c r="X25" s="1569"/>
      <c r="Y25" s="3418"/>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18"/>
      <c r="Q26" s="1150"/>
      <c r="R26" s="1567"/>
      <c r="S26" s="1568"/>
      <c r="T26" s="1567"/>
      <c r="U26" s="1568"/>
      <c r="V26" s="1567"/>
      <c r="W26" s="1568"/>
      <c r="X26" s="1569"/>
      <c r="Y26" s="3418"/>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8"/>
      <c r="Q27" s="2556" t="str">
        <f t="shared" ref="Q27" si="9">B27</f>
        <v>基础设施水平</v>
      </c>
      <c r="R27" s="1567" t="s">
        <v>8</v>
      </c>
      <c r="S27" s="1568">
        <f>F27</f>
        <v>100</v>
      </c>
      <c r="T27" s="1567" t="s">
        <v>8</v>
      </c>
      <c r="U27" s="1568">
        <f>H27</f>
        <v>100</v>
      </c>
      <c r="V27" s="1567" t="s">
        <v>8</v>
      </c>
      <c r="W27" s="1568">
        <f>J27</f>
        <v>100</v>
      </c>
      <c r="X27" s="1569"/>
      <c r="Y27" s="3418"/>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18"/>
      <c r="Q28" s="2556"/>
      <c r="R28" s="1567"/>
      <c r="S28" s="1568"/>
      <c r="T28" s="1567"/>
      <c r="U28" s="1568"/>
      <c r="V28" s="1567"/>
      <c r="W28" s="1568"/>
      <c r="X28" s="1569"/>
      <c r="Y28" s="3418"/>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8"/>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8"/>
      <c r="Q30" s="1571" t="str">
        <f t="shared" si="8"/>
        <v>毗邻道路的类型与等级</v>
      </c>
      <c r="R30" s="1572" t="s">
        <v>8</v>
      </c>
      <c r="S30" s="1573">
        <f t="shared" si="10"/>
        <v>100</v>
      </c>
      <c r="T30" s="1572" t="s">
        <v>8</v>
      </c>
      <c r="U30" s="1573">
        <f t="shared" si="11"/>
        <v>100</v>
      </c>
      <c r="V30" s="1572" t="s">
        <v>8</v>
      </c>
      <c r="W30" s="1573">
        <f t="shared" si="12"/>
        <v>100</v>
      </c>
      <c r="X30" s="1566"/>
      <c r="Y30" s="3418"/>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18"/>
      <c r="Q31" s="1571"/>
      <c r="R31" s="1572"/>
      <c r="S31" s="1573"/>
      <c r="T31" s="1572"/>
      <c r="U31" s="1573"/>
      <c r="V31" s="1572"/>
      <c r="W31" s="1573"/>
      <c r="X31" s="1566"/>
      <c r="Y31" s="3418"/>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8"/>
      <c r="Q32" s="1571" t="str">
        <f t="shared" si="8"/>
        <v>土地级别</v>
      </c>
      <c r="R32" s="1572" t="s">
        <v>8</v>
      </c>
      <c r="S32" s="1573">
        <f t="shared" si="10"/>
        <v>100</v>
      </c>
      <c r="T32" s="1572" t="s">
        <v>8</v>
      </c>
      <c r="U32" s="1573">
        <f t="shared" si="11"/>
        <v>100</v>
      </c>
      <c r="V32" s="1572" t="s">
        <v>8</v>
      </c>
      <c r="W32" s="1573">
        <f t="shared" si="12"/>
        <v>100</v>
      </c>
      <c r="X32" s="1566"/>
      <c r="Y32" s="341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8"/>
      <c r="Q33" s="1571">
        <f t="shared" si="8"/>
        <v>111</v>
      </c>
      <c r="R33" s="1572" t="s">
        <v>8</v>
      </c>
      <c r="S33" s="1573">
        <f t="shared" si="10"/>
        <v>100</v>
      </c>
      <c r="T33" s="1572" t="s">
        <v>8</v>
      </c>
      <c r="U33" s="1573">
        <f t="shared" si="11"/>
        <v>100</v>
      </c>
      <c r="V33" s="1572" t="s">
        <v>8</v>
      </c>
      <c r="W33" s="1573">
        <f t="shared" si="12"/>
        <v>100</v>
      </c>
      <c r="X33" s="1566"/>
      <c r="Y33" s="341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9" t="s">
        <v>550</v>
      </c>
      <c r="Q34" s="1571">
        <f t="shared" si="8"/>
        <v>111</v>
      </c>
      <c r="R34" s="1572" t="s">
        <v>8</v>
      </c>
      <c r="S34" s="1573">
        <f t="shared" si="10"/>
        <v>100</v>
      </c>
      <c r="T34" s="1572" t="s">
        <v>8</v>
      </c>
      <c r="U34" s="1573">
        <f t="shared" si="11"/>
        <v>100</v>
      </c>
      <c r="V34" s="1572" t="s">
        <v>8</v>
      </c>
      <c r="W34" s="1573">
        <f t="shared" si="12"/>
        <v>100</v>
      </c>
      <c r="X34" s="1566"/>
      <c r="Y34" s="3420"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0"/>
      <c r="Q35" s="1571">
        <f t="shared" si="8"/>
        <v>111</v>
      </c>
      <c r="R35" s="1576" t="s">
        <v>8</v>
      </c>
      <c r="S35" s="1577">
        <f t="shared" si="10"/>
        <v>100</v>
      </c>
      <c r="T35" s="1576" t="s">
        <v>8</v>
      </c>
      <c r="U35" s="1577">
        <f t="shared" si="11"/>
        <v>100</v>
      </c>
      <c r="V35" s="1576" t="s">
        <v>8</v>
      </c>
      <c r="W35" s="1577">
        <f t="shared" si="12"/>
        <v>100</v>
      </c>
      <c r="X35" s="1578"/>
      <c r="Y35" s="3420"/>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0"/>
      <c r="Q36" s="1571" t="str">
        <f>B36</f>
        <v>宗地面积</v>
      </c>
      <c r="R36" s="1572" t="s">
        <v>8</v>
      </c>
      <c r="S36" s="1573" t="e">
        <f t="shared" si="10"/>
        <v>#N/A</v>
      </c>
      <c r="T36" s="1572" t="s">
        <v>8</v>
      </c>
      <c r="U36" s="1573" t="e">
        <f t="shared" si="11"/>
        <v>#N/A</v>
      </c>
      <c r="V36" s="1572" t="s">
        <v>8</v>
      </c>
      <c r="W36" s="1573" t="e">
        <f t="shared" si="12"/>
        <v>#N/A</v>
      </c>
      <c r="X36" s="1566"/>
      <c r="Y36" s="3420"/>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0"/>
      <c r="Q37" s="1571" t="str">
        <f t="shared" ref="Q37:Q42" si="14">B37</f>
        <v>宗地形状</v>
      </c>
      <c r="R37" s="1572" t="s">
        <v>8</v>
      </c>
      <c r="S37" s="1573">
        <f t="shared" si="10"/>
        <v>100</v>
      </c>
      <c r="T37" s="1572" t="s">
        <v>8</v>
      </c>
      <c r="U37" s="1573">
        <f t="shared" si="11"/>
        <v>100</v>
      </c>
      <c r="V37" s="1572" t="s">
        <v>8</v>
      </c>
      <c r="W37" s="1573">
        <f t="shared" si="12"/>
        <v>100</v>
      </c>
      <c r="X37" s="1566"/>
      <c r="Y37" s="3420"/>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0"/>
      <c r="Q38" s="1571" t="str">
        <f t="shared" si="14"/>
        <v>宗地开发程度</v>
      </c>
      <c r="R38" s="1567" t="s">
        <v>8</v>
      </c>
      <c r="S38" s="1568">
        <f t="shared" si="10"/>
        <v>100</v>
      </c>
      <c r="T38" s="1567" t="s">
        <v>8</v>
      </c>
      <c r="U38" s="1568">
        <f t="shared" si="11"/>
        <v>100</v>
      </c>
      <c r="V38" s="1567" t="s">
        <v>8</v>
      </c>
      <c r="W38" s="1568">
        <f t="shared" si="12"/>
        <v>100</v>
      </c>
      <c r="X38" s="1569"/>
      <c r="Y38" s="3420"/>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t="s">
        <v>601</v>
      </c>
      <c r="Q39" s="1571" t="str">
        <f t="shared" si="14"/>
        <v>工程地质条件</v>
      </c>
      <c r="R39" s="1572" t="s">
        <v>8</v>
      </c>
      <c r="S39" s="1573">
        <f t="shared" si="10"/>
        <v>100</v>
      </c>
      <c r="T39" s="1572" t="s">
        <v>8</v>
      </c>
      <c r="U39" s="1573">
        <f t="shared" si="11"/>
        <v>100</v>
      </c>
      <c r="V39" s="1572" t="s">
        <v>8</v>
      </c>
      <c r="W39" s="1573">
        <f t="shared" si="12"/>
        <v>100</v>
      </c>
      <c r="X39" s="1566"/>
      <c r="Y39" s="3420"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0"/>
      <c r="Q40" s="1571">
        <f t="shared" si="14"/>
        <v>111</v>
      </c>
      <c r="R40" s="1572" t="s">
        <v>8</v>
      </c>
      <c r="S40" s="1573">
        <f t="shared" si="10"/>
        <v>100</v>
      </c>
      <c r="T40" s="1572" t="s">
        <v>8</v>
      </c>
      <c r="U40" s="1573">
        <f t="shared" si="11"/>
        <v>100</v>
      </c>
      <c r="V40" s="1572" t="s">
        <v>8</v>
      </c>
      <c r="W40" s="1573">
        <f t="shared" si="12"/>
        <v>100</v>
      </c>
      <c r="X40" s="1566"/>
      <c r="Y40" s="342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0"/>
      <c r="Q41" s="1571">
        <f t="shared" si="14"/>
        <v>111</v>
      </c>
      <c r="R41" s="1572" t="s">
        <v>8</v>
      </c>
      <c r="S41" s="1573">
        <f t="shared" si="10"/>
        <v>100</v>
      </c>
      <c r="T41" s="1572" t="s">
        <v>8</v>
      </c>
      <c r="U41" s="1573">
        <f t="shared" si="11"/>
        <v>100</v>
      </c>
      <c r="V41" s="1572" t="s">
        <v>8</v>
      </c>
      <c r="W41" s="1573">
        <f t="shared" si="12"/>
        <v>100</v>
      </c>
      <c r="X41" s="1566"/>
      <c r="Y41" s="3420"/>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0"/>
      <c r="Q42" s="1571">
        <f t="shared" si="14"/>
        <v>111</v>
      </c>
      <c r="R42" s="1576" t="s">
        <v>8</v>
      </c>
      <c r="S42" s="1577">
        <f t="shared" si="10"/>
        <v>100</v>
      </c>
      <c r="T42" s="1576" t="s">
        <v>8</v>
      </c>
      <c r="U42" s="1577">
        <f t="shared" si="11"/>
        <v>100</v>
      </c>
      <c r="V42" s="1576" t="s">
        <v>8</v>
      </c>
      <c r="W42" s="1577">
        <f t="shared" si="12"/>
        <v>100</v>
      </c>
      <c r="X42" s="1578"/>
      <c r="Y42" s="3420"/>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15" t="str">
        <f>A43</f>
        <v>成交单价</v>
      </c>
      <c r="Q43" s="3415"/>
      <c r="R43" s="3429">
        <f>E43</f>
        <v>0</v>
      </c>
      <c r="S43" s="3429"/>
      <c r="T43" s="3429">
        <f>G43</f>
        <v>0</v>
      </c>
      <c r="U43" s="3429"/>
      <c r="V43" s="3429">
        <f>I43</f>
        <v>0</v>
      </c>
      <c r="W43" s="3429"/>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15" t="str">
        <f>A44</f>
        <v>比较价格（元/平方米）</v>
      </c>
      <c r="Q44" s="3415"/>
      <c r="R44" s="3439" t="e">
        <f>ROUND(PRODUCT(R43,AA9:AA42),0)</f>
        <v>#DIV/0!</v>
      </c>
      <c r="S44" s="3439"/>
      <c r="T44" s="3439" t="e">
        <f>ROUND(PRODUCT(T43,AB9:AB42),0)</f>
        <v>#DIV/0!</v>
      </c>
      <c r="U44" s="3439"/>
      <c r="V44" s="3439" t="e">
        <f>ROUND(PRODUCT(V43,AC9:AC42),0)</f>
        <v>#DIV/0!</v>
      </c>
      <c r="W44" s="3439"/>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36" t="str">
        <f>A45</f>
        <v>估价对象XX用房的比较价格（楼面单价，元/平方米）</v>
      </c>
      <c r="Q45" s="3437"/>
      <c r="R45" s="3438" t="e">
        <f>ROUND(AVERAGE(R44:V44),0)</f>
        <v>#DIV/0!</v>
      </c>
      <c r="S45" s="3438"/>
      <c r="T45" s="3438"/>
      <c r="U45" s="3438"/>
      <c r="V45" s="3438"/>
      <c r="W45" s="343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40" t="s">
        <v>2285</v>
      </c>
      <c r="H52" s="3441"/>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42"/>
      <c r="H53" s="344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44"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44"/>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44"/>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44"/>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2018-12-1</v>
      </c>
      <c r="D65" s="2777">
        <f>EDATE(C65,-3)</f>
        <v>43344</v>
      </c>
      <c r="E65" s="2777">
        <f t="shared" ref="E65:N65" si="18">EDATE(D65,-3)</f>
        <v>43252</v>
      </c>
      <c r="F65" s="2777">
        <f t="shared" si="18"/>
        <v>43160</v>
      </c>
      <c r="G65" s="2777">
        <f t="shared" si="18"/>
        <v>43070</v>
      </c>
      <c r="H65" s="2777">
        <f t="shared" si="18"/>
        <v>42979</v>
      </c>
      <c r="I65" s="2777">
        <f t="shared" si="18"/>
        <v>42887</v>
      </c>
      <c r="J65" s="2777">
        <f t="shared" si="18"/>
        <v>42795</v>
      </c>
      <c r="K65" s="2777">
        <f t="shared" si="18"/>
        <v>42705</v>
      </c>
      <c r="L65" s="2777">
        <f t="shared" si="18"/>
        <v>42614</v>
      </c>
      <c r="M65" s="2777">
        <f t="shared" si="18"/>
        <v>42522</v>
      </c>
      <c r="N65" s="2777">
        <f t="shared" si="18"/>
        <v>42430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2018-4</v>
      </c>
      <c r="D67" s="2779" t="str">
        <f t="shared" ref="D67:N67" si="19">YEAR(D65)&amp;"-"&amp;ROUNDUP(MONTH(D65)/3,0)</f>
        <v>2018-3</v>
      </c>
      <c r="E67" s="2779" t="str">
        <f t="shared" si="19"/>
        <v>2018-2</v>
      </c>
      <c r="F67" s="2779" t="str">
        <f t="shared" si="19"/>
        <v>2018-1</v>
      </c>
      <c r="G67" s="2779" t="str">
        <f t="shared" si="19"/>
        <v>2017-4</v>
      </c>
      <c r="H67" s="2779" t="str">
        <f t="shared" si="19"/>
        <v>2017-3</v>
      </c>
      <c r="I67" s="2779" t="str">
        <f t="shared" si="19"/>
        <v>2017-2</v>
      </c>
      <c r="J67" s="2779" t="str">
        <f t="shared" si="19"/>
        <v>2017-1</v>
      </c>
      <c r="K67" s="2779" t="str">
        <f t="shared" si="19"/>
        <v>2016-4</v>
      </c>
      <c r="L67" s="2779" t="str">
        <f t="shared" si="19"/>
        <v>2016-3</v>
      </c>
      <c r="M67" s="2779" t="str">
        <f t="shared" si="19"/>
        <v>2016-2</v>
      </c>
      <c r="N67" s="2779"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北京市平均增长率1.42%</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52"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53"/>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62" t="s">
        <v>2784</v>
      </c>
      <c r="X8" s="3463"/>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53"/>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61"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53"/>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6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53"/>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61"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52"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61"/>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54"/>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61"/>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54"/>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55"/>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52"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53"/>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43438</v>
      </c>
      <c r="H19" s="1474" t="s">
        <v>2940</v>
      </c>
      <c r="I19" s="2762" t="str">
        <f>IF(H19="季度增幅（自定义）",SUMIF(N21:N24,E2,O21:O24),"")</f>
        <v/>
      </c>
      <c r="J19" s="1470"/>
      <c r="K19" s="1480"/>
      <c r="L19" s="3015" t="s">
        <v>2842</v>
      </c>
      <c r="M19" s="3016">
        <f>ROUND(SUMIF(地价!B2:F2,E2,地价!B24:F24),0)</f>
        <v>0</v>
      </c>
      <c r="N19" s="2764" t="s">
        <v>1677</v>
      </c>
      <c r="O19" s="2763">
        <f>ROUNDDOWN(DATEDIF(E19,G19,"M")/3,0)</f>
        <v>19</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1.5299999999999999E-2</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1.5299999999999999E-2</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2.41E-2</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2.1899999999999999E-2</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8"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9"/>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9"/>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0"/>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56" t="s">
        <v>1634</v>
      </c>
      <c r="B90" s="3456"/>
      <c r="C90" s="3456"/>
      <c r="D90" s="3456"/>
      <c r="E90" s="3456"/>
      <c r="F90" s="3456"/>
      <c r="G90" s="3456"/>
      <c r="H90" s="3456"/>
      <c r="I90" s="3456"/>
      <c r="J90" s="3456"/>
      <c r="K90" s="2428"/>
      <c r="L90" s="2428"/>
      <c r="M90" s="2428"/>
      <c r="N90" s="2428"/>
    </row>
    <row r="91" spans="1:40">
      <c r="A91" s="3457" t="s">
        <v>1444</v>
      </c>
      <c r="B91" s="3457" t="s">
        <v>1635</v>
      </c>
      <c r="C91" s="1139" t="s">
        <v>1636</v>
      </c>
      <c r="D91" s="1140"/>
      <c r="E91" s="1140"/>
      <c r="F91" s="1140"/>
      <c r="G91" s="1140"/>
      <c r="H91" s="1140"/>
      <c r="I91" s="1140"/>
      <c r="J91" s="1141"/>
      <c r="K91" s="1133"/>
      <c r="L91" s="1133"/>
      <c r="M91" s="1133"/>
      <c r="N91" s="1133"/>
    </row>
    <row r="92" spans="1:40">
      <c r="A92" s="3457"/>
      <c r="B92" s="3457"/>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64"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5"/>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4"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65"/>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65"/>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65"/>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65"/>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65"/>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65"/>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65"/>
      <c r="B108" s="3467"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6"/>
      <c r="B109" s="3468"/>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51" t="s">
        <v>1640</v>
      </c>
      <c r="B110" s="3451"/>
      <c r="C110" s="3451"/>
      <c r="D110" s="3451"/>
      <c r="E110" s="3451"/>
      <c r="F110" s="3451"/>
      <c r="G110" s="3451"/>
      <c r="H110" s="3451"/>
      <c r="I110" s="3451"/>
      <c r="J110" s="3451"/>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7" t="s">
        <v>1008</v>
      </c>
      <c r="B18" s="1153" t="s">
        <v>1447</v>
      </c>
      <c r="C18" s="1130" t="s">
        <v>1448</v>
      </c>
      <c r="D18" s="1131"/>
      <c r="E18" s="1153">
        <v>1</v>
      </c>
      <c r="F18" s="1132" t="s">
        <v>1449</v>
      </c>
      <c r="G18" s="1133"/>
      <c r="H18" s="1104"/>
      <c r="I18" s="1104"/>
    </row>
    <row r="19" spans="1:9" s="1598" customFormat="1" ht="19.5" customHeight="1">
      <c r="A19" s="3457"/>
      <c r="B19" s="3457" t="s">
        <v>1450</v>
      </c>
      <c r="C19" s="1130" t="s">
        <v>1451</v>
      </c>
      <c r="D19" s="1131"/>
      <c r="E19" s="1153">
        <v>0.9</v>
      </c>
      <c r="F19" s="1132" t="s">
        <v>1452</v>
      </c>
      <c r="G19" s="1133"/>
      <c r="H19" s="1104"/>
      <c r="I19" s="1104"/>
    </row>
    <row r="20" spans="1:9" s="1598" customFormat="1" ht="19.5" customHeight="1">
      <c r="A20" s="3457"/>
      <c r="B20" s="3457"/>
      <c r="C20" s="1130" t="s">
        <v>1453</v>
      </c>
      <c r="D20" s="1131"/>
      <c r="E20" s="1153">
        <v>1.1000000000000001</v>
      </c>
      <c r="F20" s="1132" t="s">
        <v>1454</v>
      </c>
      <c r="G20" s="1133"/>
      <c r="H20" s="1104"/>
      <c r="I20" s="1104"/>
    </row>
    <row r="21" spans="1:9" s="1598" customFormat="1" ht="19.5" customHeight="1">
      <c r="A21" s="3457"/>
      <c r="B21" s="3457"/>
      <c r="C21" s="1130" t="s">
        <v>1455</v>
      </c>
      <c r="D21" s="1131"/>
      <c r="E21" s="1153">
        <v>0.8</v>
      </c>
      <c r="F21" s="1132" t="s">
        <v>1456</v>
      </c>
      <c r="G21" s="1133"/>
      <c r="H21" s="1104"/>
      <c r="I21" s="1104"/>
    </row>
    <row r="22" spans="1:9" s="1598" customFormat="1" ht="19.5" customHeight="1">
      <c r="A22" s="3457"/>
      <c r="B22" s="3457"/>
      <c r="C22" s="1130" t="s">
        <v>1457</v>
      </c>
      <c r="D22" s="1131"/>
      <c r="E22" s="1153">
        <v>0.5</v>
      </c>
      <c r="F22" s="1132"/>
      <c r="G22" s="1133"/>
      <c r="H22" s="1104"/>
      <c r="I22" s="1104"/>
    </row>
    <row r="23" spans="1:9" s="1598" customFormat="1" ht="19.5" customHeight="1">
      <c r="A23" s="3457" t="s">
        <v>1030</v>
      </c>
      <c r="B23" s="1153" t="s">
        <v>1447</v>
      </c>
      <c r="C23" s="1130" t="s">
        <v>1458</v>
      </c>
      <c r="D23" s="1131"/>
      <c r="E23" s="1153">
        <v>1</v>
      </c>
      <c r="F23" s="1132" t="s">
        <v>1459</v>
      </c>
      <c r="G23" s="1133"/>
      <c r="H23" s="1104"/>
      <c r="I23" s="1104"/>
    </row>
    <row r="24" spans="1:9" s="1598" customFormat="1" ht="19.5" customHeight="1">
      <c r="A24" s="3457"/>
      <c r="B24" s="3457" t="s">
        <v>1450</v>
      </c>
      <c r="C24" s="1130" t="s">
        <v>1460</v>
      </c>
      <c r="D24" s="1131"/>
      <c r="E24" s="1153">
        <v>0.5</v>
      </c>
      <c r="F24" s="1132"/>
      <c r="G24" s="1133"/>
      <c r="H24" s="1104"/>
      <c r="I24" s="1104"/>
    </row>
    <row r="25" spans="1:9" s="1598" customFormat="1" ht="19.5" customHeight="1">
      <c r="A25" s="3457"/>
      <c r="B25" s="3457"/>
      <c r="C25" s="1130" t="s">
        <v>1461</v>
      </c>
      <c r="D25" s="1131"/>
      <c r="E25" s="1153">
        <v>1.1000000000000001</v>
      </c>
      <c r="F25" s="1132"/>
      <c r="G25" s="1133"/>
      <c r="H25" s="1104"/>
      <c r="I25" s="1104"/>
    </row>
    <row r="26" spans="1:9" s="1598" customFormat="1" ht="19.5" customHeight="1">
      <c r="A26" s="3457"/>
      <c r="B26" s="3457"/>
      <c r="C26" s="1130" t="s">
        <v>1462</v>
      </c>
      <c r="D26" s="1131"/>
      <c r="E26" s="1153">
        <v>1.1000000000000001</v>
      </c>
      <c r="F26" s="1132"/>
      <c r="G26" s="1133"/>
      <c r="H26" s="1104"/>
      <c r="I26" s="1104"/>
    </row>
    <row r="27" spans="1:9" s="1598" customFormat="1" ht="19.5" customHeight="1">
      <c r="A27" s="3457"/>
      <c r="B27" s="3457"/>
      <c r="C27" s="1130" t="s">
        <v>1463</v>
      </c>
      <c r="D27" s="1131"/>
      <c r="E27" s="1153">
        <v>0.9</v>
      </c>
      <c r="F27" s="1132" t="s">
        <v>1464</v>
      </c>
      <c r="G27" s="1133"/>
      <c r="H27" s="1104"/>
      <c r="I27" s="1104"/>
    </row>
    <row r="28" spans="1:9" s="1598" customFormat="1" ht="19.5" customHeight="1">
      <c r="A28" s="3457"/>
      <c r="B28" s="3457"/>
      <c r="C28" s="1130" t="s">
        <v>1465</v>
      </c>
      <c r="D28" s="1131"/>
      <c r="E28" s="1153">
        <v>0.9</v>
      </c>
      <c r="F28" s="1132" t="s">
        <v>1466</v>
      </c>
      <c r="G28" s="1133"/>
      <c r="H28" s="1104"/>
      <c r="I28" s="1104"/>
    </row>
    <row r="29" spans="1:9" s="1598" customFormat="1" ht="19.5" customHeight="1">
      <c r="A29" s="3457"/>
      <c r="B29" s="3457"/>
      <c r="C29" s="1130" t="s">
        <v>1467</v>
      </c>
      <c r="D29" s="1131"/>
      <c r="E29" s="1153">
        <v>0.9</v>
      </c>
      <c r="F29" s="1132" t="s">
        <v>1468</v>
      </c>
      <c r="G29" s="1133"/>
      <c r="H29" s="1104"/>
      <c r="I29" s="1104"/>
    </row>
    <row r="30" spans="1:9" s="1598" customFormat="1" ht="19.5" customHeight="1">
      <c r="A30" s="3457"/>
      <c r="B30" s="3457"/>
      <c r="C30" s="1130" t="s">
        <v>1469</v>
      </c>
      <c r="D30" s="1131"/>
      <c r="E30" s="1153">
        <v>0.9</v>
      </c>
      <c r="F30" s="1132" t="s">
        <v>1470</v>
      </c>
      <c r="G30" s="1133"/>
      <c r="H30" s="1104"/>
      <c r="I30" s="1104"/>
    </row>
    <row r="31" spans="1:9" s="1598" customFormat="1" ht="19.5" customHeight="1">
      <c r="A31" s="3457"/>
      <c r="B31" s="3457"/>
      <c r="C31" s="1130" t="s">
        <v>1471</v>
      </c>
      <c r="D31" s="1131"/>
      <c r="E31" s="1153">
        <v>0.8</v>
      </c>
      <c r="F31" s="1132" t="s">
        <v>1472</v>
      </c>
      <c r="G31" s="1133"/>
      <c r="H31" s="1104"/>
      <c r="I31" s="1104"/>
    </row>
    <row r="32" spans="1:9" s="1598" customFormat="1" ht="19.5" customHeight="1">
      <c r="A32" s="3457"/>
      <c r="B32" s="3457"/>
      <c r="C32" s="1130" t="s">
        <v>1473</v>
      </c>
      <c r="D32" s="1131"/>
      <c r="E32" s="1153">
        <v>0.8</v>
      </c>
      <c r="F32" s="1132" t="s">
        <v>1474</v>
      </c>
      <c r="G32" s="1133"/>
      <c r="H32" s="1104"/>
      <c r="I32" s="1104"/>
    </row>
    <row r="33" spans="1:9" s="1598" customFormat="1" ht="19.5" customHeight="1">
      <c r="A33" s="3457" t="s">
        <v>1475</v>
      </c>
      <c r="B33" s="1153" t="s">
        <v>1447</v>
      </c>
      <c r="C33" s="1130" t="s">
        <v>1476</v>
      </c>
      <c r="D33" s="1131"/>
      <c r="E33" s="1153">
        <v>1</v>
      </c>
      <c r="F33" s="1132" t="s">
        <v>1477</v>
      </c>
      <c r="G33" s="1133"/>
      <c r="H33" s="1104"/>
      <c r="I33" s="1104"/>
    </row>
    <row r="34" spans="1:9" s="1598" customFormat="1" ht="19.5" customHeight="1">
      <c r="A34" s="3457"/>
      <c r="B34" s="1153" t="s">
        <v>1450</v>
      </c>
      <c r="C34" s="1130" t="s">
        <v>1478</v>
      </c>
      <c r="D34" s="1131"/>
      <c r="E34" s="1153">
        <v>1.5</v>
      </c>
      <c r="F34" s="1132" t="s">
        <v>1479</v>
      </c>
      <c r="G34" s="1133"/>
      <c r="H34" s="1104"/>
      <c r="I34" s="1104"/>
    </row>
    <row r="35" spans="1:9" s="1598" customFormat="1" ht="19.5" customHeight="1">
      <c r="A35" s="3457" t="s">
        <v>1433</v>
      </c>
      <c r="B35" s="1153" t="s">
        <v>1447</v>
      </c>
      <c r="C35" s="1130" t="s">
        <v>1480</v>
      </c>
      <c r="D35" s="1131"/>
      <c r="E35" s="1153">
        <v>1</v>
      </c>
      <c r="F35" s="1132" t="s">
        <v>1481</v>
      </c>
      <c r="G35" s="1133"/>
      <c r="H35" s="1104"/>
      <c r="I35" s="1104"/>
    </row>
    <row r="36" spans="1:9" s="1598" customFormat="1" ht="19.5" customHeight="1">
      <c r="A36" s="3457"/>
      <c r="B36" s="3457" t="s">
        <v>1450</v>
      </c>
      <c r="C36" s="1130" t="s">
        <v>1482</v>
      </c>
      <c r="D36" s="1131"/>
      <c r="E36" s="1153">
        <v>1</v>
      </c>
      <c r="F36" s="1132" t="s">
        <v>1483</v>
      </c>
      <c r="G36" s="1133"/>
      <c r="H36" s="1104"/>
      <c r="I36" s="1104"/>
    </row>
    <row r="37" spans="1:9" s="1598" customFormat="1" ht="19.5" customHeight="1">
      <c r="A37" s="3457"/>
      <c r="B37" s="3457"/>
      <c r="C37" s="1130" t="s">
        <v>1484</v>
      </c>
      <c r="D37" s="1131"/>
      <c r="E37" s="1153">
        <v>1.5</v>
      </c>
      <c r="F37" s="1132" t="s">
        <v>1485</v>
      </c>
      <c r="G37" s="1133"/>
      <c r="H37" s="1104"/>
      <c r="I37" s="1104"/>
    </row>
    <row r="38" spans="1:9" s="1598" customFormat="1" ht="19.5" customHeight="1">
      <c r="A38" s="3457"/>
      <c r="B38" s="3457"/>
      <c r="C38" s="1130" t="s">
        <v>1486</v>
      </c>
      <c r="D38" s="1131"/>
      <c r="E38" s="1153">
        <v>1</v>
      </c>
      <c r="F38" s="1132" t="s">
        <v>1487</v>
      </c>
      <c r="G38" s="1133"/>
      <c r="H38" s="1104"/>
      <c r="I38" s="1104"/>
    </row>
    <row r="39" spans="1:9" s="1598" customFormat="1" ht="19.5" customHeight="1">
      <c r="A39" s="3457"/>
      <c r="B39" s="3457"/>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7" t="s">
        <v>1502</v>
      </c>
      <c r="C61" s="1067" t="s">
        <v>1503</v>
      </c>
      <c r="D61" s="1067" t="s">
        <v>1504</v>
      </c>
      <c r="E61" s="1138">
        <v>0.5</v>
      </c>
      <c r="F61" s="1153">
        <v>80</v>
      </c>
      <c r="H61" s="1104">
        <f>SUMIF(C59:C119,基准地价!C8,E59:E119)</f>
        <v>0</v>
      </c>
    </row>
    <row r="62" spans="1:8" s="1104" customFormat="1" ht="24">
      <c r="A62" s="1153">
        <v>2</v>
      </c>
      <c r="B62" s="3457"/>
      <c r="C62" s="1067" t="s">
        <v>1505</v>
      </c>
      <c r="D62" s="1067" t="s">
        <v>1506</v>
      </c>
      <c r="E62" s="1138">
        <v>0.5</v>
      </c>
      <c r="F62" s="1153">
        <v>80</v>
      </c>
    </row>
    <row r="63" spans="1:8" s="1104" customFormat="1" ht="36">
      <c r="A63" s="1153">
        <v>3</v>
      </c>
      <c r="B63" s="3457"/>
      <c r="C63" s="1067" t="s">
        <v>1507</v>
      </c>
      <c r="D63" s="1067" t="s">
        <v>1508</v>
      </c>
      <c r="E63" s="1138">
        <v>0.5</v>
      </c>
      <c r="F63" s="1153">
        <v>80</v>
      </c>
    </row>
    <row r="64" spans="1:8" s="1104" customFormat="1" ht="36">
      <c r="A64" s="1153">
        <v>4</v>
      </c>
      <c r="B64" s="3457"/>
      <c r="C64" s="1067" t="s">
        <v>1509</v>
      </c>
      <c r="D64" s="1067" t="s">
        <v>1510</v>
      </c>
      <c r="E64" s="1138">
        <v>0.4</v>
      </c>
      <c r="F64" s="1153">
        <v>60</v>
      </c>
    </row>
    <row r="65" spans="1:6" s="1104" customFormat="1" ht="36">
      <c r="A65" s="1153">
        <v>5</v>
      </c>
      <c r="B65" s="3457"/>
      <c r="C65" s="1067" t="s">
        <v>1511</v>
      </c>
      <c r="D65" s="1067" t="s">
        <v>1512</v>
      </c>
      <c r="E65" s="1138">
        <v>0.2</v>
      </c>
      <c r="F65" s="1153">
        <v>30</v>
      </c>
    </row>
    <row r="66" spans="1:6" s="1104" customFormat="1" ht="36">
      <c r="A66" s="1153">
        <v>6</v>
      </c>
      <c r="B66" s="3457"/>
      <c r="C66" s="1067" t="s">
        <v>1513</v>
      </c>
      <c r="D66" s="1067" t="s">
        <v>1514</v>
      </c>
      <c r="E66" s="1138">
        <v>0.3</v>
      </c>
      <c r="F66" s="1153">
        <v>50</v>
      </c>
    </row>
    <row r="67" spans="1:6" s="1104" customFormat="1" ht="36">
      <c r="A67" s="1153">
        <v>7</v>
      </c>
      <c r="B67" s="3457"/>
      <c r="C67" s="1067" t="s">
        <v>1515</v>
      </c>
      <c r="D67" s="1067" t="s">
        <v>1516</v>
      </c>
      <c r="E67" s="1138">
        <v>0.2</v>
      </c>
      <c r="F67" s="1153">
        <v>30</v>
      </c>
    </row>
    <row r="68" spans="1:6" s="1104" customFormat="1" ht="36">
      <c r="A68" s="1153">
        <v>8</v>
      </c>
      <c r="B68" s="3457"/>
      <c r="C68" s="1067" t="s">
        <v>1517</v>
      </c>
      <c r="D68" s="1067" t="s">
        <v>1518</v>
      </c>
      <c r="E68" s="1138">
        <v>0.2</v>
      </c>
      <c r="F68" s="1153">
        <v>30</v>
      </c>
    </row>
    <row r="69" spans="1:6" s="1104" customFormat="1" ht="36">
      <c r="A69" s="1153">
        <v>9</v>
      </c>
      <c r="B69" s="3457"/>
      <c r="C69" s="1067" t="s">
        <v>1519</v>
      </c>
      <c r="D69" s="1067" t="s">
        <v>1520</v>
      </c>
      <c r="E69" s="1138">
        <v>0.2</v>
      </c>
      <c r="F69" s="1153">
        <v>30</v>
      </c>
    </row>
    <row r="70" spans="1:6" s="1104" customFormat="1" ht="48">
      <c r="A70" s="1153">
        <v>10</v>
      </c>
      <c r="B70" s="3457"/>
      <c r="C70" s="1067" t="s">
        <v>1521</v>
      </c>
      <c r="D70" s="1067" t="s">
        <v>1522</v>
      </c>
      <c r="E70" s="1138">
        <v>0.2</v>
      </c>
      <c r="F70" s="1153">
        <v>30</v>
      </c>
    </row>
    <row r="71" spans="1:6" s="1104" customFormat="1" ht="48">
      <c r="A71" s="1153">
        <v>11</v>
      </c>
      <c r="B71" s="3457"/>
      <c r="C71" s="1067" t="s">
        <v>1523</v>
      </c>
      <c r="D71" s="1067" t="s">
        <v>1524</v>
      </c>
      <c r="E71" s="1138">
        <v>0.2</v>
      </c>
      <c r="F71" s="1153">
        <v>30</v>
      </c>
    </row>
    <row r="72" spans="1:6" s="1104" customFormat="1" ht="36">
      <c r="A72" s="1153">
        <v>12</v>
      </c>
      <c r="B72" s="3457"/>
      <c r="C72" s="1067" t="s">
        <v>1525</v>
      </c>
      <c r="D72" s="1067" t="s">
        <v>1526</v>
      </c>
      <c r="E72" s="1138">
        <v>0.5</v>
      </c>
      <c r="F72" s="1153">
        <v>80</v>
      </c>
    </row>
    <row r="73" spans="1:6" s="1104" customFormat="1" ht="24">
      <c r="A73" s="1153">
        <v>13</v>
      </c>
      <c r="B73" s="3457"/>
      <c r="C73" s="1067" t="s">
        <v>1527</v>
      </c>
      <c r="D73" s="1067" t="s">
        <v>1528</v>
      </c>
      <c r="E73" s="1138">
        <v>0.4</v>
      </c>
      <c r="F73" s="1153">
        <v>60</v>
      </c>
    </row>
    <row r="74" spans="1:6" s="1104" customFormat="1" ht="24">
      <c r="A74" s="1153">
        <v>14</v>
      </c>
      <c r="B74" s="3457"/>
      <c r="C74" s="1067" t="s">
        <v>1529</v>
      </c>
      <c r="D74" s="1067" t="s">
        <v>1530</v>
      </c>
      <c r="E74" s="1138">
        <v>0.2</v>
      </c>
      <c r="F74" s="1153">
        <v>30</v>
      </c>
    </row>
    <row r="75" spans="1:6" s="1104" customFormat="1" ht="24">
      <c r="A75" s="1153">
        <v>15</v>
      </c>
      <c r="B75" s="3457"/>
      <c r="C75" s="1067" t="s">
        <v>1531</v>
      </c>
      <c r="D75" s="1067" t="s">
        <v>1532</v>
      </c>
      <c r="E75" s="1138">
        <v>0.2</v>
      </c>
      <c r="F75" s="1153">
        <v>30</v>
      </c>
    </row>
    <row r="76" spans="1:6" s="1104" customFormat="1" ht="24">
      <c r="A76" s="1153">
        <v>16</v>
      </c>
      <c r="B76" s="3457" t="s">
        <v>1533</v>
      </c>
      <c r="C76" s="1067" t="s">
        <v>1534</v>
      </c>
      <c r="D76" s="1067" t="s">
        <v>1535</v>
      </c>
      <c r="E76" s="1138">
        <v>0.5</v>
      </c>
      <c r="F76" s="1153">
        <v>80</v>
      </c>
    </row>
    <row r="77" spans="1:6" s="1104" customFormat="1" ht="24">
      <c r="A77" s="1153">
        <v>17</v>
      </c>
      <c r="B77" s="3457"/>
      <c r="C77" s="1067" t="s">
        <v>1536</v>
      </c>
      <c r="D77" s="1067" t="s">
        <v>1537</v>
      </c>
      <c r="E77" s="1138">
        <v>0.5</v>
      </c>
      <c r="F77" s="1153">
        <v>80</v>
      </c>
    </row>
    <row r="78" spans="1:6" s="1104" customFormat="1" ht="24">
      <c r="A78" s="1153">
        <v>18</v>
      </c>
      <c r="B78" s="3457"/>
      <c r="C78" s="1067" t="s">
        <v>1538</v>
      </c>
      <c r="D78" s="1067" t="s">
        <v>1539</v>
      </c>
      <c r="E78" s="1138">
        <v>0.2</v>
      </c>
      <c r="F78" s="1153">
        <v>30</v>
      </c>
    </row>
    <row r="79" spans="1:6" s="1104" customFormat="1" ht="24">
      <c r="A79" s="1153">
        <v>19</v>
      </c>
      <c r="B79" s="3457"/>
      <c r="C79" s="1067" t="s">
        <v>1540</v>
      </c>
      <c r="D79" s="1067" t="s">
        <v>1541</v>
      </c>
      <c r="E79" s="1138">
        <v>0.5</v>
      </c>
      <c r="F79" s="1153">
        <v>80</v>
      </c>
    </row>
    <row r="80" spans="1:6" s="1104" customFormat="1" ht="36">
      <c r="A80" s="1153">
        <v>20</v>
      </c>
      <c r="B80" s="3457"/>
      <c r="C80" s="1067" t="s">
        <v>1542</v>
      </c>
      <c r="D80" s="1067" t="s">
        <v>1543</v>
      </c>
      <c r="E80" s="1138">
        <v>0.2</v>
      </c>
      <c r="F80" s="1153">
        <v>30</v>
      </c>
    </row>
    <row r="81" spans="1:6" s="1104" customFormat="1" ht="36">
      <c r="A81" s="1153">
        <v>21</v>
      </c>
      <c r="B81" s="3457"/>
      <c r="C81" s="1067" t="s">
        <v>1544</v>
      </c>
      <c r="D81" s="1067" t="s">
        <v>1545</v>
      </c>
      <c r="E81" s="1138">
        <v>0.2</v>
      </c>
      <c r="F81" s="1153">
        <v>30</v>
      </c>
    </row>
    <row r="82" spans="1:6" s="1104" customFormat="1" ht="48">
      <c r="A82" s="1153">
        <v>22</v>
      </c>
      <c r="B82" s="3457"/>
      <c r="C82" s="1067" t="s">
        <v>1546</v>
      </c>
      <c r="D82" s="1067" t="s">
        <v>1547</v>
      </c>
      <c r="E82" s="1138">
        <v>0.2</v>
      </c>
      <c r="F82" s="1153">
        <v>30</v>
      </c>
    </row>
    <row r="83" spans="1:6" s="1104" customFormat="1" ht="48">
      <c r="A83" s="1153">
        <v>23</v>
      </c>
      <c r="B83" s="3457"/>
      <c r="C83" s="1067" t="s">
        <v>1548</v>
      </c>
      <c r="D83" s="1067" t="s">
        <v>1549</v>
      </c>
      <c r="E83" s="1138">
        <v>0.2</v>
      </c>
      <c r="F83" s="1153">
        <v>30</v>
      </c>
    </row>
    <row r="84" spans="1:6" s="1104" customFormat="1" ht="36">
      <c r="A84" s="1153">
        <v>24</v>
      </c>
      <c r="B84" s="3457"/>
      <c r="C84" s="1067" t="s">
        <v>1550</v>
      </c>
      <c r="D84" s="1067" t="s">
        <v>1551</v>
      </c>
      <c r="E84" s="1138">
        <v>0.2</v>
      </c>
      <c r="F84" s="1153">
        <v>30</v>
      </c>
    </row>
    <row r="85" spans="1:6" s="1104" customFormat="1" ht="36">
      <c r="A85" s="1153">
        <v>25</v>
      </c>
      <c r="B85" s="3457"/>
      <c r="C85" s="1067" t="s">
        <v>1552</v>
      </c>
      <c r="D85" s="1067" t="s">
        <v>1553</v>
      </c>
      <c r="E85" s="1138">
        <v>0.5</v>
      </c>
      <c r="F85" s="1153">
        <v>80</v>
      </c>
    </row>
    <row r="86" spans="1:6" s="1104" customFormat="1" ht="36">
      <c r="A86" s="1153">
        <v>26</v>
      </c>
      <c r="B86" s="3457"/>
      <c r="C86" s="1067" t="s">
        <v>1554</v>
      </c>
      <c r="D86" s="1067" t="s">
        <v>1555</v>
      </c>
      <c r="E86" s="1138">
        <v>0.2</v>
      </c>
      <c r="F86" s="1153">
        <v>30</v>
      </c>
    </row>
    <row r="87" spans="1:6" s="1104" customFormat="1" ht="36">
      <c r="A87" s="1153">
        <v>27</v>
      </c>
      <c r="B87" s="3457"/>
      <c r="C87" s="1067" t="s">
        <v>1556</v>
      </c>
      <c r="D87" s="1067" t="s">
        <v>1557</v>
      </c>
      <c r="E87" s="1138">
        <v>0.2</v>
      </c>
      <c r="F87" s="1153">
        <v>30</v>
      </c>
    </row>
    <row r="88" spans="1:6" s="1104" customFormat="1" ht="36">
      <c r="A88" s="1153">
        <v>28</v>
      </c>
      <c r="B88" s="3457"/>
      <c r="C88" s="1067" t="s">
        <v>1558</v>
      </c>
      <c r="D88" s="1067" t="s">
        <v>1559</v>
      </c>
      <c r="E88" s="1138">
        <v>0.2</v>
      </c>
      <c r="F88" s="1153">
        <v>30</v>
      </c>
    </row>
    <row r="89" spans="1:6" s="1104" customFormat="1" ht="24">
      <c r="A89" s="1153">
        <v>29</v>
      </c>
      <c r="B89" s="3457"/>
      <c r="C89" s="1067" t="s">
        <v>1560</v>
      </c>
      <c r="D89" s="1067" t="s">
        <v>1561</v>
      </c>
      <c r="E89" s="1138">
        <v>0.2</v>
      </c>
      <c r="F89" s="1153">
        <v>30</v>
      </c>
    </row>
    <row r="90" spans="1:6" s="1104" customFormat="1" ht="24">
      <c r="A90" s="1153">
        <v>30</v>
      </c>
      <c r="B90" s="3457"/>
      <c r="C90" s="1067" t="s">
        <v>1562</v>
      </c>
      <c r="D90" s="1067" t="s">
        <v>1563</v>
      </c>
      <c r="E90" s="1138">
        <v>0.2</v>
      </c>
      <c r="F90" s="1153">
        <v>30</v>
      </c>
    </row>
    <row r="91" spans="1:6" s="1104" customFormat="1" ht="36">
      <c r="A91" s="1153">
        <v>31</v>
      </c>
      <c r="B91" s="3457"/>
      <c r="C91" s="1067" t="s">
        <v>1564</v>
      </c>
      <c r="D91" s="1067" t="s">
        <v>1565</v>
      </c>
      <c r="E91" s="1138">
        <v>0.2</v>
      </c>
      <c r="F91" s="1153">
        <v>30</v>
      </c>
    </row>
    <row r="92" spans="1:6" s="1104" customFormat="1" ht="24">
      <c r="A92" s="1153">
        <v>32</v>
      </c>
      <c r="B92" s="3457" t="s">
        <v>1566</v>
      </c>
      <c r="C92" s="1153" t="s">
        <v>1567</v>
      </c>
      <c r="D92" s="1067" t="s">
        <v>1568</v>
      </c>
      <c r="E92" s="1138">
        <v>0.2</v>
      </c>
      <c r="F92" s="1153">
        <v>30</v>
      </c>
    </row>
    <row r="93" spans="1:6" s="1104" customFormat="1" ht="36">
      <c r="A93" s="1153">
        <v>33</v>
      </c>
      <c r="B93" s="3457"/>
      <c r="C93" s="1153" t="s">
        <v>1569</v>
      </c>
      <c r="D93" s="1067" t="s">
        <v>1570</v>
      </c>
      <c r="E93" s="1138">
        <v>0.2</v>
      </c>
      <c r="F93" s="1153">
        <v>30</v>
      </c>
    </row>
    <row r="94" spans="1:6" s="1104" customFormat="1" ht="48">
      <c r="A94" s="1153">
        <v>34</v>
      </c>
      <c r="B94" s="3457"/>
      <c r="C94" s="1153" t="s">
        <v>1571</v>
      </c>
      <c r="D94" s="1067" t="s">
        <v>1572</v>
      </c>
      <c r="E94" s="1138">
        <v>0.2</v>
      </c>
      <c r="F94" s="1153">
        <v>30</v>
      </c>
    </row>
    <row r="95" spans="1:6" s="1104" customFormat="1" ht="36">
      <c r="A95" s="1153">
        <v>35</v>
      </c>
      <c r="B95" s="3457"/>
      <c r="C95" s="1153" t="s">
        <v>1573</v>
      </c>
      <c r="D95" s="1067" t="s">
        <v>1574</v>
      </c>
      <c r="E95" s="1138">
        <v>0.2</v>
      </c>
      <c r="F95" s="1153">
        <v>30</v>
      </c>
    </row>
    <row r="96" spans="1:6" s="1104" customFormat="1" ht="48">
      <c r="A96" s="1153">
        <v>36</v>
      </c>
      <c r="B96" s="3457"/>
      <c r="C96" s="1067" t="s">
        <v>1575</v>
      </c>
      <c r="D96" s="1067" t="s">
        <v>1576</v>
      </c>
      <c r="E96" s="1138">
        <v>0.2</v>
      </c>
      <c r="F96" s="1153">
        <v>30</v>
      </c>
    </row>
    <row r="97" spans="1:6" s="1104" customFormat="1" ht="36">
      <c r="A97" s="1153">
        <v>37</v>
      </c>
      <c r="B97" s="3457"/>
      <c r="C97" s="1153" t="s">
        <v>1577</v>
      </c>
      <c r="D97" s="1067" t="s">
        <v>1578</v>
      </c>
      <c r="E97" s="1138">
        <v>0.2</v>
      </c>
      <c r="F97" s="1153">
        <v>30</v>
      </c>
    </row>
    <row r="98" spans="1:6" s="1104" customFormat="1" ht="36">
      <c r="A98" s="1153">
        <v>38</v>
      </c>
      <c r="B98" s="3457"/>
      <c r="C98" s="1153" t="s">
        <v>1579</v>
      </c>
      <c r="D98" s="1067" t="s">
        <v>1580</v>
      </c>
      <c r="E98" s="1138">
        <v>0.2</v>
      </c>
      <c r="F98" s="1153">
        <v>30</v>
      </c>
    </row>
    <row r="99" spans="1:6" s="1104" customFormat="1" ht="36">
      <c r="A99" s="1153">
        <v>39</v>
      </c>
      <c r="B99" s="3457" t="s">
        <v>1581</v>
      </c>
      <c r="C99" s="1153" t="s">
        <v>1582</v>
      </c>
      <c r="D99" s="1067" t="s">
        <v>1583</v>
      </c>
      <c r="E99" s="1138">
        <v>0.3</v>
      </c>
      <c r="F99" s="1153">
        <v>50</v>
      </c>
    </row>
    <row r="100" spans="1:6" s="1104" customFormat="1" ht="24">
      <c r="A100" s="1153">
        <v>40</v>
      </c>
      <c r="B100" s="3457"/>
      <c r="C100" s="1153" t="s">
        <v>1584</v>
      </c>
      <c r="D100" s="1067" t="s">
        <v>1585</v>
      </c>
      <c r="E100" s="1138">
        <v>0.2</v>
      </c>
      <c r="F100" s="1153">
        <v>30</v>
      </c>
    </row>
    <row r="101" spans="1:6" s="1104" customFormat="1" ht="36">
      <c r="A101" s="1153">
        <v>41</v>
      </c>
      <c r="B101" s="345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7" t="s">
        <v>1596</v>
      </c>
      <c r="C105" s="1153" t="s">
        <v>1597</v>
      </c>
      <c r="D105" s="1067" t="s">
        <v>1598</v>
      </c>
      <c r="E105" s="1138">
        <v>0.2</v>
      </c>
      <c r="F105" s="1153">
        <v>30</v>
      </c>
    </row>
    <row r="106" spans="1:6" s="1104" customFormat="1" ht="36">
      <c r="A106" s="1153">
        <v>46</v>
      </c>
      <c r="B106" s="3457"/>
      <c r="C106" s="1153" t="s">
        <v>1599</v>
      </c>
      <c r="D106" s="1067" t="s">
        <v>1600</v>
      </c>
      <c r="E106" s="1138">
        <v>0.2</v>
      </c>
      <c r="F106" s="1153">
        <v>30</v>
      </c>
    </row>
    <row r="107" spans="1:6" s="1104" customFormat="1" ht="36">
      <c r="A107" s="1153">
        <v>47</v>
      </c>
      <c r="B107" s="3457" t="s">
        <v>1601</v>
      </c>
      <c r="C107" s="1153" t="s">
        <v>1602</v>
      </c>
      <c r="D107" s="1067" t="s">
        <v>1603</v>
      </c>
      <c r="E107" s="1138">
        <v>0.3</v>
      </c>
      <c r="F107" s="1153">
        <v>50</v>
      </c>
    </row>
    <row r="108" spans="1:6" s="1104" customFormat="1" ht="36">
      <c r="A108" s="1153">
        <v>48</v>
      </c>
      <c r="B108" s="345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7" t="s">
        <v>1612</v>
      </c>
      <c r="C111" s="1153" t="s">
        <v>1613</v>
      </c>
      <c r="D111" s="1067" t="s">
        <v>1614</v>
      </c>
      <c r="E111" s="1138">
        <v>0.2</v>
      </c>
      <c r="F111" s="1153">
        <v>30</v>
      </c>
    </row>
    <row r="112" spans="1:6" s="1104" customFormat="1" ht="24">
      <c r="A112" s="1153">
        <v>52</v>
      </c>
      <c r="B112" s="3457"/>
      <c r="C112" s="1153" t="s">
        <v>1615</v>
      </c>
      <c r="D112" s="1067" t="s">
        <v>1616</v>
      </c>
      <c r="E112" s="1138">
        <v>0.2</v>
      </c>
      <c r="F112" s="1153">
        <v>30</v>
      </c>
    </row>
    <row r="113" spans="1:14" s="1104" customFormat="1" ht="24">
      <c r="A113" s="1153">
        <v>53</v>
      </c>
      <c r="B113" s="345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7" t="s">
        <v>1625</v>
      </c>
      <c r="C116" s="1153" t="s">
        <v>1626</v>
      </c>
      <c r="D116" s="1067" t="s">
        <v>1627</v>
      </c>
      <c r="E116" s="1138">
        <v>0.2</v>
      </c>
      <c r="F116" s="1153">
        <v>30</v>
      </c>
    </row>
    <row r="117" spans="1:14" ht="36">
      <c r="A117" s="1153">
        <v>57</v>
      </c>
      <c r="B117" s="345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6" t="s">
        <v>1634</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9" t="s">
        <v>1040</v>
      </c>
      <c r="B1" s="3469"/>
      <c r="C1" s="3469"/>
      <c r="D1" s="3469"/>
      <c r="E1" s="3469"/>
      <c r="F1" s="3469"/>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0" t="s">
        <v>1053</v>
      </c>
      <c r="B2" s="3470"/>
      <c r="C2" s="3470"/>
      <c r="D2" s="3470"/>
      <c r="E2" s="3470"/>
      <c r="F2" s="3470"/>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1"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2"/>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3" t="s">
        <v>2080</v>
      </c>
      <c r="B1" s="3473"/>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75" t="s">
        <v>2464</v>
      </c>
      <c r="C8" s="1824">
        <f ca="1">ROUND(F8*F10*F9*(1-F11)/10000,0)</f>
        <v>0</v>
      </c>
      <c r="D8" s="1821" t="s">
        <v>2535</v>
      </c>
      <c r="E8" s="61" t="s">
        <v>637</v>
      </c>
      <c r="F8" s="785">
        <f ca="1">INDIRECT("'数据-取费表'!u"&amp;$G$1)</f>
        <v>0</v>
      </c>
      <c r="G8" s="1591"/>
      <c r="H8" s="2482" t="s">
        <v>1825</v>
      </c>
      <c r="I8" s="3475" t="s">
        <v>2464</v>
      </c>
      <c r="J8" s="783">
        <f ca="1">ROUND(M8*M10*M9*(1-M11)/10000,0)</f>
        <v>0</v>
      </c>
      <c r="K8" s="341" t="s">
        <v>2535</v>
      </c>
      <c r="L8" s="784" t="s">
        <v>1739</v>
      </c>
      <c r="M8" s="785">
        <f ca="1">INDIRECT("'数据-取费表'!z"&amp;$G$1)</f>
        <v>0</v>
      </c>
    </row>
    <row r="9" spans="1:25" ht="18" customHeight="1">
      <c r="A9" s="2478"/>
      <c r="B9" s="3476"/>
      <c r="C9" s="1825"/>
      <c r="D9" s="1822"/>
      <c r="E9" s="61" t="s">
        <v>638</v>
      </c>
      <c r="F9" s="785">
        <f ca="1">IF(INDIRECT("'数据-取费表'!ah"&amp;$G$1)="",INDIRECT("'数据-取费表'!k"&amp;$G$1),INDIRECT("'数据-取费表'!ah"&amp;$G$1))</f>
        <v>0</v>
      </c>
      <c r="G9" s="1591"/>
      <c r="H9" s="2467"/>
      <c r="I9" s="3476"/>
      <c r="J9" s="788"/>
      <c r="K9" s="789"/>
      <c r="L9" s="784" t="s">
        <v>1740</v>
      </c>
      <c r="M9" s="785">
        <f ca="1">F9</f>
        <v>0</v>
      </c>
    </row>
    <row r="10" spans="1:25" ht="18" customHeight="1">
      <c r="A10" s="2471"/>
      <c r="B10" s="3477"/>
      <c r="C10" s="1825"/>
      <c r="D10" s="1822"/>
      <c r="E10" s="61" t="s">
        <v>639</v>
      </c>
      <c r="F10" s="785">
        <f ca="1">INDIRECT("'数据-取费表'!ai"&amp;$G$1)</f>
        <v>0</v>
      </c>
      <c r="G10" s="1591"/>
      <c r="H10" s="2467"/>
      <c r="I10" s="3477"/>
      <c r="J10" s="788"/>
      <c r="K10" s="789"/>
      <c r="L10" s="784" t="s">
        <v>1741</v>
      </c>
      <c r="M10" s="785">
        <f ca="1">INDIRECT("'数据-取费表'!ai"&amp;$G$1)</f>
        <v>0</v>
      </c>
    </row>
    <row r="11" spans="1:25" ht="18" customHeight="1">
      <c r="A11" s="786"/>
      <c r="B11" s="3478"/>
      <c r="C11" s="1825"/>
      <c r="D11" s="1822"/>
      <c r="E11" s="61" t="s">
        <v>640</v>
      </c>
      <c r="F11" s="794">
        <f ca="1">INDIRECT("'数据-取费表'!w"&amp;$G$1)</f>
        <v>0</v>
      </c>
      <c r="G11" s="1591"/>
      <c r="H11" s="2483"/>
      <c r="I11" s="3477"/>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0.05</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2.5000000000000001E-2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1.5E-3</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74"/>
      <c r="J36" s="2078"/>
      <c r="K36" s="2079"/>
      <c r="L36" s="2078"/>
      <c r="M36" s="2078"/>
    </row>
    <row r="37" spans="1:18" ht="18" customHeight="1">
      <c r="A37" s="815"/>
      <c r="B37" s="793"/>
      <c r="C37" s="69"/>
      <c r="D37" s="816"/>
      <c r="E37" s="784" t="s">
        <v>674</v>
      </c>
      <c r="F37" s="785">
        <f ca="1">INDIRECT("'数据-取费表'!r"&amp;$G$1)</f>
        <v>0</v>
      </c>
      <c r="G37" s="2061"/>
      <c r="H37" s="2064"/>
      <c r="I37" s="3474"/>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-2.5</v>
      </c>
      <c r="K54" s="3479"/>
      <c r="L54" s="3480"/>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3日、商业2058年12月3日、办公2058年12月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83" t="s">
        <v>2577</v>
      </c>
      <c r="C1" s="3483"/>
      <c r="D1" s="3483"/>
      <c r="E1" s="3483"/>
      <c r="F1" s="3483"/>
      <c r="G1" s="3482" t="s">
        <v>2578</v>
      </c>
      <c r="H1" s="3482"/>
      <c r="I1" s="3482"/>
      <c r="J1" s="3482"/>
      <c r="K1" s="3482"/>
      <c r="L1" s="3482"/>
      <c r="N1" s="3482" t="s">
        <v>2579</v>
      </c>
      <c r="O1" s="3482"/>
      <c r="P1" s="3482"/>
      <c r="Q1" s="3482"/>
      <c r="R1" s="2632"/>
      <c r="S1" s="3482" t="s">
        <v>2580</v>
      </c>
      <c r="T1" s="3482"/>
      <c r="U1" s="3482"/>
      <c r="V1" s="3482"/>
      <c r="X1" s="3481" t="s">
        <v>2640</v>
      </c>
      <c r="Y1" s="3482"/>
      <c r="Z1" s="3482"/>
      <c r="AA1" s="3482"/>
      <c r="AB1" s="3482"/>
      <c r="AD1" s="3481" t="s">
        <v>2644</v>
      </c>
      <c r="AE1" s="3482"/>
      <c r="AF1" s="3482"/>
      <c r="AG1" s="3482"/>
      <c r="AH1" s="3482"/>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0">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85"/>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85"/>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86"/>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84">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85"/>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85"/>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86"/>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84">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85"/>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85"/>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86"/>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87">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88"/>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488"/>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489"/>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84">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85"/>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85"/>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86"/>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84">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85">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85">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86">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84">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85">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85">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86">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84">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85">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85">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86">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84">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85">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85">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86">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84">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85">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85">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86">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84">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85">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85">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86">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84">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85">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85">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86">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84">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85">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85">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86">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84">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85">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85">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86">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84">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85">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85">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86">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G47" sqref="G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581282</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45925</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21" t="s">
        <v>522</v>
      </c>
      <c r="D4" s="3422"/>
      <c r="E4" s="3445" t="s">
        <v>523</v>
      </c>
      <c r="F4" s="3446"/>
      <c r="G4" s="3421" t="s">
        <v>524</v>
      </c>
      <c r="H4" s="3422"/>
      <c r="I4" s="3421" t="s">
        <v>525</v>
      </c>
      <c r="J4" s="3422"/>
      <c r="K4" s="853"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04" t="s">
        <v>524</v>
      </c>
      <c r="AC4" s="3404" t="s">
        <v>525</v>
      </c>
    </row>
    <row r="5" spans="1:29" ht="15">
      <c r="A5" s="515"/>
      <c r="B5" s="516"/>
      <c r="C5" s="3432" t="s">
        <v>2932</v>
      </c>
      <c r="D5" s="3433"/>
      <c r="E5" s="3491" t="s">
        <v>3181</v>
      </c>
      <c r="F5" s="3448"/>
      <c r="G5" s="3492" t="s">
        <v>3182</v>
      </c>
      <c r="H5" s="3433"/>
      <c r="I5" s="3492" t="s">
        <v>3152</v>
      </c>
      <c r="J5" s="3433"/>
      <c r="K5" s="85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2936</v>
      </c>
      <c r="D6" s="3431"/>
      <c r="E6" s="3449" t="s">
        <v>2936</v>
      </c>
      <c r="F6" s="3450"/>
      <c r="G6" s="3430" t="s">
        <v>2936</v>
      </c>
      <c r="H6" s="3431"/>
      <c r="I6" s="3430" t="s">
        <v>2936</v>
      </c>
      <c r="J6" s="3431"/>
      <c r="K6" s="854" t="s">
        <v>528</v>
      </c>
      <c r="L6" s="2132"/>
      <c r="M6" s="2133"/>
      <c r="N6" s="2133"/>
      <c r="O6" s="2133"/>
      <c r="P6" s="3427"/>
      <c r="Q6" s="3428"/>
      <c r="R6" s="3411"/>
      <c r="S6" s="3412"/>
      <c r="T6" s="3413"/>
      <c r="U6" s="3414"/>
      <c r="V6" s="3429"/>
      <c r="W6" s="3429"/>
      <c r="X6" s="1566"/>
      <c r="Y6" s="3413"/>
      <c r="Z6" s="3414"/>
      <c r="AA6" s="3406"/>
      <c r="AB6" s="3406"/>
      <c r="AC6" s="3406"/>
    </row>
    <row r="7" spans="1:29" s="1219" customFormat="1" ht="15.75" thickBot="1">
      <c r="A7" s="2890"/>
      <c r="B7" s="2897" t="s">
        <v>529</v>
      </c>
      <c r="C7" s="519">
        <f>'数据-取费表'!B2</f>
        <v>43438</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07" t="s">
        <v>530</v>
      </c>
      <c r="Q7" s="3416"/>
      <c r="R7" s="1567" t="s">
        <v>13</v>
      </c>
      <c r="S7" s="1568">
        <f t="shared" ref="S7:S15" si="0">F7</f>
        <v>100</v>
      </c>
      <c r="T7" s="1567" t="s">
        <v>13</v>
      </c>
      <c r="U7" s="1568">
        <f t="shared" ref="U7:U15" si="1">H7</f>
        <v>99</v>
      </c>
      <c r="V7" s="1567" t="s">
        <v>13</v>
      </c>
      <c r="W7" s="1568">
        <f t="shared" ref="W7:W15" si="2">J7</f>
        <v>99.5</v>
      </c>
      <c r="X7" s="1569"/>
      <c r="Y7" s="3407" t="s">
        <v>530</v>
      </c>
      <c r="Z7" s="3408"/>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07" t="s">
        <v>533</v>
      </c>
      <c r="Q8" s="3408"/>
      <c r="R8" s="1567" t="s">
        <v>13</v>
      </c>
      <c r="S8" s="1568">
        <f t="shared" si="0"/>
        <v>100</v>
      </c>
      <c r="T8" s="1567" t="s">
        <v>13</v>
      </c>
      <c r="U8" s="1568">
        <f t="shared" si="1"/>
        <v>100</v>
      </c>
      <c r="V8" s="1567" t="s">
        <v>13</v>
      </c>
      <c r="W8" s="1568">
        <f t="shared" si="2"/>
        <v>100</v>
      </c>
      <c r="X8" s="1569"/>
      <c r="Y8" s="3407" t="s">
        <v>533</v>
      </c>
      <c r="Z8" s="3408"/>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15" t="s">
        <v>535</v>
      </c>
      <c r="Q9" s="1150" t="str">
        <f t="shared" ref="Q9:Q15" si="6">B9</f>
        <v>用途</v>
      </c>
      <c r="R9" s="1567" t="s">
        <v>8</v>
      </c>
      <c r="S9" s="1568">
        <f t="shared" si="0"/>
        <v>100</v>
      </c>
      <c r="T9" s="1567" t="s">
        <v>8</v>
      </c>
      <c r="U9" s="1568">
        <f t="shared" si="1"/>
        <v>100</v>
      </c>
      <c r="V9" s="1567" t="s">
        <v>8</v>
      </c>
      <c r="W9" s="1568">
        <f t="shared" si="2"/>
        <v>100</v>
      </c>
      <c r="X9" s="1569"/>
      <c r="Y9" s="3366"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110</v>
      </c>
      <c r="G11" s="533">
        <v>4.46</v>
      </c>
      <c r="H11" s="255">
        <f>LOOKUP(G11,68:68,69:69)-LOOKUP(C11,68:68,69:69)+100</f>
        <v>110</v>
      </c>
      <c r="I11" s="533">
        <v>5.15</v>
      </c>
      <c r="J11" s="255">
        <f>LOOKUP(I11,68:68,69:69)-LOOKUP(C11,68:68,69:69)+100</f>
        <v>110</v>
      </c>
      <c r="K11" s="864">
        <v>10</v>
      </c>
      <c r="L11" s="2139"/>
      <c r="M11" s="2133"/>
      <c r="N11" s="2133"/>
      <c r="O11" s="2140"/>
      <c r="P11" s="3415"/>
      <c r="Q11" s="1150" t="str">
        <f t="shared" si="6"/>
        <v>容积率</v>
      </c>
      <c r="R11" s="1567" t="s">
        <v>11</v>
      </c>
      <c r="S11" s="1568">
        <f t="shared" si="0"/>
        <v>110</v>
      </c>
      <c r="T11" s="1567" t="s">
        <v>11</v>
      </c>
      <c r="U11" s="1568">
        <f t="shared" si="1"/>
        <v>110</v>
      </c>
      <c r="V11" s="1567" t="s">
        <v>11</v>
      </c>
      <c r="W11" s="1568">
        <f t="shared" si="2"/>
        <v>110</v>
      </c>
      <c r="X11" s="1569"/>
      <c r="Y11" s="3366"/>
      <c r="Z11" s="1149" t="str">
        <f t="shared" si="7"/>
        <v>容积率</v>
      </c>
      <c r="AA11" s="1570">
        <f t="shared" si="3"/>
        <v>0.90909090909090906</v>
      </c>
      <c r="AB11" s="1570">
        <f t="shared" si="4"/>
        <v>0.90909090909090906</v>
      </c>
      <c r="AC11" s="1570">
        <f t="shared" si="5"/>
        <v>0.90909090909090906</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5"/>
      <c r="Q12" s="1150">
        <f t="shared" si="6"/>
        <v>111</v>
      </c>
      <c r="R12" s="1567" t="s">
        <v>11</v>
      </c>
      <c r="S12" s="1568">
        <f t="shared" si="0"/>
        <v>100</v>
      </c>
      <c r="T12" s="1567" t="s">
        <v>11</v>
      </c>
      <c r="U12" s="1568">
        <f t="shared" si="1"/>
        <v>100</v>
      </c>
      <c r="V12" s="1567" t="s">
        <v>11</v>
      </c>
      <c r="W12" s="1568">
        <f t="shared" si="2"/>
        <v>100</v>
      </c>
      <c r="X12" s="1569"/>
      <c r="Y12" s="3366"/>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5"/>
      <c r="Q13" s="1150">
        <f t="shared" si="6"/>
        <v>111</v>
      </c>
      <c r="R13" s="1567" t="s">
        <v>11</v>
      </c>
      <c r="S13" s="1568">
        <f t="shared" si="0"/>
        <v>100</v>
      </c>
      <c r="T13" s="1567" t="s">
        <v>11</v>
      </c>
      <c r="U13" s="1568">
        <f t="shared" si="1"/>
        <v>100</v>
      </c>
      <c r="V13" s="1567" t="s">
        <v>11</v>
      </c>
      <c r="W13" s="1568">
        <f t="shared" si="2"/>
        <v>100</v>
      </c>
      <c r="X13" s="1569"/>
      <c r="Y13" s="3366"/>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5"/>
      <c r="Q14" s="1150">
        <f t="shared" si="6"/>
        <v>111</v>
      </c>
      <c r="R14" s="1567" t="s">
        <v>11</v>
      </c>
      <c r="S14" s="1568">
        <f t="shared" si="0"/>
        <v>100</v>
      </c>
      <c r="T14" s="1567" t="s">
        <v>11</v>
      </c>
      <c r="U14" s="1568">
        <f t="shared" si="1"/>
        <v>100</v>
      </c>
      <c r="V14" s="1567" t="s">
        <v>11</v>
      </c>
      <c r="W14" s="1568">
        <f t="shared" si="2"/>
        <v>100</v>
      </c>
      <c r="X14" s="1569"/>
      <c r="Y14" s="3366"/>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17" t="s">
        <v>540</v>
      </c>
      <c r="Q15" s="1571" t="str">
        <f t="shared" si="6"/>
        <v>居住社区成熟度</v>
      </c>
      <c r="R15" s="1572" t="s">
        <v>11</v>
      </c>
      <c r="S15" s="1573">
        <f t="shared" si="0"/>
        <v>100</v>
      </c>
      <c r="T15" s="1572" t="s">
        <v>11</v>
      </c>
      <c r="U15" s="1573">
        <f t="shared" si="1"/>
        <v>100</v>
      </c>
      <c r="V15" s="1572" t="s">
        <v>11</v>
      </c>
      <c r="W15" s="1573">
        <f t="shared" si="2"/>
        <v>100</v>
      </c>
      <c r="X15" s="1566"/>
      <c r="Y15" s="3417"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18"/>
      <c r="Q16" s="1571"/>
      <c r="R16" s="1572"/>
      <c r="S16" s="1573"/>
      <c r="T16" s="1572"/>
      <c r="U16" s="1573"/>
      <c r="V16" s="1572"/>
      <c r="W16" s="1573"/>
      <c r="X16" s="1566"/>
      <c r="Y16" s="341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18"/>
      <c r="Q17" s="1571" t="str">
        <f>B17</f>
        <v>交通便捷度</v>
      </c>
      <c r="R17" s="1572" t="s">
        <v>11</v>
      </c>
      <c r="S17" s="1573">
        <f>F17</f>
        <v>100</v>
      </c>
      <c r="T17" s="1572" t="s">
        <v>11</v>
      </c>
      <c r="U17" s="1573">
        <f>H17</f>
        <v>100</v>
      </c>
      <c r="V17" s="1572" t="s">
        <v>11</v>
      </c>
      <c r="W17" s="1573">
        <f>J17</f>
        <v>100</v>
      </c>
      <c r="X17" s="1566"/>
      <c r="Y17" s="3418"/>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18"/>
      <c r="Q18" s="1571"/>
      <c r="R18" s="1572"/>
      <c r="S18" s="1573"/>
      <c r="T18" s="1572"/>
      <c r="U18" s="1573"/>
      <c r="V18" s="1572"/>
      <c r="W18" s="1573"/>
      <c r="X18" s="1566"/>
      <c r="Y18" s="3418"/>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18"/>
      <c r="Q19" s="1571" t="str">
        <f>B19</f>
        <v>公共配套设施</v>
      </c>
      <c r="R19" s="1572" t="s">
        <v>11</v>
      </c>
      <c r="S19" s="1573">
        <f>F19</f>
        <v>100</v>
      </c>
      <c r="T19" s="1572" t="s">
        <v>11</v>
      </c>
      <c r="U19" s="1573">
        <f>H19</f>
        <v>100</v>
      </c>
      <c r="V19" s="1572" t="s">
        <v>11</v>
      </c>
      <c r="W19" s="1573">
        <f>J19</f>
        <v>100</v>
      </c>
      <c r="X19" s="1566"/>
      <c r="Y19" s="3418"/>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18"/>
      <c r="Q20" s="1571"/>
      <c r="R20" s="1572"/>
      <c r="S20" s="1573"/>
      <c r="T20" s="1572"/>
      <c r="U20" s="1573"/>
      <c r="V20" s="1572"/>
      <c r="W20" s="1573"/>
      <c r="X20" s="1566"/>
      <c r="Y20" s="3418"/>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18"/>
      <c r="Q21" s="2557" t="str">
        <f>B21</f>
        <v>基础设施水平</v>
      </c>
      <c r="R21" s="1572" t="s">
        <v>11</v>
      </c>
      <c r="S21" s="1573">
        <f>F21</f>
        <v>100</v>
      </c>
      <c r="T21" s="1572" t="s">
        <v>11</v>
      </c>
      <c r="U21" s="1573">
        <f>H21</f>
        <v>100</v>
      </c>
      <c r="V21" s="1572" t="s">
        <v>11</v>
      </c>
      <c r="W21" s="1573">
        <f>J21</f>
        <v>100</v>
      </c>
      <c r="X21" s="2559"/>
      <c r="Y21" s="3418"/>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18"/>
      <c r="Q22" s="2557"/>
      <c r="R22" s="1572"/>
      <c r="S22" s="1573"/>
      <c r="T22" s="1572"/>
      <c r="U22" s="1573"/>
      <c r="V22" s="1572"/>
      <c r="W22" s="1573"/>
      <c r="X22" s="2559"/>
      <c r="Y22" s="3418"/>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18"/>
      <c r="Q23" s="1571" t="str">
        <f>B23</f>
        <v>自然及人文环境</v>
      </c>
      <c r="R23" s="1572" t="s">
        <v>11</v>
      </c>
      <c r="S23" s="1573">
        <f>F23</f>
        <v>100</v>
      </c>
      <c r="T23" s="1572" t="s">
        <v>11</v>
      </c>
      <c r="U23" s="1573">
        <f>H23</f>
        <v>100</v>
      </c>
      <c r="V23" s="1572" t="s">
        <v>11</v>
      </c>
      <c r="W23" s="1573">
        <f>J23</f>
        <v>100</v>
      </c>
      <c r="X23" s="1566"/>
      <c r="Y23" s="3418"/>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8"/>
      <c r="Q25" s="1571" t="str">
        <f t="shared" ref="Q25:Q46" si="11">B25</f>
        <v>楼层-1</v>
      </c>
      <c r="R25" s="1572" t="s">
        <v>11</v>
      </c>
      <c r="S25" s="1573">
        <f>F25</f>
        <v>100</v>
      </c>
      <c r="T25" s="1572" t="s">
        <v>11</v>
      </c>
      <c r="U25" s="1573">
        <f>H25</f>
        <v>100</v>
      </c>
      <c r="V25" s="1572" t="s">
        <v>11</v>
      </c>
      <c r="W25" s="1573">
        <f>J25</f>
        <v>100</v>
      </c>
      <c r="X25" s="1566"/>
      <c r="Y25" s="3418"/>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8"/>
      <c r="Q26" s="1571" t="str">
        <f t="shared" si="11"/>
        <v>朝向</v>
      </c>
      <c r="R26" s="1572" t="s">
        <v>11</v>
      </c>
      <c r="S26" s="1573">
        <f>F26</f>
        <v>100</v>
      </c>
      <c r="T26" s="1572" t="s">
        <v>11</v>
      </c>
      <c r="U26" s="1573">
        <f>H26</f>
        <v>100</v>
      </c>
      <c r="V26" s="1572" t="s">
        <v>11</v>
      </c>
      <c r="W26" s="1573">
        <f>J26</f>
        <v>100</v>
      </c>
      <c r="X26" s="1566"/>
      <c r="Y26" s="3418"/>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8"/>
      <c r="Q27" s="1150" t="str">
        <f t="shared" si="11"/>
        <v>道路级别</v>
      </c>
      <c r="R27" s="1567" t="s">
        <v>11</v>
      </c>
      <c r="S27" s="1568">
        <f>F27</f>
        <v>100</v>
      </c>
      <c r="T27" s="1567" t="s">
        <v>11</v>
      </c>
      <c r="U27" s="1568">
        <f>H27</f>
        <v>100</v>
      </c>
      <c r="V27" s="1567" t="s">
        <v>11</v>
      </c>
      <c r="W27" s="1568">
        <f>J27</f>
        <v>100</v>
      </c>
      <c r="X27" s="1569"/>
      <c r="Y27" s="3418"/>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8"/>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8"/>
      <c r="Q29" s="1571">
        <f t="shared" si="11"/>
        <v>111</v>
      </c>
      <c r="R29" s="1572" t="s">
        <v>11</v>
      </c>
      <c r="S29" s="1573">
        <f t="shared" si="12"/>
        <v>100</v>
      </c>
      <c r="T29" s="1572" t="s">
        <v>11</v>
      </c>
      <c r="U29" s="1573">
        <f t="shared" si="13"/>
        <v>100</v>
      </c>
      <c r="V29" s="1572" t="s">
        <v>11</v>
      </c>
      <c r="W29" s="1573">
        <f t="shared" si="14"/>
        <v>100</v>
      </c>
      <c r="X29" s="1566"/>
      <c r="Y29" s="3418"/>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8"/>
      <c r="Q30" s="1571">
        <f t="shared" si="11"/>
        <v>111</v>
      </c>
      <c r="R30" s="1572" t="s">
        <v>11</v>
      </c>
      <c r="S30" s="1573">
        <f t="shared" si="12"/>
        <v>100</v>
      </c>
      <c r="T30" s="1572" t="s">
        <v>11</v>
      </c>
      <c r="U30" s="1573">
        <f t="shared" si="13"/>
        <v>100</v>
      </c>
      <c r="V30" s="1572" t="s">
        <v>11</v>
      </c>
      <c r="W30" s="1573">
        <f t="shared" si="14"/>
        <v>100</v>
      </c>
      <c r="X30" s="1566"/>
      <c r="Y30" s="3418"/>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8"/>
      <c r="Q31" s="1571">
        <f t="shared" si="11"/>
        <v>111</v>
      </c>
      <c r="R31" s="1572" t="s">
        <v>11</v>
      </c>
      <c r="S31" s="1573">
        <f t="shared" si="12"/>
        <v>100</v>
      </c>
      <c r="T31" s="1572" t="s">
        <v>11</v>
      </c>
      <c r="U31" s="1573">
        <f t="shared" si="13"/>
        <v>100</v>
      </c>
      <c r="V31" s="1572" t="s">
        <v>11</v>
      </c>
      <c r="W31" s="1573">
        <f t="shared" si="14"/>
        <v>100</v>
      </c>
      <c r="X31" s="1566"/>
      <c r="Y31" s="3418"/>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19" t="s">
        <v>550</v>
      </c>
      <c r="Q32" s="1571" t="str">
        <f t="shared" si="11"/>
        <v>建筑类型</v>
      </c>
      <c r="R32" s="1572" t="s">
        <v>11</v>
      </c>
      <c r="S32" s="1573">
        <f t="shared" si="12"/>
        <v>100</v>
      </c>
      <c r="T32" s="1572" t="s">
        <v>11</v>
      </c>
      <c r="U32" s="1573">
        <f t="shared" si="13"/>
        <v>100</v>
      </c>
      <c r="V32" s="1572" t="s">
        <v>11</v>
      </c>
      <c r="W32" s="1573">
        <f t="shared" si="14"/>
        <v>100</v>
      </c>
      <c r="X32" s="1566"/>
      <c r="Y32" s="3420"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20"/>
      <c r="Q33" s="1604" t="str">
        <f t="shared" si="11"/>
        <v>项目建筑规模</v>
      </c>
      <c r="R33" s="1576" t="s">
        <v>11</v>
      </c>
      <c r="S33" s="1577">
        <f t="shared" si="12"/>
        <v>100</v>
      </c>
      <c r="T33" s="1576" t="s">
        <v>11</v>
      </c>
      <c r="U33" s="1577">
        <f t="shared" si="13"/>
        <v>100</v>
      </c>
      <c r="V33" s="1576" t="s">
        <v>11</v>
      </c>
      <c r="W33" s="1577">
        <f t="shared" si="14"/>
        <v>100</v>
      </c>
      <c r="X33" s="1578"/>
      <c r="Y33" s="3420"/>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20"/>
      <c r="Q34" s="1571" t="str">
        <f t="shared" si="11"/>
        <v>建筑结构</v>
      </c>
      <c r="R34" s="1572" t="s">
        <v>11</v>
      </c>
      <c r="S34" s="1573">
        <f t="shared" si="12"/>
        <v>100</v>
      </c>
      <c r="T34" s="1572" t="s">
        <v>11</v>
      </c>
      <c r="U34" s="1573">
        <f t="shared" si="13"/>
        <v>100</v>
      </c>
      <c r="V34" s="1572" t="s">
        <v>11</v>
      </c>
      <c r="W34" s="1573">
        <f t="shared" si="14"/>
        <v>100</v>
      </c>
      <c r="X34" s="1566"/>
      <c r="Y34" s="3420"/>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110</v>
      </c>
      <c r="I35" s="599" t="s">
        <v>3108</v>
      </c>
      <c r="J35" s="540">
        <f>SUMIF(107:107,I35,108:108)-SUMIF(107:107,C35,108:108)+100</f>
        <v>110</v>
      </c>
      <c r="K35" s="864">
        <v>10</v>
      </c>
      <c r="L35" s="2141"/>
      <c r="M35" s="2133"/>
      <c r="N35" s="2133"/>
      <c r="O35" s="2140"/>
      <c r="P35" s="3420"/>
      <c r="Q35" s="1571" t="str">
        <f t="shared" si="11"/>
        <v>建筑品质</v>
      </c>
      <c r="R35" s="1572" t="s">
        <v>11</v>
      </c>
      <c r="S35" s="1573">
        <f t="shared" si="12"/>
        <v>100</v>
      </c>
      <c r="T35" s="1572" t="s">
        <v>11</v>
      </c>
      <c r="U35" s="1573">
        <f t="shared" si="13"/>
        <v>110</v>
      </c>
      <c r="V35" s="1572" t="s">
        <v>11</v>
      </c>
      <c r="W35" s="1573">
        <f t="shared" si="14"/>
        <v>110</v>
      </c>
      <c r="X35" s="1566"/>
      <c r="Y35" s="3420"/>
      <c r="Z35" s="1574" t="str">
        <f t="shared" si="15"/>
        <v>建筑品质</v>
      </c>
      <c r="AA35" s="1575">
        <f t="shared" si="3"/>
        <v>1</v>
      </c>
      <c r="AB35" s="1575">
        <f t="shared" si="4"/>
        <v>0.90909090909090906</v>
      </c>
      <c r="AC35" s="1575">
        <f t="shared" si="5"/>
        <v>0.90909090909090906</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20"/>
      <c r="Q36" s="1571" t="str">
        <f t="shared" si="11"/>
        <v>公共部分装修</v>
      </c>
      <c r="R36" s="1572" t="s">
        <v>11</v>
      </c>
      <c r="S36" s="1573">
        <f t="shared" si="12"/>
        <v>100</v>
      </c>
      <c r="T36" s="1572" t="s">
        <v>11</v>
      </c>
      <c r="U36" s="1573">
        <f t="shared" si="13"/>
        <v>100</v>
      </c>
      <c r="V36" s="1572" t="s">
        <v>11</v>
      </c>
      <c r="W36" s="1573">
        <f t="shared" si="14"/>
        <v>100</v>
      </c>
      <c r="X36" s="1566"/>
      <c r="Y36" s="3420"/>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0"/>
      <c r="Q37" s="1150" t="str">
        <f t="shared" si="11"/>
        <v>成新度</v>
      </c>
      <c r="R37" s="1567" t="s">
        <v>11</v>
      </c>
      <c r="S37" s="1568">
        <f t="shared" si="12"/>
        <v>100</v>
      </c>
      <c r="T37" s="1567" t="s">
        <v>11</v>
      </c>
      <c r="U37" s="1568">
        <f t="shared" si="13"/>
        <v>100</v>
      </c>
      <c r="V37" s="1567" t="s">
        <v>11</v>
      </c>
      <c r="W37" s="1568">
        <f t="shared" si="14"/>
        <v>100</v>
      </c>
      <c r="X37" s="1569"/>
      <c r="Y37" s="3420"/>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20" t="s">
        <v>550</v>
      </c>
      <c r="Q38" s="1571" t="str">
        <f t="shared" si="11"/>
        <v>物业管理</v>
      </c>
      <c r="R38" s="1572" t="s">
        <v>11</v>
      </c>
      <c r="S38" s="1573">
        <f t="shared" si="12"/>
        <v>100</v>
      </c>
      <c r="T38" s="1572" t="s">
        <v>11</v>
      </c>
      <c r="U38" s="1573">
        <f t="shared" si="13"/>
        <v>100</v>
      </c>
      <c r="V38" s="1572" t="s">
        <v>11</v>
      </c>
      <c r="W38" s="1573">
        <f t="shared" si="14"/>
        <v>100</v>
      </c>
      <c r="X38" s="1566"/>
      <c r="Y38" s="3420"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20"/>
      <c r="Q39" s="1571" t="str">
        <f t="shared" si="11"/>
        <v>市政基础设施</v>
      </c>
      <c r="R39" s="1572" t="s">
        <v>11</v>
      </c>
      <c r="S39" s="1573">
        <f t="shared" si="12"/>
        <v>100</v>
      </c>
      <c r="T39" s="1572" t="s">
        <v>11</v>
      </c>
      <c r="U39" s="1573">
        <f t="shared" si="13"/>
        <v>100</v>
      </c>
      <c r="V39" s="1572" t="s">
        <v>11</v>
      </c>
      <c r="W39" s="1573">
        <f t="shared" si="14"/>
        <v>100</v>
      </c>
      <c r="X39" s="1566"/>
      <c r="Y39" s="3420"/>
      <c r="Z39" s="1574" t="str">
        <f t="shared" si="15"/>
        <v>市政基础设施</v>
      </c>
      <c r="AA39" s="1575">
        <f t="shared" si="3"/>
        <v>1</v>
      </c>
      <c r="AB39" s="1575">
        <f t="shared" si="4"/>
        <v>1</v>
      </c>
      <c r="AC39" s="1575">
        <f t="shared" si="5"/>
        <v>1</v>
      </c>
    </row>
    <row r="40" spans="1:29" ht="15">
      <c r="A40" s="594"/>
      <c r="B40" s="527" t="s">
        <v>732</v>
      </c>
      <c r="C40" s="599" t="s">
        <v>3160</v>
      </c>
      <c r="D40" s="540">
        <v>100</v>
      </c>
      <c r="E40" s="874" t="s">
        <v>3161</v>
      </c>
      <c r="F40" s="575">
        <f>SUMIF(118:118,E40,119:119)-SUMIF(118:118,C40,119:119)+100</f>
        <v>104</v>
      </c>
      <c r="G40" s="874" t="s">
        <v>3161</v>
      </c>
      <c r="H40" s="540">
        <f>SUMIF(118:118,G40,119:119)-SUMIF(118:118,C40,119:119)+100</f>
        <v>104</v>
      </c>
      <c r="I40" s="874" t="s">
        <v>3161</v>
      </c>
      <c r="J40" s="540">
        <f>SUMIF(118:118,I40,119:119)-SUMIF(118:118,C40,119:119)+100</f>
        <v>104</v>
      </c>
      <c r="K40" s="864">
        <v>4</v>
      </c>
      <c r="L40" s="2141"/>
      <c r="M40" s="2133"/>
      <c r="N40" s="2133"/>
      <c r="O40" s="2140"/>
      <c r="P40" s="3420"/>
      <c r="Q40" s="1571" t="str">
        <f t="shared" si="11"/>
        <v>房型</v>
      </c>
      <c r="R40" s="1572" t="s">
        <v>11</v>
      </c>
      <c r="S40" s="1573">
        <f t="shared" si="12"/>
        <v>104</v>
      </c>
      <c r="T40" s="1572" t="s">
        <v>11</v>
      </c>
      <c r="U40" s="1573">
        <f t="shared" si="13"/>
        <v>104</v>
      </c>
      <c r="V40" s="1572" t="s">
        <v>11</v>
      </c>
      <c r="W40" s="1573">
        <f t="shared" si="14"/>
        <v>104</v>
      </c>
      <c r="X40" s="1566"/>
      <c r="Y40" s="3420"/>
      <c r="Z40" s="1574" t="str">
        <f t="shared" si="15"/>
        <v>房型</v>
      </c>
      <c r="AA40" s="1575">
        <f t="shared" si="3"/>
        <v>0.96153846153846156</v>
      </c>
      <c r="AB40" s="1575">
        <f t="shared" si="4"/>
        <v>0.96153846153846156</v>
      </c>
      <c r="AC40" s="1575">
        <f t="shared" si="5"/>
        <v>0.96153846153846156</v>
      </c>
    </row>
    <row r="41" spans="1:29" s="1338" customFormat="1" ht="28.5">
      <c r="A41" s="603"/>
      <c r="B41" s="527" t="s">
        <v>733</v>
      </c>
      <c r="C41" s="879" t="s">
        <v>3154</v>
      </c>
      <c r="D41" s="255">
        <v>100</v>
      </c>
      <c r="E41" s="534" t="s">
        <v>3156</v>
      </c>
      <c r="F41" s="863">
        <f>SUMIF(120:120,E41,121:121)-SUMIF(120:120,C41,121:121)+100</f>
        <v>103</v>
      </c>
      <c r="G41" s="533" t="s">
        <v>3155</v>
      </c>
      <c r="H41" s="255">
        <f>SUMIF(120:120,G41,121:121)-SUMIF(120:120,C41,121:121)+100</f>
        <v>103</v>
      </c>
      <c r="I41" s="586" t="s">
        <v>3157</v>
      </c>
      <c r="J41" s="540">
        <f>SUMIF(120:120,I41,121:121)-SUMIF(120:120,C41,121:121)+100</f>
        <v>103</v>
      </c>
      <c r="K41" s="865"/>
      <c r="L41" s="2139"/>
      <c r="M41" s="2170"/>
      <c r="N41" s="2170"/>
      <c r="O41" s="2142"/>
      <c r="P41" s="3420"/>
      <c r="Q41" s="1604" t="str">
        <f t="shared" si="11"/>
        <v>单套/主力户型建筑面积</v>
      </c>
      <c r="R41" s="1576" t="s">
        <v>11</v>
      </c>
      <c r="S41" s="1577">
        <f t="shared" si="12"/>
        <v>103</v>
      </c>
      <c r="T41" s="1576" t="s">
        <v>11</v>
      </c>
      <c r="U41" s="1577">
        <f t="shared" si="13"/>
        <v>103</v>
      </c>
      <c r="V41" s="1576" t="s">
        <v>11</v>
      </c>
      <c r="W41" s="1577">
        <f t="shared" si="14"/>
        <v>103</v>
      </c>
      <c r="X41" s="1578"/>
      <c r="Y41" s="3420"/>
      <c r="Z41" s="1579" t="str">
        <f t="shared" si="15"/>
        <v>单套/主力户型建筑面积</v>
      </c>
      <c r="AA41" s="1575">
        <f t="shared" si="3"/>
        <v>0.970873786407767</v>
      </c>
      <c r="AB41" s="1575">
        <f t="shared" si="4"/>
        <v>0.970873786407767</v>
      </c>
      <c r="AC41" s="1575">
        <f t="shared" si="5"/>
        <v>0.970873786407767</v>
      </c>
    </row>
    <row r="42" spans="1:29" ht="15">
      <c r="A42" s="594"/>
      <c r="B42" s="527" t="s">
        <v>734</v>
      </c>
      <c r="C42" s="599" t="s">
        <v>3140</v>
      </c>
      <c r="D42" s="540">
        <v>100</v>
      </c>
      <c r="E42" s="874" t="s">
        <v>3144</v>
      </c>
      <c r="F42" s="575">
        <f>SUMIF(122:122,E42,123:123)-SUMIF(122:122,C42,123:123)+100</f>
        <v>94</v>
      </c>
      <c r="G42" s="599" t="s">
        <v>3140</v>
      </c>
      <c r="H42" s="540">
        <f>SUMIF(122:122,G42,123:123)-SUMIF(122:122,C42,123:123)+100</f>
        <v>100</v>
      </c>
      <c r="I42" s="874" t="s">
        <v>3140</v>
      </c>
      <c r="J42" s="540">
        <f>SUMIF(122:122,I42,123:123)-SUMIF(122:122,C42,123:123)+100</f>
        <v>100</v>
      </c>
      <c r="K42" s="864">
        <v>2</v>
      </c>
      <c r="L42" s="2141"/>
      <c r="M42" s="2133"/>
      <c r="N42" s="2133"/>
      <c r="O42" s="2140"/>
      <c r="P42" s="3420"/>
      <c r="Q42" s="1571" t="str">
        <f t="shared" si="11"/>
        <v>内部装修</v>
      </c>
      <c r="R42" s="1572" t="s">
        <v>11</v>
      </c>
      <c r="S42" s="1573">
        <f t="shared" si="12"/>
        <v>94</v>
      </c>
      <c r="T42" s="1572" t="s">
        <v>11</v>
      </c>
      <c r="U42" s="1573">
        <f t="shared" si="13"/>
        <v>100</v>
      </c>
      <c r="V42" s="1572" t="s">
        <v>11</v>
      </c>
      <c r="W42" s="1573">
        <f t="shared" si="14"/>
        <v>100</v>
      </c>
      <c r="X42" s="1566"/>
      <c r="Y42" s="3420"/>
      <c r="Z42" s="1574" t="str">
        <f t="shared" si="15"/>
        <v>内部装修</v>
      </c>
      <c r="AA42" s="1575">
        <f t="shared" si="3"/>
        <v>1.0638297872340425</v>
      </c>
      <c r="AB42" s="1575">
        <f t="shared" si="4"/>
        <v>1</v>
      </c>
      <c r="AC42" s="1575">
        <f t="shared" si="5"/>
        <v>1</v>
      </c>
    </row>
    <row r="43" spans="1:29" ht="27.75" thickBot="1">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20"/>
      <c r="Q43" s="1571" t="str">
        <f t="shared" si="11"/>
        <v>内部装修维护情况</v>
      </c>
      <c r="R43" s="1572" t="s">
        <v>11</v>
      </c>
      <c r="S43" s="1573">
        <f t="shared" si="12"/>
        <v>100</v>
      </c>
      <c r="T43" s="1572" t="s">
        <v>11</v>
      </c>
      <c r="U43" s="1573">
        <f t="shared" si="13"/>
        <v>100</v>
      </c>
      <c r="V43" s="1572" t="s">
        <v>11</v>
      </c>
      <c r="W43" s="1573">
        <f t="shared" si="14"/>
        <v>100</v>
      </c>
      <c r="X43" s="1566"/>
      <c r="Y43" s="3420"/>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0"/>
      <c r="Q44" s="1150">
        <f t="shared" si="11"/>
        <v>111</v>
      </c>
      <c r="R44" s="1567" t="s">
        <v>11</v>
      </c>
      <c r="S44" s="1568">
        <f t="shared" si="12"/>
        <v>100</v>
      </c>
      <c r="T44" s="1567" t="s">
        <v>11</v>
      </c>
      <c r="U44" s="1568">
        <f t="shared" si="13"/>
        <v>100</v>
      </c>
      <c r="V44" s="1567" t="s">
        <v>11</v>
      </c>
      <c r="W44" s="1568">
        <f t="shared" si="14"/>
        <v>100</v>
      </c>
      <c r="X44" s="1569"/>
      <c r="Y44" s="3420"/>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0"/>
      <c r="Q45" s="1571">
        <f t="shared" si="11"/>
        <v>111</v>
      </c>
      <c r="R45" s="1572" t="s">
        <v>11</v>
      </c>
      <c r="S45" s="1573">
        <f t="shared" si="12"/>
        <v>100</v>
      </c>
      <c r="T45" s="1572" t="s">
        <v>11</v>
      </c>
      <c r="U45" s="1573">
        <f t="shared" si="13"/>
        <v>100</v>
      </c>
      <c r="V45" s="1572" t="s">
        <v>11</v>
      </c>
      <c r="W45" s="1573">
        <f t="shared" si="14"/>
        <v>100</v>
      </c>
      <c r="X45" s="1566"/>
      <c r="Y45" s="3420"/>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5"/>
      <c r="Q46" s="1571">
        <f t="shared" si="11"/>
        <v>111</v>
      </c>
      <c r="R46" s="1572" t="s">
        <v>10</v>
      </c>
      <c r="S46" s="1573">
        <f t="shared" si="12"/>
        <v>100</v>
      </c>
      <c r="T46" s="1572" t="s">
        <v>10</v>
      </c>
      <c r="U46" s="1573">
        <f t="shared" si="13"/>
        <v>100</v>
      </c>
      <c r="V46" s="1572" t="s">
        <v>10</v>
      </c>
      <c r="W46" s="1573">
        <f t="shared" si="14"/>
        <v>100</v>
      </c>
      <c r="X46" s="1566"/>
      <c r="Y46" s="3495"/>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15" t="str">
        <f>A47</f>
        <v>成交单价（元/平方米）</v>
      </c>
      <c r="Q47" s="3415"/>
      <c r="R47" s="3494">
        <f>E47</f>
        <v>52380</v>
      </c>
      <c r="S47" s="3494"/>
      <c r="T47" s="3494">
        <f>G47</f>
        <v>58200</v>
      </c>
      <c r="U47" s="3494"/>
      <c r="V47" s="3494">
        <f>I47</f>
        <v>58200</v>
      </c>
      <c r="W47" s="3494"/>
      <c r="X47" s="1558"/>
      <c r="Y47" s="1580"/>
      <c r="Z47" s="1558"/>
      <c r="AA47" s="1558"/>
      <c r="AB47" s="1558"/>
      <c r="AC47" s="1558"/>
    </row>
    <row r="48" spans="1:29" ht="15.75" thickBot="1">
      <c r="A48" s="615" t="s">
        <v>2761</v>
      </c>
      <c r="B48" s="887"/>
      <c r="C48" s="2611">
        <f>R49</f>
        <v>45925</v>
      </c>
      <c r="D48" s="2612"/>
      <c r="E48" s="2613">
        <f>R48</f>
        <v>47291</v>
      </c>
      <c r="F48" s="2613"/>
      <c r="G48" s="2611">
        <f>T48</f>
        <v>45356</v>
      </c>
      <c r="H48" s="2612"/>
      <c r="I48" s="2613">
        <f>V48</f>
        <v>45128</v>
      </c>
      <c r="J48" s="2612"/>
      <c r="K48" s="1606"/>
      <c r="L48" s="2143"/>
      <c r="M48" s="2144"/>
      <c r="N48" s="2144"/>
      <c r="O48" s="2144"/>
      <c r="P48" s="3415" t="str">
        <f>A48</f>
        <v>比较价格（元/平方米）</v>
      </c>
      <c r="Q48" s="3415"/>
      <c r="R48" s="3494">
        <f>IF(F1="售价",ROUND(PRODUCT(R47,AA7:AA46),0),ROUND(PRODUCT(R47,AA7:AA46),1))</f>
        <v>47291</v>
      </c>
      <c r="S48" s="3494"/>
      <c r="T48" s="3494">
        <f>IF(F1="售价",ROUND(PRODUCT(T47,AB7:AB46),0),ROUND(PRODUCT(T47,AB7:AB46),1))</f>
        <v>45356</v>
      </c>
      <c r="U48" s="3494"/>
      <c r="V48" s="3494">
        <f>IF(F1="售价",ROUND(PRODUCT(V47,AC7:AC46),0),ROUND(PRODUCT(V47,AC7:AC46),1))</f>
        <v>45128</v>
      </c>
      <c r="W48" s="3494"/>
      <c r="X48" s="1558"/>
      <c r="Y48" s="1558"/>
      <c r="Z48" s="1558"/>
      <c r="AA48" s="1558"/>
      <c r="AB48" s="1558"/>
      <c r="AC48" s="1558"/>
    </row>
    <row r="49" spans="1:29" ht="15.75" thickBot="1">
      <c r="A49" s="621" t="s">
        <v>2938</v>
      </c>
      <c r="B49" s="622"/>
      <c r="C49" s="2614">
        <f>R49</f>
        <v>45925</v>
      </c>
      <c r="D49" s="2614"/>
      <c r="E49" s="2614"/>
      <c r="F49" s="2614"/>
      <c r="G49" s="2614"/>
      <c r="H49" s="2614"/>
      <c r="I49" s="2614"/>
      <c r="J49" s="2614"/>
      <c r="K49" s="1607"/>
      <c r="L49" s="2143"/>
      <c r="M49" s="2144"/>
      <c r="N49" s="2144"/>
      <c r="O49" s="2144"/>
      <c r="P49" s="3436" t="str">
        <f>A49</f>
        <v>估价对象XX用房的比较价格（楼面单价，元/平方米）</v>
      </c>
      <c r="Q49" s="3437"/>
      <c r="R49" s="3493">
        <f>IF(F1="售价",ROUND(AVERAGE(R48:V48),0),ROUND(AVERAGE(R48:V48),1))</f>
        <v>45925</v>
      </c>
      <c r="S49" s="3493"/>
      <c r="T49" s="3493"/>
      <c r="U49" s="3493"/>
      <c r="V49" s="3493"/>
      <c r="W49" s="349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0.10761032754646771</v>
      </c>
      <c r="F52" s="627" t="str">
        <f>IF(OR(E52&gt;=0.3,E52&lt;=-0.3),"超过30%","")</f>
        <v/>
      </c>
      <c r="G52" s="626">
        <f>IF(G47&lt;G48,G48/G47-1,G47/G48-1)</f>
        <v>0.28318193844254336</v>
      </c>
      <c r="H52" s="627" t="str">
        <f>IF(OR(G52&gt;=0.3,G52&lt;=-0.3),"超过30%","")</f>
        <v/>
      </c>
      <c r="I52" s="626">
        <f>IF(I47&lt;I48,I48/I47-1,I47/I48-1)</f>
        <v>0.28966495302251372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4.2662492283270126E-2</v>
      </c>
      <c r="F53" s="627" t="str">
        <f>IF(OR(E53&gt;=0.2,E53&lt;=-0.2),"超过20%","")</f>
        <v/>
      </c>
      <c r="G53" s="626">
        <f>IF(G48&lt;I48,I48/G48-1,G48/I48-1)</f>
        <v>5.0522956922531836E-3</v>
      </c>
      <c r="H53" s="627" t="str">
        <f>IF(OR(G53&gt;=0.2,G53&lt;=-0.2),"超过20%","")</f>
        <v/>
      </c>
      <c r="I53" s="626">
        <f>IF(I48&lt;E48,E48/I48-1,I48/E48-1)</f>
        <v>4.7930331501506718E-2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90</v>
      </c>
      <c r="E69" s="679">
        <f t="shared" si="20"/>
        <v>80</v>
      </c>
      <c r="F69" s="679">
        <f t="shared" si="20"/>
        <v>70</v>
      </c>
      <c r="G69" s="679">
        <f t="shared" si="20"/>
        <v>60</v>
      </c>
      <c r="H69" s="679">
        <f t="shared" si="20"/>
        <v>50</v>
      </c>
      <c r="I69" s="679">
        <f t="shared" si="20"/>
        <v>40</v>
      </c>
      <c r="J69" s="679">
        <f t="shared" si="20"/>
        <v>30</v>
      </c>
      <c r="K69" s="679">
        <f t="shared" si="20"/>
        <v>20</v>
      </c>
      <c r="L69" s="679">
        <f t="shared" si="20"/>
        <v>10</v>
      </c>
      <c r="M69" s="680">
        <f t="shared" si="20"/>
        <v>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3150</v>
      </c>
      <c r="D107" s="3219"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90</v>
      </c>
      <c r="E108" s="679">
        <f t="shared" si="28"/>
        <v>80</v>
      </c>
      <c r="F108" s="679">
        <f t="shared" si="28"/>
        <v>70</v>
      </c>
      <c r="G108" s="679">
        <f t="shared" si="28"/>
        <v>60</v>
      </c>
      <c r="H108" s="679">
        <f t="shared" si="28"/>
        <v>50</v>
      </c>
      <c r="I108" s="679">
        <f t="shared" si="28"/>
        <v>40</v>
      </c>
      <c r="J108" s="679">
        <f t="shared" si="28"/>
        <v>30</v>
      </c>
      <c r="K108" s="679">
        <f t="shared" si="28"/>
        <v>20</v>
      </c>
      <c r="L108" s="679">
        <f t="shared" si="28"/>
        <v>10</v>
      </c>
      <c r="M108" s="679">
        <f t="shared" si="28"/>
        <v>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3162</v>
      </c>
      <c r="D118" s="3219" t="s">
        <v>3163</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3158</v>
      </c>
      <c r="D120" s="688" t="s">
        <v>3159</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55805</v>
      </c>
      <c r="C2" s="2056"/>
      <c r="D2" s="2054"/>
      <c r="E2" s="2055"/>
      <c r="F2" s="2055"/>
      <c r="G2" s="1589"/>
      <c r="H2" s="2056"/>
      <c r="I2" s="2056"/>
      <c r="J2" s="2056"/>
      <c r="K2" s="2057"/>
      <c r="L2" s="2056"/>
      <c r="M2" s="2056"/>
    </row>
    <row r="3" spans="1:33" ht="18" customHeight="1" thickBot="1">
      <c r="A3" s="833" t="s">
        <v>519</v>
      </c>
      <c r="B3" s="834">
        <f ca="1">IF(ISERROR(B2*10000/F43),0,ROUND(B2*10000/F43,0))</f>
        <v>99015</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2962</v>
      </c>
      <c r="D5" s="2474" t="s">
        <v>2462</v>
      </c>
      <c r="E5" s="2468"/>
      <c r="F5" s="2469"/>
      <c r="G5" s="1591"/>
      <c r="H5" s="781">
        <v>1</v>
      </c>
      <c r="I5" s="782" t="s">
        <v>2459</v>
      </c>
      <c r="J5" s="55">
        <f ca="1">J6+J10+J12</f>
        <v>0</v>
      </c>
      <c r="K5" s="2474" t="s">
        <v>2462</v>
      </c>
      <c r="L5" s="2468"/>
      <c r="M5" s="2469"/>
    </row>
    <row r="6" spans="1:33" ht="18" customHeight="1">
      <c r="A6" s="1829" t="s">
        <v>1825</v>
      </c>
      <c r="B6" s="3475" t="s">
        <v>2464</v>
      </c>
      <c r="C6" s="783">
        <f ca="1">ROUND(F6*F8*F7*(1-F9)/10000,0)</f>
        <v>2962</v>
      </c>
      <c r="D6" s="2475" t="s">
        <v>2463</v>
      </c>
      <c r="E6" s="784" t="s">
        <v>1739</v>
      </c>
      <c r="F6" s="785">
        <f ca="1">INDIRECT("'数据-取费表'!u"&amp;$G$1)</f>
        <v>16</v>
      </c>
      <c r="G6" s="1591"/>
      <c r="H6" s="2482" t="s">
        <v>1825</v>
      </c>
      <c r="I6" s="3475" t="s">
        <v>2464</v>
      </c>
      <c r="J6" s="783">
        <f ca="1">ROUND(M6*M8*M7*(1-M9)/10000,0)</f>
        <v>0</v>
      </c>
      <c r="K6" s="341" t="s">
        <v>1738</v>
      </c>
      <c r="L6" s="784" t="s">
        <v>1739</v>
      </c>
      <c r="M6" s="785">
        <f ca="1">INDIRECT("'数据-取费表'!z"&amp;$G$1)</f>
        <v>0</v>
      </c>
    </row>
    <row r="7" spans="1:33" ht="18" customHeight="1">
      <c r="A7" s="2478"/>
      <c r="B7" s="3476"/>
      <c r="C7" s="788"/>
      <c r="D7" s="789"/>
      <c r="E7" s="784" t="s">
        <v>638</v>
      </c>
      <c r="F7" s="785">
        <f ca="1">IF(INDIRECT("'数据-取费表'!ah"&amp;$G$1)="",INDIRECT("'数据-取费表'!k"&amp;$G$1),INDIRECT("'数据-取费表'!ah"&amp;$G$1))</f>
        <v>5636</v>
      </c>
      <c r="G7" s="1591"/>
      <c r="H7" s="2467"/>
      <c r="I7" s="3476"/>
      <c r="J7" s="788"/>
      <c r="K7" s="789"/>
      <c r="L7" s="784" t="s">
        <v>638</v>
      </c>
      <c r="M7" s="785">
        <f ca="1">F7</f>
        <v>5636</v>
      </c>
    </row>
    <row r="8" spans="1:33" ht="18" customHeight="1">
      <c r="A8" s="2471"/>
      <c r="B8" s="3477"/>
      <c r="C8" s="788"/>
      <c r="D8" s="789"/>
      <c r="E8" s="784" t="s">
        <v>639</v>
      </c>
      <c r="F8" s="785">
        <f ca="1">INDIRECT("'数据-取费表'!ai"&amp;$G$1)</f>
        <v>365</v>
      </c>
      <c r="G8" s="1591"/>
      <c r="H8" s="2467"/>
      <c r="I8" s="3477"/>
      <c r="J8" s="788"/>
      <c r="K8" s="789"/>
      <c r="L8" s="784" t="s">
        <v>639</v>
      </c>
      <c r="M8" s="785">
        <f ca="1">INDIRECT("'数据-取费表'!ai"&amp;$G$1)</f>
        <v>365</v>
      </c>
    </row>
    <row r="9" spans="1:33" ht="18" customHeight="1">
      <c r="A9" s="786"/>
      <c r="B9" s="3478"/>
      <c r="C9" s="788"/>
      <c r="D9" s="789"/>
      <c r="E9" s="784" t="s">
        <v>1742</v>
      </c>
      <c r="F9" s="794">
        <f ca="1">INDIRECT("'数据-取费表'!w"&amp;$G$1)</f>
        <v>0.1</v>
      </c>
      <c r="G9" s="1591"/>
      <c r="H9" s="2483"/>
      <c r="I9" s="3477"/>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2696</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1855</v>
      </c>
      <c r="D14" s="3213" t="s">
        <v>646</v>
      </c>
      <c r="E14" s="3214"/>
      <c r="F14" s="805"/>
      <c r="G14" s="1591"/>
      <c r="H14" s="1648" t="s">
        <v>1825</v>
      </c>
      <c r="I14" s="2230" t="s">
        <v>2826</v>
      </c>
      <c r="J14" s="53">
        <f ca="1">C29</f>
        <v>2696</v>
      </c>
      <c r="K14" s="26"/>
      <c r="L14" s="801"/>
      <c r="M14" s="802"/>
    </row>
    <row r="15" spans="1:33" s="2063" customFormat="1" ht="18" customHeight="1" thickBot="1">
      <c r="A15" s="1647" t="s">
        <v>1833</v>
      </c>
      <c r="B15" s="784" t="s">
        <v>647</v>
      </c>
      <c r="C15" s="53">
        <f ca="1">ROUND(C14*F15,0)</f>
        <v>93</v>
      </c>
      <c r="D15" s="806" t="s">
        <v>648</v>
      </c>
      <c r="E15" s="806" t="s">
        <v>649</v>
      </c>
      <c r="F15" s="807">
        <f>'数据-取费表'!B33</f>
        <v>0.05</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267</v>
      </c>
      <c r="K16" s="1820" t="s">
        <v>652</v>
      </c>
      <c r="L16" s="3215"/>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227</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28</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2092</v>
      </c>
      <c r="D19" s="261" t="s">
        <v>663</v>
      </c>
      <c r="E19" s="3217"/>
      <c r="F19" s="56"/>
      <c r="G19" s="1591"/>
      <c r="H19" s="1647" t="s">
        <v>1833</v>
      </c>
      <c r="I19" s="784" t="s">
        <v>664</v>
      </c>
      <c r="J19" s="53">
        <f ca="1">IF(K19="按租金收入计税",ROUND(J5*M19,1),ROUND(C29*F33*0.7,1))</f>
        <v>226.5</v>
      </c>
      <c r="K19" s="811" t="s">
        <v>665</v>
      </c>
      <c r="L19" s="784" t="s">
        <v>649</v>
      </c>
      <c r="M19" s="809">
        <f>IF(K19="按租金收入计税",'数据-取费表'!B51,'数据-取费表'!B50)</f>
        <v>1.2E-2</v>
      </c>
    </row>
    <row r="20" spans="1:33" s="2063" customFormat="1" ht="18" customHeight="1">
      <c r="A20" s="1648" t="s">
        <v>1890</v>
      </c>
      <c r="B20" s="784" t="s">
        <v>666</v>
      </c>
      <c r="C20" s="53">
        <f ca="1">ROUND(C19*F20,0)</f>
        <v>42</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2.5000000000000001E-2</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40</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127</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-267</v>
      </c>
      <c r="K25" s="2526" t="s">
        <v>1778</v>
      </c>
      <c r="L25" s="2527"/>
      <c r="M25" s="2528"/>
    </row>
    <row r="26" spans="1:33" ht="18" customHeight="1">
      <c r="A26" s="1647" t="s">
        <v>1832</v>
      </c>
      <c r="B26" s="784" t="s">
        <v>2439</v>
      </c>
      <c r="C26" s="53">
        <f ca="1">ROUND((C19+C20)*F26,0)</f>
        <v>213</v>
      </c>
      <c r="D26" s="812" t="s">
        <v>1779</v>
      </c>
      <c r="E26" s="795" t="s">
        <v>702</v>
      </c>
      <c r="F26" s="794">
        <f ca="1">INDIRECT("'数据-取费表'!q"&amp;$G$1)</f>
        <v>0.1</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2.5000000000000001E-3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2696</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603</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513.70000000000005</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158</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355.4</v>
      </c>
      <c r="D33" s="811" t="s">
        <v>3169</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229</v>
      </c>
      <c r="K35" s="2077"/>
      <c r="L35" s="2076"/>
      <c r="M35" s="2076"/>
    </row>
    <row r="36" spans="1:18" ht="18" customHeight="1">
      <c r="A36" s="1648" t="s">
        <v>1890</v>
      </c>
      <c r="B36" s="784" t="s">
        <v>676</v>
      </c>
      <c r="C36" s="53">
        <f ca="1">ROUND(C29*F36,1)</f>
        <v>40.4</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4</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44.4</v>
      </c>
      <c r="D38" s="2523" t="s">
        <v>1775</v>
      </c>
      <c r="E38" s="2524" t="s">
        <v>649</v>
      </c>
      <c r="F38" s="2520">
        <f ca="1">INDIRECT("'数据-取费表'!Am"&amp;$G$1)</f>
        <v>1.4999999999999999E-2</v>
      </c>
      <c r="G38" s="2061"/>
      <c r="H38" s="2076"/>
      <c r="I38" s="843" t="s">
        <v>1818</v>
      </c>
      <c r="J38" s="844"/>
      <c r="K38" s="2082"/>
      <c r="L38" s="2076"/>
      <c r="M38" s="2076"/>
    </row>
    <row r="39" spans="1:18" ht="24.6" customHeight="1" thickTop="1">
      <c r="A39" s="1828" t="s">
        <v>1777</v>
      </c>
      <c r="B39" s="2985" t="s">
        <v>2823</v>
      </c>
      <c r="C39" s="792">
        <f ca="1">C5-C30</f>
        <v>2359</v>
      </c>
      <c r="D39" s="2526" t="s">
        <v>1778</v>
      </c>
      <c r="E39" s="2527"/>
      <c r="F39" s="2528"/>
      <c r="G39" s="2061"/>
      <c r="H39" s="2076"/>
      <c r="I39" s="837" t="s">
        <v>1819</v>
      </c>
      <c r="J39" s="845">
        <f ca="1">ROUND(J35/C39,3)</f>
        <v>9.7000000000000003E-2</v>
      </c>
      <c r="K39" s="2082"/>
      <c r="L39" s="2076"/>
      <c r="M39" s="2076"/>
    </row>
    <row r="40" spans="1:18" ht="18" customHeight="1">
      <c r="A40" s="781" t="s">
        <v>1781</v>
      </c>
      <c r="B40" s="2231" t="s">
        <v>2302</v>
      </c>
      <c r="C40" s="783">
        <f ca="1">ROUND(C39*(1-((1+F42)/(1+F40))^F41)/(F40-F42),0)</f>
        <v>55805</v>
      </c>
      <c r="D40" s="814" t="s">
        <v>704</v>
      </c>
      <c r="E40" s="784" t="s">
        <v>2420</v>
      </c>
      <c r="F40" s="794">
        <f ca="1">INDIRECT("'数据-取费表'!I"&amp;$G$1)</f>
        <v>0.06</v>
      </c>
      <c r="G40" s="2061"/>
      <c r="H40" s="2061"/>
      <c r="I40" s="837" t="s">
        <v>1820</v>
      </c>
      <c r="J40" s="845">
        <f ca="1">1-J39</f>
        <v>0.90300000000000002</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3.5000000000000003E-2</v>
      </c>
      <c r="G42" s="2061"/>
      <c r="H42" s="1987"/>
      <c r="I42" s="847" t="s">
        <v>1822</v>
      </c>
      <c r="J42" s="845">
        <f ca="1">ROUND(C13/C40,3)</f>
        <v>4.8000000000000001E-2</v>
      </c>
      <c r="K42" s="2081"/>
      <c r="L42" s="1987"/>
      <c r="M42" s="1987"/>
    </row>
    <row r="43" spans="1:18" ht="18" customHeight="1" thickBot="1">
      <c r="A43" s="823" t="s">
        <v>1788</v>
      </c>
      <c r="B43" s="824" t="s">
        <v>1811</v>
      </c>
      <c r="C43" s="825">
        <f ca="1">ROUND(C40*10000/F43,0)</f>
        <v>99015</v>
      </c>
      <c r="D43" s="826" t="s">
        <v>1812</v>
      </c>
      <c r="E43" s="827" t="s">
        <v>1813</v>
      </c>
      <c r="F43" s="828">
        <f ca="1">INDIRECT("'数据-取费表'!k"&amp;$G$1)</f>
        <v>5636</v>
      </c>
      <c r="G43" s="2061"/>
      <c r="H43" s="1987"/>
      <c r="I43" s="847" t="s">
        <v>1823</v>
      </c>
      <c r="J43" s="848">
        <f ca="1">1-J42</f>
        <v>0.95199999999999996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-56471</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55805</v>
      </c>
      <c r="R48" s="2377" t="s">
        <v>2381</v>
      </c>
    </row>
    <row r="49" spans="1:18" s="2058" customFormat="1" ht="18" customHeight="1" thickBot="1">
      <c r="A49" s="786"/>
      <c r="B49" s="787"/>
      <c r="C49" s="788"/>
      <c r="D49" s="789"/>
      <c r="E49" s="784" t="s">
        <v>638</v>
      </c>
      <c r="F49" s="785">
        <f ca="1">F7</f>
        <v>5636</v>
      </c>
      <c r="G49" s="2089"/>
      <c r="H49" s="2092"/>
      <c r="I49" s="3102" t="s">
        <v>2347</v>
      </c>
      <c r="J49" s="2361"/>
      <c r="K49" s="3135" t="s">
        <v>2353</v>
      </c>
      <c r="L49" s="2362"/>
      <c r="O49" s="2376" t="s">
        <v>2382</v>
      </c>
      <c r="P49" s="2377" t="s">
        <v>2407</v>
      </c>
      <c r="Q49" s="2378">
        <f ca="1">J60</f>
        <v>1078</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2696</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34176</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496" t="s">
        <v>2971</v>
      </c>
      <c r="L53" s="3497"/>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56883</v>
      </c>
      <c r="R54" s="2381" t="s">
        <v>2393</v>
      </c>
    </row>
    <row r="55" spans="1:18" s="2058" customFormat="1" ht="18" customHeight="1" thickTop="1" thickBot="1">
      <c r="A55" s="797">
        <v>2</v>
      </c>
      <c r="B55" s="798" t="s">
        <v>644</v>
      </c>
      <c r="C55" s="799">
        <f ca="1">C13</f>
        <v>2696</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2696</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45</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55805</v>
      </c>
      <c r="R57" s="2377" t="s">
        <v>2381</v>
      </c>
    </row>
    <row r="58" spans="1:18" s="2058" customFormat="1" ht="28.5" customHeight="1" thickBot="1">
      <c r="A58" s="1648" t="s">
        <v>1825</v>
      </c>
      <c r="B58" s="784" t="s">
        <v>656</v>
      </c>
      <c r="C58" s="53">
        <f ca="1">ROUND(IF(项目基本情况!B11="自然人",C47*F58,C59+C60+C61),1)</f>
        <v>0.3</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1078</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1078</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40.4</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55805</v>
      </c>
      <c r="R63" s="2381" t="s">
        <v>2393</v>
      </c>
    </row>
    <row r="64" spans="1:18" s="2058" customFormat="1" ht="16.5" thickBot="1">
      <c r="A64" s="1648" t="s">
        <v>1891</v>
      </c>
      <c r="B64" s="784" t="s">
        <v>679</v>
      </c>
      <c r="C64" s="53">
        <f ca="1">ROUND(C55*F64,1)</f>
        <v>4</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-45</v>
      </c>
      <c r="D66" s="3213" t="s">
        <v>700</v>
      </c>
      <c r="E66" s="3216"/>
      <c r="F66" s="820"/>
      <c r="K66" s="2085"/>
      <c r="O66" s="2376" t="s">
        <v>2380</v>
      </c>
      <c r="P66" s="2377" t="s">
        <v>2406</v>
      </c>
      <c r="Q66" s="2378">
        <f ca="1">C40+J29</f>
        <v>55805</v>
      </c>
      <c r="R66" s="2377" t="s">
        <v>2381</v>
      </c>
    </row>
    <row r="67" spans="1:18" s="2058" customFormat="1" ht="20.25" thickBot="1">
      <c r="A67" s="781" t="s">
        <v>1781</v>
      </c>
      <c r="B67" s="2231" t="s">
        <v>2302</v>
      </c>
      <c r="C67" s="783">
        <f ca="1">ROUND(C66*(1-((1+F69)/(1+F67))^F68)/(F67-F69),0)</f>
        <v>-666</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34176</v>
      </c>
      <c r="R68" s="2384" t="s">
        <v>2417</v>
      </c>
    </row>
    <row r="69" spans="1:18" ht="20.25" thickBot="1">
      <c r="A69" s="790"/>
      <c r="B69" s="791"/>
      <c r="C69" s="792"/>
      <c r="D69" s="816"/>
      <c r="E69" s="784" t="s">
        <v>710</v>
      </c>
      <c r="F69" s="2349"/>
      <c r="O69" s="2379" t="s">
        <v>2385</v>
      </c>
      <c r="P69" s="2385" t="s">
        <v>2399</v>
      </c>
      <c r="Q69" s="2378">
        <f ca="1">ROUND(Q70-Q71*Q72,0)</f>
        <v>2130</v>
      </c>
      <c r="R69" s="2381"/>
    </row>
    <row r="70" spans="1:18" ht="15.75" thickBot="1">
      <c r="A70" s="823" t="s">
        <v>1788</v>
      </c>
      <c r="B70" s="824" t="s">
        <v>1811</v>
      </c>
      <c r="C70" s="825">
        <f ca="1">ROUND(C67*10000/F70,0)</f>
        <v>-1182</v>
      </c>
      <c r="D70" s="826" t="s">
        <v>1812</v>
      </c>
      <c r="E70" s="827" t="s">
        <v>1813</v>
      </c>
      <c r="F70" s="828">
        <f ca="1">F43</f>
        <v>5636</v>
      </c>
      <c r="O70" s="2379" t="s">
        <v>2400</v>
      </c>
      <c r="P70" s="2385" t="s">
        <v>2401</v>
      </c>
      <c r="Q70" s="2378">
        <f ca="1">C39</f>
        <v>2359</v>
      </c>
      <c r="R70" s="2377" t="s">
        <v>2381</v>
      </c>
    </row>
    <row r="71" spans="1:18" ht="15.75" thickBot="1">
      <c r="O71" s="2379" t="s">
        <v>2402</v>
      </c>
      <c r="P71" s="2385" t="s">
        <v>2403</v>
      </c>
      <c r="Q71" s="2378">
        <f ca="1">C13</f>
        <v>2696</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55805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139579</v>
      </c>
      <c r="C2" s="2056"/>
      <c r="D2" s="2054"/>
      <c r="E2" s="2055"/>
      <c r="F2" s="2055"/>
      <c r="G2" s="1589"/>
      <c r="H2" s="2056"/>
      <c r="I2" s="2056"/>
      <c r="J2" s="2056"/>
      <c r="K2" s="2057"/>
      <c r="L2" s="2056"/>
      <c r="M2" s="2056"/>
    </row>
    <row r="3" spans="1:33" ht="18" customHeight="1" thickBot="1">
      <c r="A3" s="833" t="s">
        <v>1728</v>
      </c>
      <c r="B3" s="834">
        <f ca="1">IF(ISERROR(B2*10000/F43),0,ROUND(B2*10000/F43,0))</f>
        <v>32214</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75" t="s">
        <v>2464</v>
      </c>
      <c r="C6" s="783">
        <f ca="1">ROUND(F6*F8*F7*(1-F9)/10000,0)</f>
        <v>7117</v>
      </c>
      <c r="D6" s="2475" t="s">
        <v>2463</v>
      </c>
      <c r="E6" s="784" t="s">
        <v>1739</v>
      </c>
      <c r="F6" s="785">
        <f ca="1">INDIRECT("'数据-取费表'!u"&amp;$G$1)</f>
        <v>5</v>
      </c>
      <c r="G6" s="1591"/>
      <c r="H6" s="2482" t="s">
        <v>2469</v>
      </c>
      <c r="I6" s="3475" t="s">
        <v>2464</v>
      </c>
      <c r="J6" s="783">
        <f ca="1">ROUND(M6*M8*M7*(1-M9)/10000,0)</f>
        <v>0</v>
      </c>
      <c r="K6" s="341" t="s">
        <v>1738</v>
      </c>
      <c r="L6" s="784" t="s">
        <v>1739</v>
      </c>
      <c r="M6" s="785">
        <f ca="1">INDIRECT("'数据-取费表'!z"&amp;$G$1)</f>
        <v>0</v>
      </c>
    </row>
    <row r="7" spans="1:33" ht="18" customHeight="1">
      <c r="A7" s="2478"/>
      <c r="B7" s="3476"/>
      <c r="C7" s="788"/>
      <c r="D7" s="789"/>
      <c r="E7" s="784" t="s">
        <v>1740</v>
      </c>
      <c r="F7" s="785">
        <f ca="1">IF(INDIRECT("'数据-取费表'!ah"&amp;$G$1)="",INDIRECT("'数据-取费表'!k"&amp;$G$1),INDIRECT("'数据-取费表'!ah"&amp;$G$1))</f>
        <v>43329</v>
      </c>
      <c r="G7" s="1591"/>
      <c r="H7" s="2467"/>
      <c r="I7" s="3476"/>
      <c r="J7" s="788"/>
      <c r="K7" s="789"/>
      <c r="L7" s="784" t="s">
        <v>1740</v>
      </c>
      <c r="M7" s="785">
        <f ca="1">F7</f>
        <v>43329</v>
      </c>
    </row>
    <row r="8" spans="1:33" ht="18" customHeight="1">
      <c r="A8" s="2471"/>
      <c r="B8" s="3477"/>
      <c r="C8" s="788"/>
      <c r="D8" s="789"/>
      <c r="E8" s="784" t="s">
        <v>1741</v>
      </c>
      <c r="F8" s="785">
        <f ca="1">INDIRECT("'数据-取费表'!ai"&amp;$G$1)</f>
        <v>365</v>
      </c>
      <c r="G8" s="1591"/>
      <c r="H8" s="2467"/>
      <c r="I8" s="3477"/>
      <c r="J8" s="788"/>
      <c r="K8" s="789"/>
      <c r="L8" s="784" t="s">
        <v>1741</v>
      </c>
      <c r="M8" s="785">
        <f ca="1">INDIRECT("'数据-取费表'!ai"&amp;$G$1)</f>
        <v>365</v>
      </c>
    </row>
    <row r="9" spans="1:33" ht="18" customHeight="1">
      <c r="A9" s="786"/>
      <c r="B9" s="3478"/>
      <c r="C9" s="788"/>
      <c r="D9" s="789"/>
      <c r="E9" s="784" t="s">
        <v>1742</v>
      </c>
      <c r="F9" s="794">
        <f ca="1">INDIRECT("'数据-取费表'!w"&amp;$G$1)</f>
        <v>0.1</v>
      </c>
      <c r="G9" s="1591"/>
      <c r="H9" s="2483"/>
      <c r="I9" s="3477"/>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20722</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14256</v>
      </c>
      <c r="D14" s="1978" t="s">
        <v>1746</v>
      </c>
      <c r="E14" s="1979"/>
      <c r="F14" s="805"/>
      <c r="G14" s="1591"/>
      <c r="H14" s="1648" t="s">
        <v>1831</v>
      </c>
      <c r="I14" s="2230" t="s">
        <v>2827</v>
      </c>
      <c r="J14" s="53">
        <f ca="1">C29</f>
        <v>20722</v>
      </c>
      <c r="K14" s="26"/>
      <c r="L14" s="801"/>
      <c r="M14" s="802"/>
    </row>
    <row r="15" spans="1:33" s="2063" customFormat="1" ht="18" customHeight="1" thickBot="1">
      <c r="A15" s="1647" t="s">
        <v>1886</v>
      </c>
      <c r="B15" s="784" t="s">
        <v>647</v>
      </c>
      <c r="C15" s="53">
        <f ca="1">ROUND(C14*F15,0)</f>
        <v>713</v>
      </c>
      <c r="D15" s="806" t="s">
        <v>1747</v>
      </c>
      <c r="E15" s="806" t="s">
        <v>1748</v>
      </c>
      <c r="F15" s="807">
        <f>'数据-取费表'!B33</f>
        <v>0.05</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2054</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1743</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214</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16076</v>
      </c>
      <c r="D19" s="261" t="s">
        <v>1758</v>
      </c>
      <c r="E19" s="1981"/>
      <c r="F19" s="56"/>
      <c r="G19" s="1591"/>
      <c r="H19" s="1647" t="s">
        <v>1886</v>
      </c>
      <c r="I19" s="784" t="s">
        <v>1759</v>
      </c>
      <c r="J19" s="53">
        <f ca="1">IF(K19="按租金收入计税",ROUND(J5*M19,1),ROUND(C29*F33*0.7,1))</f>
        <v>1740.6</v>
      </c>
      <c r="K19" s="811" t="s">
        <v>665</v>
      </c>
      <c r="L19" s="784" t="s">
        <v>1748</v>
      </c>
      <c r="M19" s="809">
        <f>IF(K19="按租金收入计税",'数据-取费表'!B51,'数据-取费表'!B50)</f>
        <v>1.2E-2</v>
      </c>
    </row>
    <row r="20" spans="1:33" s="2063" customFormat="1" ht="18" customHeight="1">
      <c r="A20" s="1648" t="s">
        <v>1890</v>
      </c>
      <c r="B20" s="784" t="s">
        <v>666</v>
      </c>
      <c r="C20" s="53">
        <f ca="1">ROUND(C19*F20,0)</f>
        <v>322</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2.5000000000000001E-2</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311</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979</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-2054</v>
      </c>
      <c r="K25" s="2526" t="s">
        <v>1778</v>
      </c>
      <c r="L25" s="2527"/>
      <c r="M25" s="2528"/>
    </row>
    <row r="26" spans="1:33" ht="18" customHeight="1">
      <c r="A26" s="1647" t="s">
        <v>1832</v>
      </c>
      <c r="B26" s="784" t="s">
        <v>2439</v>
      </c>
      <c r="C26" s="53">
        <f ca="1">ROUND((C19+C20)*F26,0)</f>
        <v>1640</v>
      </c>
      <c r="D26" s="812" t="s">
        <v>1779</v>
      </c>
      <c r="E26" s="795" t="s">
        <v>1780</v>
      </c>
      <c r="F26" s="794">
        <f ca="1">INDIRECT("'数据-取费表'!q"&amp;$G$1)</f>
        <v>0.1</v>
      </c>
      <c r="G26" s="1591"/>
      <c r="H26" s="2480" t="s">
        <v>1781</v>
      </c>
      <c r="I26" s="2231"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2.5000000000000001E-3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20722</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1684</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3169</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1761</v>
      </c>
      <c r="K35" s="2077"/>
      <c r="L35" s="2076"/>
      <c r="M35" s="2076"/>
    </row>
    <row r="36" spans="1:18" ht="18" customHeight="1">
      <c r="A36" s="1648" t="s">
        <v>1890</v>
      </c>
      <c r="B36" s="784" t="s">
        <v>1803</v>
      </c>
      <c r="C36" s="53">
        <f ca="1">ROUND(C29*F36,1)</f>
        <v>310.8</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31.1</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106.8</v>
      </c>
      <c r="D38" s="2523" t="s">
        <v>1806</v>
      </c>
      <c r="E38" s="2524" t="s">
        <v>1797</v>
      </c>
      <c r="F38" s="2520">
        <f ca="1">INDIRECT("'数据-取费表'!Am"&amp;$G$1)</f>
        <v>1.4999999999999999E-2</v>
      </c>
      <c r="G38" s="2061"/>
      <c r="H38" s="2076"/>
      <c r="I38" s="843" t="s">
        <v>1818</v>
      </c>
      <c r="J38" s="844"/>
      <c r="K38" s="2082"/>
      <c r="L38" s="2076"/>
      <c r="M38" s="2076"/>
    </row>
    <row r="39" spans="1:18" ht="24.6" customHeight="1" thickTop="1">
      <c r="A39" s="1828" t="s">
        <v>1895</v>
      </c>
      <c r="B39" s="2985" t="s">
        <v>2823</v>
      </c>
      <c r="C39" s="792">
        <f ca="1">C5-C30</f>
        <v>5433</v>
      </c>
      <c r="D39" s="2526" t="s">
        <v>1807</v>
      </c>
      <c r="E39" s="2527"/>
      <c r="F39" s="2528"/>
      <c r="G39" s="2061"/>
      <c r="H39" s="2076"/>
      <c r="I39" s="837" t="s">
        <v>1819</v>
      </c>
      <c r="J39" s="845">
        <f ca="1">ROUND(J35/C39,3)</f>
        <v>0.32400000000000001</v>
      </c>
      <c r="K39" s="2082"/>
      <c r="L39" s="2076"/>
      <c r="M39" s="2076"/>
    </row>
    <row r="40" spans="1:18" ht="18" customHeight="1">
      <c r="A40" s="781" t="s">
        <v>1896</v>
      </c>
      <c r="B40" s="2231" t="s">
        <v>2302</v>
      </c>
      <c r="C40" s="783">
        <f ca="1">ROUND(C39*(1-((1+F42)/(1+F40))^F41)/(F40-F42),0)</f>
        <v>139579</v>
      </c>
      <c r="D40" s="814" t="s">
        <v>1808</v>
      </c>
      <c r="E40" s="784" t="s">
        <v>2420</v>
      </c>
      <c r="F40" s="794">
        <f ca="1">INDIRECT("'数据-取费表'!I"&amp;$G$1)</f>
        <v>0.05</v>
      </c>
      <c r="G40" s="2061"/>
      <c r="H40" s="2061"/>
      <c r="I40" s="837" t="s">
        <v>1820</v>
      </c>
      <c r="J40" s="845">
        <f ca="1">1-J39</f>
        <v>0.67599999999999993</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0.14799999999999999</v>
      </c>
      <c r="K42" s="2081"/>
      <c r="L42" s="1987"/>
      <c r="M42" s="1987"/>
    </row>
    <row r="43" spans="1:18" ht="18" customHeight="1" thickBot="1">
      <c r="A43" s="823" t="s">
        <v>1788</v>
      </c>
      <c r="B43" s="824" t="s">
        <v>1811</v>
      </c>
      <c r="C43" s="825">
        <f ca="1">ROUND(C40*10000/F43,0)</f>
        <v>32214</v>
      </c>
      <c r="D43" s="826" t="s">
        <v>1812</v>
      </c>
      <c r="E43" s="827" t="s">
        <v>1813</v>
      </c>
      <c r="F43" s="828">
        <f ca="1">INDIRECT("'数据-取费表'!k"&amp;$G$1)</f>
        <v>43329</v>
      </c>
      <c r="G43" s="2061"/>
      <c r="H43" s="1987"/>
      <c r="I43" s="847" t="s">
        <v>1823</v>
      </c>
      <c r="J43" s="848">
        <f ca="1">1-J42</f>
        <v>0.85199999999999998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-145355</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139579</v>
      </c>
      <c r="R48" s="2377" t="s">
        <v>2381</v>
      </c>
    </row>
    <row r="49" spans="1:18" s="2058" customFormat="1" ht="18" customHeight="1" thickBot="1">
      <c r="A49" s="786"/>
      <c r="B49" s="787"/>
      <c r="C49" s="788"/>
      <c r="D49" s="789"/>
      <c r="E49" s="784" t="s">
        <v>1740</v>
      </c>
      <c r="F49" s="785">
        <f ca="1">F7</f>
        <v>43329</v>
      </c>
      <c r="G49" s="2089"/>
      <c r="H49" s="2092"/>
      <c r="I49" s="3102" t="s">
        <v>2347</v>
      </c>
      <c r="J49" s="2361"/>
      <c r="K49" s="3135" t="s">
        <v>2353</v>
      </c>
      <c r="L49" s="2362"/>
      <c r="O49" s="2376" t="s">
        <v>2382</v>
      </c>
      <c r="P49" s="2377" t="s">
        <v>2407</v>
      </c>
      <c r="Q49" s="2378">
        <f ca="1">J60</f>
        <v>8289</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20722</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58915</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496" t="s">
        <v>2971</v>
      </c>
      <c r="L53" s="3497"/>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147868</v>
      </c>
      <c r="R54" s="2381" t="s">
        <v>2393</v>
      </c>
    </row>
    <row r="55" spans="1:18" s="2058" customFormat="1" ht="18" customHeight="1" thickTop="1" thickBot="1">
      <c r="A55" s="797">
        <v>2</v>
      </c>
      <c r="B55" s="798" t="s">
        <v>644</v>
      </c>
      <c r="C55" s="799">
        <f ca="1">C13</f>
        <v>20722</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20722</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344</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139579</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8289</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8289</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310.8</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139579</v>
      </c>
      <c r="R63" s="2381" t="s">
        <v>2393</v>
      </c>
    </row>
    <row r="64" spans="1:18" s="2058" customFormat="1" ht="16.5" thickBot="1">
      <c r="A64" s="1648" t="s">
        <v>1891</v>
      </c>
      <c r="B64" s="784" t="s">
        <v>679</v>
      </c>
      <c r="C64" s="53">
        <f ca="1">ROUND(C55*F64,1)</f>
        <v>31.1</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1.4999999999999999E-2</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-344</v>
      </c>
      <c r="D66" s="2616" t="s">
        <v>700</v>
      </c>
      <c r="E66" s="2615"/>
      <c r="F66" s="820"/>
      <c r="K66" s="2085"/>
      <c r="O66" s="2376" t="s">
        <v>2380</v>
      </c>
      <c r="P66" s="2377" t="s">
        <v>2410</v>
      </c>
      <c r="Q66" s="2378">
        <f ca="1">C40+J29</f>
        <v>139579</v>
      </c>
      <c r="R66" s="2377" t="s">
        <v>2381</v>
      </c>
    </row>
    <row r="67" spans="1:18" s="2058" customFormat="1" ht="20.25" thickBot="1">
      <c r="A67" s="781" t="s">
        <v>1781</v>
      </c>
      <c r="B67" s="2231" t="s">
        <v>2302</v>
      </c>
      <c r="C67" s="783">
        <f ca="1">ROUND(C66*(1-((1+F69)/(1+F67))^F68)/(F67-F69),0)</f>
        <v>-5776</v>
      </c>
      <c r="D67" s="814" t="s">
        <v>704</v>
      </c>
      <c r="E67" s="784" t="s">
        <v>705</v>
      </c>
      <c r="F67" s="794">
        <f ca="1">F40</f>
        <v>0.05</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58915</v>
      </c>
      <c r="R68" s="2384" t="s">
        <v>2417</v>
      </c>
    </row>
    <row r="69" spans="1:18" ht="20.25" thickBot="1">
      <c r="A69" s="790"/>
      <c r="B69" s="791"/>
      <c r="C69" s="792"/>
      <c r="D69" s="816"/>
      <c r="E69" s="784" t="s">
        <v>710</v>
      </c>
      <c r="F69" s="2349"/>
      <c r="O69" s="2379" t="s">
        <v>2385</v>
      </c>
      <c r="P69" s="2385" t="s">
        <v>2399</v>
      </c>
      <c r="Q69" s="2378">
        <f ca="1">ROUND(Q70-Q71*Q72,0)</f>
        <v>3672</v>
      </c>
      <c r="R69" s="2381"/>
    </row>
    <row r="70" spans="1:18" ht="15.75" thickBot="1">
      <c r="A70" s="823" t="s">
        <v>1788</v>
      </c>
      <c r="B70" s="824" t="s">
        <v>1811</v>
      </c>
      <c r="C70" s="825">
        <f ca="1">ROUND(C67*10000/F70,0)</f>
        <v>-1333</v>
      </c>
      <c r="D70" s="826" t="s">
        <v>1812</v>
      </c>
      <c r="E70" s="827" t="s">
        <v>1813</v>
      </c>
      <c r="F70" s="828">
        <f ca="1">F43</f>
        <v>43329</v>
      </c>
      <c r="O70" s="2379" t="s">
        <v>2400</v>
      </c>
      <c r="P70" s="2385" t="s">
        <v>2401</v>
      </c>
      <c r="Q70" s="2378">
        <f ca="1">C39</f>
        <v>5433</v>
      </c>
      <c r="R70" s="2377" t="s">
        <v>2381</v>
      </c>
    </row>
    <row r="71" spans="1:18" ht="15.75" thickBot="1">
      <c r="O71" s="2379" t="s">
        <v>2402</v>
      </c>
      <c r="P71" s="2385" t="s">
        <v>2403</v>
      </c>
      <c r="Q71" s="2378">
        <f ca="1">C13</f>
        <v>20722</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139579</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222421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51333</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21" t="s">
        <v>522</v>
      </c>
      <c r="D4" s="3422"/>
      <c r="E4" s="3445" t="s">
        <v>523</v>
      </c>
      <c r="F4" s="3446"/>
      <c r="G4" s="3421" t="s">
        <v>524</v>
      </c>
      <c r="H4" s="3422"/>
      <c r="I4" s="3421" t="s">
        <v>525</v>
      </c>
      <c r="J4" s="3422"/>
      <c r="K4" s="514" t="s">
        <v>526</v>
      </c>
      <c r="L4" s="2132"/>
      <c r="M4" s="2133"/>
      <c r="N4" s="2133"/>
      <c r="O4" s="2133"/>
      <c r="P4" s="3498" t="s">
        <v>527</v>
      </c>
      <c r="Q4" s="3424"/>
      <c r="R4" s="3409" t="s">
        <v>523</v>
      </c>
      <c r="S4" s="3410"/>
      <c r="T4" s="3409" t="s">
        <v>524</v>
      </c>
      <c r="U4" s="3410"/>
      <c r="V4" s="3429" t="s">
        <v>525</v>
      </c>
      <c r="W4" s="3429"/>
      <c r="X4" s="1566"/>
      <c r="Y4" s="3409" t="s">
        <v>527</v>
      </c>
      <c r="Z4" s="3410"/>
      <c r="AA4" s="3404" t="s">
        <v>523</v>
      </c>
      <c r="AB4" s="3404" t="s">
        <v>524</v>
      </c>
      <c r="AC4" s="3404" t="s">
        <v>525</v>
      </c>
    </row>
    <row r="5" spans="1:29" ht="15">
      <c r="A5" s="515"/>
      <c r="B5" s="516"/>
      <c r="C5" s="3432" t="s">
        <v>2932</v>
      </c>
      <c r="D5" s="3433"/>
      <c r="E5" s="3491" t="s">
        <v>3172</v>
      </c>
      <c r="F5" s="3448"/>
      <c r="G5" s="3492" t="s">
        <v>3168</v>
      </c>
      <c r="H5" s="3433"/>
      <c r="I5" s="3492" t="s">
        <v>3170</v>
      </c>
      <c r="J5" s="3433"/>
      <c r="K5" s="514"/>
      <c r="L5" s="2132"/>
      <c r="M5" s="2133"/>
      <c r="N5" s="2133"/>
      <c r="O5" s="2133"/>
      <c r="P5" s="3499"/>
      <c r="Q5" s="3426"/>
      <c r="R5" s="3411"/>
      <c r="S5" s="3412"/>
      <c r="T5" s="3411"/>
      <c r="U5" s="3412"/>
      <c r="V5" s="3429"/>
      <c r="W5" s="3429"/>
      <c r="X5" s="1566"/>
      <c r="Y5" s="3411"/>
      <c r="Z5" s="3412"/>
      <c r="AA5" s="3405"/>
      <c r="AB5" s="3405"/>
      <c r="AC5" s="3405"/>
    </row>
    <row r="6" spans="1:29" ht="15.75" thickBot="1">
      <c r="A6" s="517"/>
      <c r="B6" s="518"/>
      <c r="C6" s="3430" t="s">
        <v>2936</v>
      </c>
      <c r="D6" s="3431"/>
      <c r="E6" s="3449" t="s">
        <v>2936</v>
      </c>
      <c r="F6" s="3450"/>
      <c r="G6" s="3430" t="s">
        <v>2936</v>
      </c>
      <c r="H6" s="3431"/>
      <c r="I6" s="3430" t="s">
        <v>2936</v>
      </c>
      <c r="J6" s="3431"/>
      <c r="K6" s="514" t="s">
        <v>528</v>
      </c>
      <c r="L6" s="2132"/>
      <c r="M6" s="2133"/>
      <c r="N6" s="2133"/>
      <c r="O6" s="2133"/>
      <c r="P6" s="3500"/>
      <c r="Q6" s="3428"/>
      <c r="R6" s="3411"/>
      <c r="S6" s="3412"/>
      <c r="T6" s="3413"/>
      <c r="U6" s="3414"/>
      <c r="V6" s="3429"/>
      <c r="W6" s="3429"/>
      <c r="X6" s="1566"/>
      <c r="Y6" s="3413"/>
      <c r="Z6" s="3414"/>
      <c r="AA6" s="3406"/>
      <c r="AB6" s="3406"/>
      <c r="AC6" s="3406"/>
    </row>
    <row r="7" spans="1:29" s="1219" customFormat="1" ht="15.75" thickBot="1">
      <c r="A7" s="2890"/>
      <c r="B7" s="2897" t="s">
        <v>529</v>
      </c>
      <c r="C7" s="519">
        <f>'数据-取费表'!B2</f>
        <v>43438</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16" t="s">
        <v>530</v>
      </c>
      <c r="Q7" s="3416"/>
      <c r="R7" s="1567" t="s">
        <v>8</v>
      </c>
      <c r="S7" s="1568">
        <f t="shared" ref="S7:S15" si="0">F7</f>
        <v>100</v>
      </c>
      <c r="T7" s="1567" t="s">
        <v>8</v>
      </c>
      <c r="U7" s="1568">
        <f t="shared" ref="U7:U15" si="1">H7</f>
        <v>100</v>
      </c>
      <c r="V7" s="1567" t="s">
        <v>8</v>
      </c>
      <c r="W7" s="1568">
        <f t="shared" ref="W7:W15" si="2">J7</f>
        <v>100</v>
      </c>
      <c r="X7" s="1569"/>
      <c r="Y7" s="3407" t="s">
        <v>530</v>
      </c>
      <c r="Z7" s="3408"/>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16" t="s">
        <v>533</v>
      </c>
      <c r="Q8" s="3408"/>
      <c r="R8" s="1567" t="s">
        <v>8</v>
      </c>
      <c r="S8" s="1568">
        <f t="shared" si="0"/>
        <v>100</v>
      </c>
      <c r="T8" s="1567" t="s">
        <v>8</v>
      </c>
      <c r="U8" s="1568">
        <f t="shared" si="1"/>
        <v>100</v>
      </c>
      <c r="V8" s="1567" t="s">
        <v>8</v>
      </c>
      <c r="W8" s="1568">
        <f t="shared" si="2"/>
        <v>100</v>
      </c>
      <c r="X8" s="1569"/>
      <c r="Y8" s="3407" t="s">
        <v>533</v>
      </c>
      <c r="Z8" s="3408"/>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5" t="s">
        <v>535</v>
      </c>
      <c r="Q9" s="1150" t="str">
        <f t="shared" ref="Q9:Q15" si="6">B9</f>
        <v>用途</v>
      </c>
      <c r="R9" s="1567" t="s">
        <v>8</v>
      </c>
      <c r="S9" s="1568">
        <f t="shared" si="0"/>
        <v>100</v>
      </c>
      <c r="T9" s="1567" t="s">
        <v>8</v>
      </c>
      <c r="U9" s="1568">
        <f t="shared" si="1"/>
        <v>100</v>
      </c>
      <c r="V9" s="1567" t="s">
        <v>8</v>
      </c>
      <c r="W9" s="1568">
        <f t="shared" si="2"/>
        <v>100</v>
      </c>
      <c r="X9" s="1569"/>
      <c r="Y9" s="3366" t="s">
        <v>536</v>
      </c>
      <c r="Z9" s="1149" t="str">
        <f t="shared" ref="Z9:Z15" si="7">Q9</f>
        <v>用途</v>
      </c>
      <c r="AA9" s="1570">
        <f t="shared" si="3"/>
        <v>1</v>
      </c>
      <c r="AB9" s="1570">
        <f t="shared" si="4"/>
        <v>1</v>
      </c>
      <c r="AC9" s="1570">
        <f t="shared" si="5"/>
        <v>1</v>
      </c>
    </row>
    <row r="10" spans="1:29" s="1337" customFormat="1" ht="27">
      <c r="A10" s="2893"/>
      <c r="B10" s="2898" t="s">
        <v>2758</v>
      </c>
      <c r="C10" s="861" t="s">
        <v>3171</v>
      </c>
      <c r="D10" s="255">
        <v>100</v>
      </c>
      <c r="E10" s="861" t="s">
        <v>3171</v>
      </c>
      <c r="F10" s="255">
        <f>SUMIF(66:66,E10,67:67)-SUMIF(66:66,C10,67:67)+100</f>
        <v>100</v>
      </c>
      <c r="G10" s="861" t="s">
        <v>3171</v>
      </c>
      <c r="H10" s="255">
        <f>SUMIF(66:66,G10,67:67)-SUMIF(66:66,C10,67:67)+100</f>
        <v>100</v>
      </c>
      <c r="I10" s="861" t="s">
        <v>3171</v>
      </c>
      <c r="J10" s="255">
        <f>SUMIF(66:66,I10,67:67)-SUMIF(66:66,C10,67:67)+100</f>
        <v>100</v>
      </c>
      <c r="K10" s="584"/>
      <c r="L10" s="2137"/>
      <c r="M10" s="2177"/>
      <c r="N10" s="2177"/>
      <c r="O10" s="2177"/>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100</v>
      </c>
      <c r="G11" s="534">
        <v>5.83</v>
      </c>
      <c r="H11" s="255">
        <f>LOOKUP(G11,69:69,70:70)-LOOKUP(C11,69:69,70:70)+100</f>
        <v>100</v>
      </c>
      <c r="I11" s="533">
        <v>3.7</v>
      </c>
      <c r="J11" s="255">
        <f>LOOKUP(I11,69:69,70:70)-LOOKUP(C11,69:69,70:70)+100</f>
        <v>100</v>
      </c>
      <c r="K11" s="584"/>
      <c r="L11" s="2139"/>
      <c r="M11" s="2133"/>
      <c r="N11" s="2133"/>
      <c r="O11" s="2133"/>
      <c r="P11" s="3415"/>
      <c r="Q11" s="1150" t="str">
        <f t="shared" si="6"/>
        <v>容积率</v>
      </c>
      <c r="R11" s="1567" t="s">
        <v>8</v>
      </c>
      <c r="S11" s="1568">
        <f t="shared" si="0"/>
        <v>100</v>
      </c>
      <c r="T11" s="1567" t="s">
        <v>8</v>
      </c>
      <c r="U11" s="1568">
        <f t="shared" si="1"/>
        <v>100</v>
      </c>
      <c r="V11" s="1567" t="s">
        <v>8</v>
      </c>
      <c r="W11" s="1568">
        <f t="shared" si="2"/>
        <v>100</v>
      </c>
      <c r="X11" s="1569"/>
      <c r="Y11" s="3366"/>
      <c r="Z11" s="1149" t="str">
        <f t="shared" si="7"/>
        <v>容积率</v>
      </c>
      <c r="AA11" s="1570">
        <f t="shared" si="3"/>
        <v>1</v>
      </c>
      <c r="AB11" s="1570">
        <f t="shared" si="4"/>
        <v>1</v>
      </c>
      <c r="AC11" s="1570">
        <f t="shared" si="5"/>
        <v>1</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15"/>
      <c r="Q12" s="1150">
        <f t="shared" si="6"/>
        <v>111</v>
      </c>
      <c r="R12" s="1567" t="s">
        <v>8</v>
      </c>
      <c r="S12" s="1568">
        <f t="shared" si="0"/>
        <v>100</v>
      </c>
      <c r="T12" s="1567" t="s">
        <v>8</v>
      </c>
      <c r="U12" s="1568">
        <f t="shared" si="1"/>
        <v>100</v>
      </c>
      <c r="V12" s="1567" t="s">
        <v>8</v>
      </c>
      <c r="W12" s="1568">
        <f t="shared" si="2"/>
        <v>100</v>
      </c>
      <c r="X12" s="1569"/>
      <c r="Y12" s="3366"/>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15"/>
      <c r="Q13" s="1150">
        <f t="shared" si="6"/>
        <v>111</v>
      </c>
      <c r="R13" s="1567" t="s">
        <v>8</v>
      </c>
      <c r="S13" s="1568">
        <f t="shared" si="0"/>
        <v>100</v>
      </c>
      <c r="T13" s="1567" t="s">
        <v>8</v>
      </c>
      <c r="U13" s="1568">
        <f t="shared" si="1"/>
        <v>100</v>
      </c>
      <c r="V13" s="1567" t="s">
        <v>8</v>
      </c>
      <c r="W13" s="1568">
        <f t="shared" si="2"/>
        <v>100</v>
      </c>
      <c r="X13" s="1569"/>
      <c r="Y13" s="3366"/>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15"/>
      <c r="Q14" s="1150">
        <f t="shared" si="6"/>
        <v>111</v>
      </c>
      <c r="R14" s="1567" t="s">
        <v>8</v>
      </c>
      <c r="S14" s="1568">
        <f t="shared" si="0"/>
        <v>100</v>
      </c>
      <c r="T14" s="1567" t="s">
        <v>8</v>
      </c>
      <c r="U14" s="1568">
        <f t="shared" si="1"/>
        <v>100</v>
      </c>
      <c r="V14" s="1567" t="s">
        <v>8</v>
      </c>
      <c r="W14" s="1568">
        <f t="shared" si="2"/>
        <v>100</v>
      </c>
      <c r="X14" s="1569"/>
      <c r="Y14" s="3366"/>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v>3</v>
      </c>
      <c r="L15" s="2141"/>
      <c r="M15" s="2133"/>
      <c r="N15" s="2133"/>
      <c r="O15" s="2133"/>
      <c r="P15" s="3417" t="s">
        <v>540</v>
      </c>
      <c r="Q15" s="1571" t="str">
        <f t="shared" si="6"/>
        <v>办公集聚程度</v>
      </c>
      <c r="R15" s="1572" t="s">
        <v>8</v>
      </c>
      <c r="S15" s="1573">
        <f t="shared" si="0"/>
        <v>100</v>
      </c>
      <c r="T15" s="1572" t="s">
        <v>8</v>
      </c>
      <c r="U15" s="1573">
        <f t="shared" si="1"/>
        <v>100</v>
      </c>
      <c r="V15" s="1572" t="s">
        <v>8</v>
      </c>
      <c r="W15" s="1573">
        <f t="shared" si="2"/>
        <v>100</v>
      </c>
      <c r="X15" s="1566"/>
      <c r="Y15" s="3417" t="s">
        <v>540</v>
      </c>
      <c r="Z15" s="1574" t="str">
        <f t="shared" si="7"/>
        <v>办公集聚程度</v>
      </c>
      <c r="AA15" s="1575">
        <f t="shared" si="3"/>
        <v>1</v>
      </c>
      <c r="AB15" s="1575">
        <f t="shared" si="4"/>
        <v>1</v>
      </c>
      <c r="AC15" s="1575">
        <f t="shared" si="5"/>
        <v>1</v>
      </c>
    </row>
    <row r="16" spans="1:29" ht="15">
      <c r="A16" s="532"/>
      <c r="B16" s="553"/>
      <c r="C16" s="554" t="s">
        <v>3109</v>
      </c>
      <c r="D16" s="555"/>
      <c r="E16" s="554" t="s">
        <v>3109</v>
      </c>
      <c r="F16" s="555"/>
      <c r="G16" s="554" t="s">
        <v>3109</v>
      </c>
      <c r="H16" s="559"/>
      <c r="I16" s="554" t="s">
        <v>3109</v>
      </c>
      <c r="J16" s="555"/>
      <c r="K16" s="898"/>
      <c r="L16" s="2141"/>
      <c r="M16" s="2133"/>
      <c r="N16" s="2133"/>
      <c r="O16" s="2133"/>
      <c r="P16" s="3418"/>
      <c r="Q16" s="1571"/>
      <c r="R16" s="1572"/>
      <c r="S16" s="1573"/>
      <c r="T16" s="1572"/>
      <c r="U16" s="1573"/>
      <c r="V16" s="1572"/>
      <c r="W16" s="1573"/>
      <c r="X16" s="1566"/>
      <c r="Y16" s="3418"/>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18"/>
      <c r="Q17" s="1571" t="str">
        <f>B17</f>
        <v>交通便捷度</v>
      </c>
      <c r="R17" s="1572" t="s">
        <v>8</v>
      </c>
      <c r="S17" s="1573">
        <f>F17</f>
        <v>97</v>
      </c>
      <c r="T17" s="1572" t="s">
        <v>8</v>
      </c>
      <c r="U17" s="1573">
        <f>H17</f>
        <v>97</v>
      </c>
      <c r="V17" s="1572" t="s">
        <v>8</v>
      </c>
      <c r="W17" s="1573">
        <f>J17</f>
        <v>97</v>
      </c>
      <c r="X17" s="1566"/>
      <c r="Y17" s="3418"/>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18"/>
      <c r="Q18" s="1571"/>
      <c r="R18" s="1572"/>
      <c r="S18" s="1573"/>
      <c r="T18" s="1572"/>
      <c r="U18" s="1573"/>
      <c r="V18" s="1572"/>
      <c r="W18" s="1573"/>
      <c r="X18" s="1566"/>
      <c r="Y18" s="3418"/>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18"/>
      <c r="Q20" s="1571"/>
      <c r="R20" s="1572"/>
      <c r="S20" s="1573"/>
      <c r="T20" s="1572"/>
      <c r="U20" s="1573"/>
      <c r="V20" s="1572"/>
      <c r="W20" s="1573"/>
      <c r="X20" s="1566"/>
      <c r="Y20" s="3418"/>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18"/>
      <c r="Q21" s="2557" t="str">
        <f>B21</f>
        <v>基础设施水平</v>
      </c>
      <c r="R21" s="1572" t="s">
        <v>8</v>
      </c>
      <c r="S21" s="1573">
        <f>F21</f>
        <v>100</v>
      </c>
      <c r="T21" s="1572" t="s">
        <v>8</v>
      </c>
      <c r="U21" s="1573">
        <f>H21</f>
        <v>100</v>
      </c>
      <c r="V21" s="1572" t="s">
        <v>8</v>
      </c>
      <c r="W21" s="1573">
        <f>J21</f>
        <v>100</v>
      </c>
      <c r="X21" s="2559"/>
      <c r="Y21" s="3418"/>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18"/>
      <c r="Q22" s="2557"/>
      <c r="R22" s="1572"/>
      <c r="S22" s="1573"/>
      <c r="T22" s="1572"/>
      <c r="U22" s="1573"/>
      <c r="V22" s="1572"/>
      <c r="W22" s="1573"/>
      <c r="X22" s="2559"/>
      <c r="Y22" s="3418"/>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18"/>
      <c r="Q24" s="1571"/>
      <c r="R24" s="1572"/>
      <c r="S24" s="1573"/>
      <c r="T24" s="1572"/>
      <c r="U24" s="1573"/>
      <c r="V24" s="1572"/>
      <c r="W24" s="1573"/>
      <c r="X24" s="1566"/>
      <c r="Y24" s="3418"/>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18"/>
      <c r="Q25" s="1571" t="str">
        <f>B25</f>
        <v>毗邻道路的类型与等级</v>
      </c>
      <c r="R25" s="1572" t="s">
        <v>8</v>
      </c>
      <c r="S25" s="1573">
        <f>F25</f>
        <v>100</v>
      </c>
      <c r="T25" s="1572" t="s">
        <v>8</v>
      </c>
      <c r="U25" s="1573">
        <f>H25</f>
        <v>100</v>
      </c>
      <c r="V25" s="1572" t="s">
        <v>8</v>
      </c>
      <c r="W25" s="1573">
        <f>J25</f>
        <v>100</v>
      </c>
      <c r="X25" s="1566"/>
      <c r="Y25" s="3418"/>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18"/>
      <c r="Q26" s="1571"/>
      <c r="R26" s="1572"/>
      <c r="S26" s="1573"/>
      <c r="T26" s="1572"/>
      <c r="U26" s="1573"/>
      <c r="V26" s="1572"/>
      <c r="W26" s="1573"/>
      <c r="X26" s="1566"/>
      <c r="Y26" s="3418"/>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8"/>
      <c r="Q27" s="1571" t="str">
        <f t="shared" ref="Q27:Q47" si="11">B27</f>
        <v>楼层</v>
      </c>
      <c r="R27" s="1572" t="s">
        <v>8</v>
      </c>
      <c r="S27" s="1573">
        <f>F27</f>
        <v>100</v>
      </c>
      <c r="T27" s="1572" t="s">
        <v>8</v>
      </c>
      <c r="U27" s="1573">
        <f>H27</f>
        <v>100</v>
      </c>
      <c r="V27" s="1572" t="s">
        <v>8</v>
      </c>
      <c r="W27" s="1573">
        <f>J27</f>
        <v>100</v>
      </c>
      <c r="X27" s="1566"/>
      <c r="Y27" s="3418"/>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18"/>
      <c r="Q28" s="1150" t="str">
        <f t="shared" si="11"/>
        <v>朝向</v>
      </c>
      <c r="R28" s="1567" t="s">
        <v>8</v>
      </c>
      <c r="S28" s="1568">
        <f>F28</f>
        <v>100</v>
      </c>
      <c r="T28" s="1567" t="s">
        <v>8</v>
      </c>
      <c r="U28" s="1568">
        <f>H28</f>
        <v>100</v>
      </c>
      <c r="V28" s="1567" t="s">
        <v>8</v>
      </c>
      <c r="W28" s="1568">
        <f>J28</f>
        <v>100</v>
      </c>
      <c r="X28" s="1569"/>
      <c r="Y28" s="3418"/>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18"/>
      <c r="Q29" s="1571">
        <f t="shared" si="11"/>
        <v>111</v>
      </c>
      <c r="R29" s="1572" t="s">
        <v>8</v>
      </c>
      <c r="S29" s="1573">
        <f t="shared" ref="S29:S47" si="12">F29</f>
        <v>100</v>
      </c>
      <c r="T29" s="1572" t="s">
        <v>8</v>
      </c>
      <c r="U29" s="1573">
        <f t="shared" ref="U29:U47" si="13">H29</f>
        <v>100</v>
      </c>
      <c r="V29" s="1572" t="s">
        <v>8</v>
      </c>
      <c r="W29" s="1573">
        <f t="shared" ref="W29:W47" si="14">J29</f>
        <v>100</v>
      </c>
      <c r="X29" s="1566"/>
      <c r="Y29" s="3418"/>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18"/>
      <c r="Q32" s="1571">
        <f t="shared" si="11"/>
        <v>111</v>
      </c>
      <c r="R32" s="1572" t="s">
        <v>8</v>
      </c>
      <c r="S32" s="1573">
        <f t="shared" si="12"/>
        <v>100</v>
      </c>
      <c r="T32" s="1572" t="s">
        <v>8</v>
      </c>
      <c r="U32" s="1573">
        <f t="shared" si="13"/>
        <v>100</v>
      </c>
      <c r="V32" s="1572" t="s">
        <v>8</v>
      </c>
      <c r="W32" s="1573">
        <f t="shared" si="14"/>
        <v>100</v>
      </c>
      <c r="X32" s="1566"/>
      <c r="Y32" s="3418"/>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19" t="s">
        <v>550</v>
      </c>
      <c r="Q33" s="1571" t="str">
        <f t="shared" si="11"/>
        <v>建筑类型</v>
      </c>
      <c r="R33" s="1572" t="s">
        <v>8</v>
      </c>
      <c r="S33" s="1573">
        <f t="shared" si="12"/>
        <v>100</v>
      </c>
      <c r="T33" s="1572" t="s">
        <v>8</v>
      </c>
      <c r="U33" s="1573">
        <f t="shared" si="13"/>
        <v>100</v>
      </c>
      <c r="V33" s="1572" t="s">
        <v>8</v>
      </c>
      <c r="W33" s="1573">
        <f t="shared" si="14"/>
        <v>100</v>
      </c>
      <c r="X33" s="1566"/>
      <c r="Y33" s="3420"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20"/>
      <c r="Q34" s="1604" t="str">
        <f t="shared" si="11"/>
        <v>项目建筑规模</v>
      </c>
      <c r="R34" s="1576" t="s">
        <v>8</v>
      </c>
      <c r="S34" s="1577">
        <f t="shared" si="12"/>
        <v>100</v>
      </c>
      <c r="T34" s="1576" t="s">
        <v>8</v>
      </c>
      <c r="U34" s="1577">
        <f t="shared" si="13"/>
        <v>100</v>
      </c>
      <c r="V34" s="1576" t="s">
        <v>8</v>
      </c>
      <c r="W34" s="1577">
        <f t="shared" si="14"/>
        <v>100</v>
      </c>
      <c r="X34" s="1578"/>
      <c r="Y34" s="3420"/>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20"/>
      <c r="Q35" s="1571" t="str">
        <f t="shared" si="11"/>
        <v>建筑结构</v>
      </c>
      <c r="R35" s="1572" t="s">
        <v>8</v>
      </c>
      <c r="S35" s="1573">
        <f t="shared" si="12"/>
        <v>100</v>
      </c>
      <c r="T35" s="1572" t="s">
        <v>8</v>
      </c>
      <c r="U35" s="1573">
        <f t="shared" si="13"/>
        <v>100</v>
      </c>
      <c r="V35" s="1572" t="s">
        <v>8</v>
      </c>
      <c r="W35" s="1573">
        <f t="shared" si="14"/>
        <v>100</v>
      </c>
      <c r="X35" s="1566"/>
      <c r="Y35" s="3420"/>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20"/>
      <c r="Q36" s="1571" t="str">
        <f t="shared" si="11"/>
        <v>公共部分装修</v>
      </c>
      <c r="R36" s="1572" t="s">
        <v>8</v>
      </c>
      <c r="S36" s="1573">
        <f t="shared" si="12"/>
        <v>100</v>
      </c>
      <c r="T36" s="1572" t="s">
        <v>8</v>
      </c>
      <c r="U36" s="1573">
        <f t="shared" si="13"/>
        <v>100</v>
      </c>
      <c r="V36" s="1572" t="s">
        <v>8</v>
      </c>
      <c r="W36" s="1573">
        <f t="shared" si="14"/>
        <v>100</v>
      </c>
      <c r="X36" s="1566"/>
      <c r="Y36" s="3420"/>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20"/>
      <c r="Q37" s="1571" t="str">
        <f t="shared" si="11"/>
        <v>成新度</v>
      </c>
      <c r="R37" s="1572" t="s">
        <v>8</v>
      </c>
      <c r="S37" s="1573">
        <f t="shared" si="12"/>
        <v>100</v>
      </c>
      <c r="T37" s="1572" t="s">
        <v>8</v>
      </c>
      <c r="U37" s="1573">
        <f t="shared" si="13"/>
        <v>100</v>
      </c>
      <c r="V37" s="1572" t="s">
        <v>8</v>
      </c>
      <c r="W37" s="1573">
        <f t="shared" si="14"/>
        <v>100</v>
      </c>
      <c r="X37" s="1566"/>
      <c r="Y37" s="3420"/>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20"/>
      <c r="Q38" s="1150" t="str">
        <f t="shared" si="11"/>
        <v>写字楼等级</v>
      </c>
      <c r="R38" s="1567" t="s">
        <v>8</v>
      </c>
      <c r="S38" s="1568">
        <f t="shared" si="12"/>
        <v>100</v>
      </c>
      <c r="T38" s="1567" t="s">
        <v>8</v>
      </c>
      <c r="U38" s="1568">
        <f t="shared" si="13"/>
        <v>100</v>
      </c>
      <c r="V38" s="1567" t="s">
        <v>8</v>
      </c>
      <c r="W38" s="1568">
        <f t="shared" si="14"/>
        <v>100</v>
      </c>
      <c r="X38" s="1569"/>
      <c r="Y38" s="3420"/>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20" t="s">
        <v>550</v>
      </c>
      <c r="Q39" s="1571" t="str">
        <f t="shared" si="11"/>
        <v>物业管理</v>
      </c>
      <c r="R39" s="1572" t="s">
        <v>8</v>
      </c>
      <c r="S39" s="1573">
        <f t="shared" si="12"/>
        <v>100</v>
      </c>
      <c r="T39" s="1572" t="s">
        <v>8</v>
      </c>
      <c r="U39" s="1573">
        <f t="shared" si="13"/>
        <v>100</v>
      </c>
      <c r="V39" s="1572" t="s">
        <v>8</v>
      </c>
      <c r="W39" s="1573">
        <f t="shared" si="14"/>
        <v>100</v>
      </c>
      <c r="X39" s="1566"/>
      <c r="Y39" s="3420" t="s">
        <v>550</v>
      </c>
      <c r="Z39" s="1574" t="str">
        <f t="shared" si="15"/>
        <v>物业管理</v>
      </c>
      <c r="AA39" s="1575">
        <f t="shared" si="3"/>
        <v>1</v>
      </c>
      <c r="AB39" s="1575">
        <f t="shared" si="4"/>
        <v>1</v>
      </c>
      <c r="AC39" s="1575">
        <f t="shared" si="5"/>
        <v>1</v>
      </c>
    </row>
    <row r="40" spans="1:29" ht="15">
      <c r="A40" s="594"/>
      <c r="B40" s="1894" t="s">
        <v>2566</v>
      </c>
      <c r="C40" s="574" t="s">
        <v>3177</v>
      </c>
      <c r="D40" s="540">
        <v>100</v>
      </c>
      <c r="E40" s="574" t="s">
        <v>3177</v>
      </c>
      <c r="F40" s="575">
        <f>SUMIF(117:117,E40,118:118)-SUMIF(117:117,C40,118:118)+100</f>
        <v>100</v>
      </c>
      <c r="G40" s="574" t="s">
        <v>3177</v>
      </c>
      <c r="H40" s="540">
        <f>SUMIF(117:117,G40,118:118)-SUMIF(117:117,C40,118:118)+100</f>
        <v>100</v>
      </c>
      <c r="I40" s="574" t="s">
        <v>3177</v>
      </c>
      <c r="J40" s="540">
        <f>SUMIF(117:117,I40,118:118)-SUMIF(117:117,C40,118:118)+100</f>
        <v>100</v>
      </c>
      <c r="K40" s="584">
        <v>2</v>
      </c>
      <c r="L40" s="2141"/>
      <c r="M40" s="2133"/>
      <c r="N40" s="2133"/>
      <c r="O40" s="2133"/>
      <c r="P40" s="3420"/>
      <c r="Q40" s="1571" t="str">
        <f t="shared" si="11"/>
        <v>市政基础设施</v>
      </c>
      <c r="R40" s="1572" t="s">
        <v>8</v>
      </c>
      <c r="S40" s="1573">
        <f t="shared" si="12"/>
        <v>100</v>
      </c>
      <c r="T40" s="1572" t="s">
        <v>8</v>
      </c>
      <c r="U40" s="1573">
        <f t="shared" si="13"/>
        <v>100</v>
      </c>
      <c r="V40" s="1572" t="s">
        <v>8</v>
      </c>
      <c r="W40" s="1573">
        <f t="shared" si="14"/>
        <v>100</v>
      </c>
      <c r="X40" s="1566"/>
      <c r="Y40" s="3420"/>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20"/>
      <c r="Q41" s="1571" t="str">
        <f t="shared" si="11"/>
        <v>层高</v>
      </c>
      <c r="R41" s="1572" t="s">
        <v>8</v>
      </c>
      <c r="S41" s="1573">
        <f t="shared" si="12"/>
        <v>100</v>
      </c>
      <c r="T41" s="1572" t="s">
        <v>8</v>
      </c>
      <c r="U41" s="1573">
        <f t="shared" si="13"/>
        <v>100</v>
      </c>
      <c r="V41" s="1572" t="s">
        <v>8</v>
      </c>
      <c r="W41" s="1573">
        <f t="shared" si="14"/>
        <v>100</v>
      </c>
      <c r="X41" s="1566"/>
      <c r="Y41" s="3420"/>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0"/>
      <c r="Q42" s="1604" t="str">
        <f t="shared" si="11"/>
        <v>单套建筑面积</v>
      </c>
      <c r="R42" s="1576" t="s">
        <v>8</v>
      </c>
      <c r="S42" s="1577">
        <f t="shared" si="12"/>
        <v>100</v>
      </c>
      <c r="T42" s="1576" t="s">
        <v>8</v>
      </c>
      <c r="U42" s="1577">
        <f t="shared" si="13"/>
        <v>100</v>
      </c>
      <c r="V42" s="1576" t="s">
        <v>8</v>
      </c>
      <c r="W42" s="1577">
        <f t="shared" si="14"/>
        <v>100</v>
      </c>
      <c r="X42" s="1578"/>
      <c r="Y42" s="3420"/>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20"/>
      <c r="Q43" s="1571" t="str">
        <f t="shared" si="11"/>
        <v>内部装修</v>
      </c>
      <c r="R43" s="1572" t="s">
        <v>8</v>
      </c>
      <c r="S43" s="1573">
        <f t="shared" si="12"/>
        <v>100</v>
      </c>
      <c r="T43" s="1572" t="s">
        <v>8</v>
      </c>
      <c r="U43" s="1573">
        <f t="shared" si="13"/>
        <v>100</v>
      </c>
      <c r="V43" s="1572" t="s">
        <v>8</v>
      </c>
      <c r="W43" s="1573">
        <f t="shared" si="14"/>
        <v>100</v>
      </c>
      <c r="X43" s="1566"/>
      <c r="Y43" s="3420"/>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20"/>
      <c r="Q44" s="1571" t="str">
        <f t="shared" si="11"/>
        <v>内部装修维护情况</v>
      </c>
      <c r="R44" s="1572" t="s">
        <v>8</v>
      </c>
      <c r="S44" s="1573">
        <f t="shared" si="12"/>
        <v>100</v>
      </c>
      <c r="T44" s="1572" t="s">
        <v>8</v>
      </c>
      <c r="U44" s="1573">
        <f t="shared" si="13"/>
        <v>100</v>
      </c>
      <c r="V44" s="1572" t="s">
        <v>8</v>
      </c>
      <c r="W44" s="1573">
        <f t="shared" si="14"/>
        <v>100</v>
      </c>
      <c r="X44" s="1566"/>
      <c r="Y44" s="3420"/>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0"/>
      <c r="Q45" s="1150">
        <f t="shared" si="11"/>
        <v>111</v>
      </c>
      <c r="R45" s="1567" t="s">
        <v>8</v>
      </c>
      <c r="S45" s="1568">
        <f t="shared" si="12"/>
        <v>100</v>
      </c>
      <c r="T45" s="1567" t="s">
        <v>8</v>
      </c>
      <c r="U45" s="1568">
        <f t="shared" si="13"/>
        <v>100</v>
      </c>
      <c r="V45" s="1567" t="s">
        <v>8</v>
      </c>
      <c r="W45" s="1568">
        <f t="shared" si="14"/>
        <v>100</v>
      </c>
      <c r="X45" s="1569"/>
      <c r="Y45" s="3420"/>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0"/>
      <c r="Q46" s="1571">
        <f t="shared" si="11"/>
        <v>111</v>
      </c>
      <c r="R46" s="1572" t="s">
        <v>8</v>
      </c>
      <c r="S46" s="1573">
        <f t="shared" si="12"/>
        <v>100</v>
      </c>
      <c r="T46" s="1572" t="s">
        <v>8</v>
      </c>
      <c r="U46" s="1573">
        <f t="shared" si="13"/>
        <v>100</v>
      </c>
      <c r="V46" s="1572" t="s">
        <v>8</v>
      </c>
      <c r="W46" s="1573">
        <f t="shared" si="14"/>
        <v>100</v>
      </c>
      <c r="X46" s="1566"/>
      <c r="Y46" s="3420"/>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5"/>
      <c r="Q47" s="1571">
        <f t="shared" si="11"/>
        <v>111</v>
      </c>
      <c r="R47" s="1572" t="s">
        <v>8</v>
      </c>
      <c r="S47" s="1573">
        <f t="shared" si="12"/>
        <v>100</v>
      </c>
      <c r="T47" s="1572" t="s">
        <v>8</v>
      </c>
      <c r="U47" s="1573">
        <f t="shared" si="13"/>
        <v>100</v>
      </c>
      <c r="V47" s="1572" t="s">
        <v>8</v>
      </c>
      <c r="W47" s="1573">
        <f t="shared" si="14"/>
        <v>100</v>
      </c>
      <c r="X47" s="1566"/>
      <c r="Y47" s="3495"/>
      <c r="Z47" s="1574">
        <f t="shared" si="15"/>
        <v>111</v>
      </c>
      <c r="AA47" s="1575">
        <f t="shared" si="3"/>
        <v>1</v>
      </c>
      <c r="AB47" s="1575">
        <f t="shared" si="4"/>
        <v>1</v>
      </c>
      <c r="AC47" s="1575">
        <f t="shared" si="5"/>
        <v>1</v>
      </c>
    </row>
    <row r="48" spans="1:29" ht="15">
      <c r="A48" s="607" t="s">
        <v>736</v>
      </c>
      <c r="B48" s="886"/>
      <c r="C48" s="2605" t="s">
        <v>1</v>
      </c>
      <c r="D48" s="2606"/>
      <c r="E48" s="2607">
        <f>ROUND(52000*0.97,0)</f>
        <v>50440</v>
      </c>
      <c r="F48" s="2608"/>
      <c r="G48" s="2609">
        <f>ROUND(48000*0.97,0)</f>
        <v>46560</v>
      </c>
      <c r="H48" s="2610"/>
      <c r="I48" s="2607">
        <f>ROUND(54000*0.97,0)</f>
        <v>52380</v>
      </c>
      <c r="J48" s="2610"/>
      <c r="K48" s="1610"/>
      <c r="L48" s="2143"/>
      <c r="M48" s="2133"/>
      <c r="N48" s="2133"/>
      <c r="O48" s="2133"/>
      <c r="P48" s="3437" t="str">
        <f>A48</f>
        <v>成交单价（元/平方米）</v>
      </c>
      <c r="Q48" s="3415"/>
      <c r="R48" s="3494">
        <f>E48</f>
        <v>50440</v>
      </c>
      <c r="S48" s="3494"/>
      <c r="T48" s="3494">
        <f>G48</f>
        <v>46560</v>
      </c>
      <c r="U48" s="3494"/>
      <c r="V48" s="3494">
        <f>I48</f>
        <v>52380</v>
      </c>
      <c r="W48" s="3494"/>
      <c r="X48" s="1558"/>
      <c r="Y48" s="1580"/>
      <c r="Z48" s="1558"/>
      <c r="AA48" s="1558"/>
      <c r="AB48" s="1558"/>
      <c r="AC48" s="1558"/>
    </row>
    <row r="49" spans="1:29" ht="15.75" thickBot="1">
      <c r="A49" s="615" t="s">
        <v>2761</v>
      </c>
      <c r="B49" s="887"/>
      <c r="C49" s="2611">
        <f>R50</f>
        <v>51333</v>
      </c>
      <c r="D49" s="2612"/>
      <c r="E49" s="2613">
        <f>R49</f>
        <v>52000</v>
      </c>
      <c r="F49" s="2613"/>
      <c r="G49" s="2611">
        <f>T49</f>
        <v>48000</v>
      </c>
      <c r="H49" s="2612"/>
      <c r="I49" s="2613">
        <f>V49</f>
        <v>54000</v>
      </c>
      <c r="J49" s="2612"/>
      <c r="K49" s="1611"/>
      <c r="L49" s="2143"/>
      <c r="M49" s="2133"/>
      <c r="N49" s="2133"/>
      <c r="O49" s="2133"/>
      <c r="P49" s="3437" t="str">
        <f>A49</f>
        <v>比较价格（元/平方米）</v>
      </c>
      <c r="Q49" s="3415"/>
      <c r="R49" s="3494">
        <f>IF(F1="售价",ROUND(PRODUCT(R48,AA7:AA47),0),ROUND(PRODUCT(R48,AA7:AA47),1))</f>
        <v>52000</v>
      </c>
      <c r="S49" s="3494"/>
      <c r="T49" s="3494">
        <f>IF(F1="售价",ROUND(PRODUCT(T48,AB7:AB47),0),ROUND(PRODUCT(T48,AB7:AB47),1))</f>
        <v>48000</v>
      </c>
      <c r="U49" s="3494"/>
      <c r="V49" s="3494">
        <f>IF(F1="售价",ROUND(PRODUCT(V48,AC7:AC47),0),ROUND(PRODUCT(V48,AC7:AC47),1))</f>
        <v>54000</v>
      </c>
      <c r="W49" s="3494"/>
      <c r="X49" s="1558"/>
      <c r="Y49" s="1558"/>
      <c r="Z49" s="1558"/>
      <c r="AA49" s="1558"/>
      <c r="AB49" s="1558"/>
      <c r="AC49" s="1558"/>
    </row>
    <row r="50" spans="1:29" ht="15.75" thickBot="1">
      <c r="A50" s="621" t="s">
        <v>2938</v>
      </c>
      <c r="B50" s="622"/>
      <c r="C50" s="2614">
        <f>R50</f>
        <v>51333</v>
      </c>
      <c r="D50" s="2614"/>
      <c r="E50" s="2614"/>
      <c r="F50" s="2614"/>
      <c r="G50" s="2614"/>
      <c r="H50" s="2614"/>
      <c r="I50" s="2614"/>
      <c r="J50" s="2614"/>
      <c r="K50" s="1612"/>
      <c r="L50" s="2143"/>
      <c r="M50" s="2133"/>
      <c r="N50" s="2133"/>
      <c r="O50" s="2133"/>
      <c r="P50" s="3501" t="str">
        <f>A50</f>
        <v>估价对象XX用房的比较价格（楼面单价，元/平方米）</v>
      </c>
      <c r="Q50" s="3437"/>
      <c r="R50" s="3493">
        <f>IF(F1="售价",ROUND(AVERAGE(R49:V49),0),ROUND(AVERAGE(R49:V49),1))</f>
        <v>51333</v>
      </c>
      <c r="S50" s="3493"/>
      <c r="T50" s="3493"/>
      <c r="U50" s="3493"/>
      <c r="V50" s="3493"/>
      <c r="W50" s="349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3.0927835051546282E-2</v>
      </c>
      <c r="F53" s="627" t="str">
        <f>IF(OR(E53&gt;=0.3,E53&lt;=-0.3),"超过30%","")</f>
        <v/>
      </c>
      <c r="G53" s="626">
        <f>IF(G48&lt;G49,G49/G48-1,G48/G49-1)</f>
        <v>3.0927835051546282E-2</v>
      </c>
      <c r="H53" s="627" t="str">
        <f>IF(OR(G53&gt;=0.3,G53&lt;=-0.3),"超过30%","")</f>
        <v/>
      </c>
      <c r="I53" s="626">
        <f>IF(I48&lt;I49,I49/I48-1,I48/I49-1)</f>
        <v>3.0927835051546282E-2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8.3333333333333259E-2</v>
      </c>
      <c r="F54" s="627" t="str">
        <f>IF(OR(E54&gt;=0.2,E54&lt;=-0.2),"超过20%","")</f>
        <v/>
      </c>
      <c r="G54" s="626">
        <f>IF(G49&lt;I49,I49/G49-1,G49/I49-1)</f>
        <v>0.125</v>
      </c>
      <c r="H54" s="627" t="str">
        <f>IF(OR(G54&gt;=0.2,G54&lt;=-0.2),"超过20%","")</f>
        <v/>
      </c>
      <c r="I54" s="626">
        <f>IF(I49&lt;E49,E49/I49-1,I49/E49-1)</f>
        <v>3.8461538461538547E-2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8.3333333333333259E-2</v>
      </c>
      <c r="F55" s="627" t="str">
        <f>IF(OR(E55&gt;=0.3,E55&lt;=-0.3),"超过30%","")</f>
        <v/>
      </c>
      <c r="G55" s="626">
        <f>IF(G48&lt;I48,I48/G48-1,G48/I48-1)</f>
        <v>0.125</v>
      </c>
      <c r="H55" s="627" t="str">
        <f>IF(OR(G55&gt;=0.3,G55&lt;=-0.3),"超过30%","")</f>
        <v/>
      </c>
      <c r="I55" s="626">
        <f>IF(I48&lt;E48,E48/I48-1,I48/E48-1)</f>
        <v>3.8461538461538547E-2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2018-12</v>
      </c>
      <c r="D59" s="2782">
        <f>EDATE(C59,-1)</f>
        <v>43405</v>
      </c>
      <c r="E59" s="2782">
        <f t="shared" ref="E59:O59" si="16">EDATE(D59,-1)</f>
        <v>43374</v>
      </c>
      <c r="F59" s="2782">
        <f t="shared" si="16"/>
        <v>43344</v>
      </c>
      <c r="G59" s="2782">
        <f t="shared" si="16"/>
        <v>43313</v>
      </c>
      <c r="H59" s="2782">
        <f t="shared" si="16"/>
        <v>43282</v>
      </c>
      <c r="I59" s="2782">
        <f t="shared" si="16"/>
        <v>43252</v>
      </c>
      <c r="J59" s="2782">
        <f t="shared" si="16"/>
        <v>43221</v>
      </c>
      <c r="K59" s="2782">
        <f t="shared" si="16"/>
        <v>43191</v>
      </c>
      <c r="L59" s="2782">
        <f t="shared" si="16"/>
        <v>43160</v>
      </c>
      <c r="M59" s="2782">
        <f t="shared" si="16"/>
        <v>43132</v>
      </c>
      <c r="N59" s="2782">
        <f t="shared" si="16"/>
        <v>43101</v>
      </c>
      <c r="O59" s="2782">
        <f t="shared" si="16"/>
        <v>43070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3173</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3174</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3175</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3176</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3178</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29">D120-$K41</f>
        <v>96</v>
      </c>
      <c r="F120" s="679">
        <f t="shared" si="29"/>
        <v>94</v>
      </c>
      <c r="G120" s="679">
        <f t="shared" si="29"/>
        <v>92</v>
      </c>
      <c r="H120" s="679">
        <f t="shared" si="29"/>
        <v>90</v>
      </c>
      <c r="I120" s="679">
        <f t="shared" si="29"/>
        <v>88</v>
      </c>
      <c r="J120" s="679">
        <f t="shared" si="29"/>
        <v>86</v>
      </c>
      <c r="K120" s="679">
        <f t="shared" si="29"/>
        <v>84</v>
      </c>
      <c r="L120" s="679">
        <f t="shared" si="29"/>
        <v>82</v>
      </c>
      <c r="M120" s="679">
        <f t="shared" si="29"/>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3179</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18" t="s">
        <v>2472</v>
      </c>
      <c r="B1" s="3519"/>
      <c r="C1" s="3520"/>
      <c r="D1" s="3521">
        <f>SUM(I10,I15,I20,I21,I23)</f>
        <v>0</v>
      </c>
      <c r="E1" s="3521"/>
      <c r="F1" s="3521"/>
      <c r="G1" s="3521"/>
      <c r="H1" s="3521"/>
      <c r="I1" s="3522"/>
    </row>
    <row r="2" spans="1:9">
      <c r="A2" s="3508" t="s">
        <v>2473</v>
      </c>
      <c r="B2" s="3509" t="s">
        <v>2474</v>
      </c>
      <c r="C2" s="3509"/>
      <c r="D2" s="2485" t="s">
        <v>2475</v>
      </c>
      <c r="E2" s="2485" t="s">
        <v>2476</v>
      </c>
      <c r="F2" s="2485" t="s">
        <v>2477</v>
      </c>
      <c r="G2" s="2485" t="s">
        <v>2478</v>
      </c>
      <c r="H2" s="2485" t="s">
        <v>2479</v>
      </c>
      <c r="I2" s="2486" t="s">
        <v>2480</v>
      </c>
    </row>
    <row r="3" spans="1:9">
      <c r="A3" s="3508"/>
      <c r="B3" s="3509" t="s">
        <v>2481</v>
      </c>
      <c r="C3" s="3509"/>
      <c r="D3" s="2487"/>
      <c r="E3" s="2485"/>
      <c r="F3" s="2488"/>
      <c r="G3" s="2488"/>
      <c r="H3" s="2489"/>
      <c r="I3" s="2490">
        <f>ROUND(D3*E3*F3*G3*H3/10000,0)</f>
        <v>0</v>
      </c>
    </row>
    <row r="4" spans="1:9">
      <c r="A4" s="3508"/>
      <c r="B4" s="3509" t="s">
        <v>2482</v>
      </c>
      <c r="C4" s="3509"/>
      <c r="D4" s="2487"/>
      <c r="E4" s="2485"/>
      <c r="F4" s="2488"/>
      <c r="G4" s="2488"/>
      <c r="H4" s="2489"/>
      <c r="I4" s="2490">
        <f t="shared" ref="I4:I9" si="0">ROUND(D4*E4*F4*G4*H4/10000,0)</f>
        <v>0</v>
      </c>
    </row>
    <row r="5" spans="1:9">
      <c r="A5" s="3508"/>
      <c r="B5" s="3509" t="s">
        <v>2483</v>
      </c>
      <c r="C5" s="3509"/>
      <c r="D5" s="2487"/>
      <c r="E5" s="2485"/>
      <c r="F5" s="2488"/>
      <c r="G5" s="2488"/>
      <c r="H5" s="2489"/>
      <c r="I5" s="2490">
        <f t="shared" si="0"/>
        <v>0</v>
      </c>
    </row>
    <row r="6" spans="1:9">
      <c r="A6" s="3508"/>
      <c r="B6" s="3509" t="s">
        <v>2484</v>
      </c>
      <c r="C6" s="3509"/>
      <c r="D6" s="2487"/>
      <c r="E6" s="2485"/>
      <c r="F6" s="2488"/>
      <c r="G6" s="2488"/>
      <c r="H6" s="2489"/>
      <c r="I6" s="2490">
        <f t="shared" si="0"/>
        <v>0</v>
      </c>
    </row>
    <row r="7" spans="1:9">
      <c r="A7" s="3508"/>
      <c r="B7" s="3509" t="s">
        <v>2485</v>
      </c>
      <c r="C7" s="3509"/>
      <c r="D7" s="2487"/>
      <c r="E7" s="2485"/>
      <c r="F7" s="2488"/>
      <c r="G7" s="2488"/>
      <c r="H7" s="2489"/>
      <c r="I7" s="2490">
        <f t="shared" si="0"/>
        <v>0</v>
      </c>
    </row>
    <row r="8" spans="1:9">
      <c r="A8" s="3508"/>
      <c r="B8" s="3509" t="s">
        <v>2486</v>
      </c>
      <c r="C8" s="3509"/>
      <c r="D8" s="2487"/>
      <c r="E8" s="2485"/>
      <c r="F8" s="2488"/>
      <c r="G8" s="2488"/>
      <c r="H8" s="2489"/>
      <c r="I8" s="2490">
        <f t="shared" si="0"/>
        <v>0</v>
      </c>
    </row>
    <row r="9" spans="1:9">
      <c r="A9" s="3508"/>
      <c r="B9" s="3509" t="s">
        <v>2487</v>
      </c>
      <c r="C9" s="3509"/>
      <c r="D9" s="2487"/>
      <c r="E9" s="2485"/>
      <c r="F9" s="2488"/>
      <c r="G9" s="2488"/>
      <c r="H9" s="2489"/>
      <c r="I9" s="2490">
        <f t="shared" si="0"/>
        <v>0</v>
      </c>
    </row>
    <row r="10" spans="1:9">
      <c r="A10" s="3508"/>
      <c r="B10" s="3510" t="s">
        <v>2488</v>
      </c>
      <c r="C10" s="3510"/>
      <c r="D10" s="2491">
        <v>527</v>
      </c>
      <c r="E10" s="2491" t="e">
        <f>ROUND(D1*10000/D10/H9,0)</f>
        <v>#DIV/0!</v>
      </c>
      <c r="F10" s="2492"/>
      <c r="G10" s="2492"/>
      <c r="H10" s="2493"/>
      <c r="I10" s="2494">
        <f>SUM(I3:I9)</f>
        <v>0</v>
      </c>
    </row>
    <row r="11" spans="1:9" ht="14.25">
      <c r="A11" s="3508" t="s">
        <v>2489</v>
      </c>
      <c r="B11" s="3509" t="s">
        <v>2490</v>
      </c>
      <c r="C11" s="3509"/>
      <c r="D11" s="2487" t="s">
        <v>2491</v>
      </c>
      <c r="E11" s="2487" t="s">
        <v>2492</v>
      </c>
      <c r="F11" s="2488" t="s">
        <v>2493</v>
      </c>
      <c r="G11" s="2488" t="s">
        <v>2494</v>
      </c>
      <c r="H11" s="2495" t="s">
        <v>2495</v>
      </c>
      <c r="I11" s="2486" t="s">
        <v>2496</v>
      </c>
    </row>
    <row r="12" spans="1:9">
      <c r="A12" s="3508"/>
      <c r="B12" s="3509" t="s">
        <v>2497</v>
      </c>
      <c r="C12" s="3509"/>
      <c r="D12" s="2487"/>
      <c r="E12" s="2487"/>
      <c r="F12" s="2488"/>
      <c r="G12" s="2489"/>
      <c r="H12" s="2496"/>
      <c r="I12" s="2486">
        <f>ROUND(D12*E12*F12*G12/10000,0)</f>
        <v>0</v>
      </c>
    </row>
    <row r="13" spans="1:9">
      <c r="A13" s="3508"/>
      <c r="B13" s="3509" t="s">
        <v>2498</v>
      </c>
      <c r="C13" s="3509"/>
      <c r="D13" s="2487"/>
      <c r="E13" s="2487"/>
      <c r="F13" s="2488"/>
      <c r="G13" s="2489"/>
      <c r="H13" s="2496"/>
      <c r="I13" s="2486">
        <f>ROUND(D13*E13*F13*G13/10000,0)</f>
        <v>0</v>
      </c>
    </row>
    <row r="14" spans="1:9">
      <c r="A14" s="3508"/>
      <c r="B14" s="3509" t="s">
        <v>2499</v>
      </c>
      <c r="C14" s="3509"/>
      <c r="D14" s="2487"/>
      <c r="E14" s="2487"/>
      <c r="F14" s="2488"/>
      <c r="G14" s="2489"/>
      <c r="H14" s="2496"/>
      <c r="I14" s="2486">
        <f>ROUND(D14*E14*F14*G14/10000,0)</f>
        <v>0</v>
      </c>
    </row>
    <row r="15" spans="1:9">
      <c r="A15" s="3508"/>
      <c r="B15" s="3510" t="s">
        <v>2488</v>
      </c>
      <c r="C15" s="3510"/>
      <c r="D15" s="2491"/>
      <c r="E15" s="2491">
        <f>SUM(E12:E14)</f>
        <v>0</v>
      </c>
      <c r="F15" s="2492"/>
      <c r="G15" s="2489"/>
      <c r="H15" s="2496"/>
      <c r="I15" s="2497">
        <f>SUM(I12:I14)</f>
        <v>0</v>
      </c>
    </row>
    <row r="16" spans="1:9" ht="24">
      <c r="A16" s="3508" t="s">
        <v>2500</v>
      </c>
      <c r="B16" s="3509" t="s">
        <v>2501</v>
      </c>
      <c r="C16" s="3509"/>
      <c r="D16" s="2487" t="s">
        <v>2502</v>
      </c>
      <c r="E16" s="2498" t="s">
        <v>2503</v>
      </c>
      <c r="F16" s="2488" t="s">
        <v>2504</v>
      </c>
      <c r="G16" s="2489" t="s">
        <v>2494</v>
      </c>
      <c r="H16" s="2495" t="s">
        <v>2495</v>
      </c>
      <c r="I16" s="2486" t="s">
        <v>2496</v>
      </c>
    </row>
    <row r="17" spans="1:9" ht="14.25">
      <c r="A17" s="3508"/>
      <c r="B17" s="3509" t="s">
        <v>2505</v>
      </c>
      <c r="C17" s="3509"/>
      <c r="D17" s="2487"/>
      <c r="E17" s="2487"/>
      <c r="F17" s="2488"/>
      <c r="G17" s="2489"/>
      <c r="H17" s="2499"/>
      <c r="I17" s="2500">
        <f>ROUND(D17*E17*F17*G17/10000,0)</f>
        <v>0</v>
      </c>
    </row>
    <row r="18" spans="1:9" ht="14.25">
      <c r="A18" s="3508"/>
      <c r="B18" s="3509" t="s">
        <v>2506</v>
      </c>
      <c r="C18" s="3509"/>
      <c r="D18" s="2487"/>
      <c r="E18" s="2487"/>
      <c r="F18" s="2488"/>
      <c r="G18" s="2489"/>
      <c r="H18" s="2499"/>
      <c r="I18" s="2500">
        <f>ROUND(D18*E18*F18*G18/10000,0)</f>
        <v>0</v>
      </c>
    </row>
    <row r="19" spans="1:9" ht="14.25">
      <c r="A19" s="3508"/>
      <c r="B19" s="3509" t="s">
        <v>2507</v>
      </c>
      <c r="C19" s="3509"/>
      <c r="D19" s="2487"/>
      <c r="E19" s="2487"/>
      <c r="F19" s="2488"/>
      <c r="G19" s="2489"/>
      <c r="H19" s="2499"/>
      <c r="I19" s="2500">
        <f>ROUND(D19*E19*F19*G19/10000,0)</f>
        <v>0</v>
      </c>
    </row>
    <row r="20" spans="1:9">
      <c r="A20" s="3508"/>
      <c r="B20" s="3510" t="s">
        <v>2488</v>
      </c>
      <c r="C20" s="3510"/>
      <c r="D20" s="2491">
        <f>SUM(D17:D19)</f>
        <v>0</v>
      </c>
      <c r="E20" s="2491"/>
      <c r="F20" s="2492"/>
      <c r="G20" s="2489"/>
      <c r="H20" s="2496"/>
      <c r="I20" s="2497">
        <f>SUM(I17:I19)</f>
        <v>0</v>
      </c>
    </row>
    <row r="21" spans="1:9">
      <c r="A21" s="3508" t="s">
        <v>2508</v>
      </c>
      <c r="B21" s="3511"/>
      <c r="C21" s="3511"/>
      <c r="D21" s="3511"/>
      <c r="E21" s="3511"/>
      <c r="F21" s="3511"/>
      <c r="G21" s="3511"/>
      <c r="H21" s="2501">
        <v>0.1</v>
      </c>
      <c r="I21" s="2494">
        <f>ROUND(I10*H21,0)</f>
        <v>0</v>
      </c>
    </row>
    <row r="22" spans="1:9" ht="14.25">
      <c r="A22" s="3512" t="s">
        <v>2509</v>
      </c>
      <c r="B22" s="3513"/>
      <c r="C22" s="3514"/>
      <c r="D22" s="2502" t="s">
        <v>2510</v>
      </c>
      <c r="E22" s="2502" t="s">
        <v>2511</v>
      </c>
      <c r="F22" s="2503" t="s">
        <v>2512</v>
      </c>
      <c r="G22" s="2503" t="s">
        <v>2513</v>
      </c>
      <c r="H22" s="2495" t="s">
        <v>2514</v>
      </c>
      <c r="I22" s="2486" t="s">
        <v>2515</v>
      </c>
    </row>
    <row r="23" spans="1:9" ht="14.25" thickBot="1">
      <c r="A23" s="3515"/>
      <c r="B23" s="3516"/>
      <c r="C23" s="3517"/>
      <c r="D23" s="2504"/>
      <c r="E23" s="2504"/>
      <c r="F23" s="2504"/>
      <c r="G23" s="2505"/>
      <c r="H23" s="2506"/>
      <c r="I23" s="2507">
        <f>ROUND(E23*D23*F23*(1-G23)/10000,0)</f>
        <v>0</v>
      </c>
    </row>
    <row r="26" spans="1:9">
      <c r="A26" s="2508" t="s">
        <v>2516</v>
      </c>
      <c r="B26" s="2508"/>
      <c r="C26" s="2508"/>
      <c r="D26" s="2508"/>
      <c r="E26" s="3505">
        <f>C27-C30-C31-C32</f>
        <v>0</v>
      </c>
      <c r="F26" s="3505"/>
      <c r="G26" s="3505"/>
      <c r="H26" s="3019" t="s">
        <v>2844</v>
      </c>
    </row>
    <row r="27" spans="1:9">
      <c r="A27" s="2509">
        <v>1</v>
      </c>
      <c r="B27" s="2510" t="s">
        <v>2517</v>
      </c>
      <c r="C27" s="2510"/>
      <c r="D27" s="2510"/>
      <c r="E27" s="3506"/>
      <c r="F27" s="3506"/>
      <c r="G27" s="3506"/>
    </row>
    <row r="28" spans="1:9">
      <c r="A28" s="2511" t="s">
        <v>2518</v>
      </c>
      <c r="B28" s="2510" t="s">
        <v>2519</v>
      </c>
      <c r="C28" s="2510"/>
      <c r="D28" s="2510"/>
      <c r="E28" s="3506"/>
      <c r="F28" s="3506"/>
      <c r="G28" s="3506"/>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07"/>
      <c r="F32" s="3507"/>
      <c r="G32" s="3507"/>
    </row>
    <row r="33" spans="1:7" hidden="1">
      <c r="A33" s="3502" t="s">
        <v>2527</v>
      </c>
      <c r="B33" s="3503"/>
      <c r="C33" s="3503"/>
      <c r="D33" s="3504"/>
      <c r="E33" s="3505"/>
      <c r="F33" s="3505"/>
      <c r="G33" s="3505"/>
    </row>
    <row r="34" spans="1:7" hidden="1">
      <c r="A34" s="2513">
        <v>1</v>
      </c>
      <c r="B34" s="2510" t="s">
        <v>2528</v>
      </c>
      <c r="C34" s="2510"/>
      <c r="D34" s="2510"/>
      <c r="E34" s="3506"/>
      <c r="F34" s="3506"/>
      <c r="G34" s="3506"/>
    </row>
    <row r="35" spans="1:7" hidden="1">
      <c r="A35" s="2513">
        <v>2</v>
      </c>
      <c r="B35" s="2510" t="s">
        <v>2529</v>
      </c>
      <c r="C35" s="2510"/>
      <c r="D35" s="2510"/>
      <c r="E35" s="3506"/>
      <c r="F35" s="3506"/>
      <c r="G35" s="3506"/>
    </row>
    <row r="36" spans="1:7" hidden="1">
      <c r="A36" s="2513">
        <v>3</v>
      </c>
      <c r="B36" s="2510" t="s">
        <v>2530</v>
      </c>
      <c r="C36" s="2510"/>
      <c r="D36" s="2510"/>
      <c r="E36" s="3506"/>
      <c r="F36" s="3506"/>
      <c r="G36" s="3506"/>
    </row>
    <row r="37" spans="1:7" hidden="1">
      <c r="A37" s="2513">
        <v>4</v>
      </c>
      <c r="B37" s="2510" t="s">
        <v>2531</v>
      </c>
      <c r="C37" s="2510"/>
      <c r="D37" s="2510"/>
      <c r="E37" s="3506"/>
      <c r="F37" s="3506"/>
      <c r="G37" s="3506"/>
    </row>
    <row r="38" spans="1:7" hidden="1">
      <c r="A38" s="3502" t="s">
        <v>2532</v>
      </c>
      <c r="B38" s="3503"/>
      <c r="C38" s="3503"/>
      <c r="D38" s="3504"/>
      <c r="E38" s="3505"/>
      <c r="F38" s="3505"/>
      <c r="G38" s="35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0.94399999999999995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21" t="s">
        <v>522</v>
      </c>
      <c r="D4" s="3422"/>
      <c r="E4" s="3445" t="s">
        <v>523</v>
      </c>
      <c r="F4" s="3446"/>
      <c r="G4" s="3421" t="s">
        <v>524</v>
      </c>
      <c r="H4" s="3422"/>
      <c r="I4" s="3421" t="s">
        <v>525</v>
      </c>
      <c r="J4" s="3422"/>
      <c r="K4" s="514"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29" t="s">
        <v>524</v>
      </c>
      <c r="AC4" s="3404" t="s">
        <v>525</v>
      </c>
    </row>
    <row r="5" spans="1:29" ht="15">
      <c r="A5" s="515"/>
      <c r="B5" s="516"/>
      <c r="C5" s="3432" t="s">
        <v>2932</v>
      </c>
      <c r="D5" s="3433"/>
      <c r="E5" s="3447" t="s">
        <v>2933</v>
      </c>
      <c r="F5" s="3448"/>
      <c r="G5" s="3432" t="s">
        <v>2934</v>
      </c>
      <c r="H5" s="3433"/>
      <c r="I5" s="3432" t="s">
        <v>2935</v>
      </c>
      <c r="J5" s="3433"/>
      <c r="K5" s="514"/>
      <c r="L5" s="2132"/>
      <c r="M5" s="2133"/>
      <c r="N5" s="2133"/>
      <c r="O5" s="2133"/>
      <c r="P5" s="3425"/>
      <c r="Q5" s="3426"/>
      <c r="R5" s="3411"/>
      <c r="S5" s="3412"/>
      <c r="T5" s="3411"/>
      <c r="U5" s="3412"/>
      <c r="V5" s="3429"/>
      <c r="W5" s="3429"/>
      <c r="X5" s="1566"/>
      <c r="Y5" s="3411"/>
      <c r="Z5" s="3412"/>
      <c r="AA5" s="3405"/>
      <c r="AB5" s="3429"/>
      <c r="AC5" s="3405"/>
    </row>
    <row r="6" spans="1:29" ht="15.75" thickBot="1">
      <c r="A6" s="517"/>
      <c r="B6" s="518"/>
      <c r="C6" s="3430" t="s">
        <v>2936</v>
      </c>
      <c r="D6" s="3431"/>
      <c r="E6" s="3449" t="s">
        <v>2936</v>
      </c>
      <c r="F6" s="3450"/>
      <c r="G6" s="3430" t="s">
        <v>2936</v>
      </c>
      <c r="H6" s="3431"/>
      <c r="I6" s="3430" t="s">
        <v>2936</v>
      </c>
      <c r="J6" s="3431"/>
      <c r="K6" s="514" t="s">
        <v>528</v>
      </c>
      <c r="L6" s="2132"/>
      <c r="M6" s="2133"/>
      <c r="N6" s="2133"/>
      <c r="O6" s="2133"/>
      <c r="P6" s="3427"/>
      <c r="Q6" s="3428"/>
      <c r="R6" s="3411"/>
      <c r="S6" s="3412"/>
      <c r="T6" s="3413"/>
      <c r="U6" s="3414"/>
      <c r="V6" s="3429"/>
      <c r="W6" s="3429"/>
      <c r="X6" s="1566"/>
      <c r="Y6" s="3413"/>
      <c r="Z6" s="3414"/>
      <c r="AA6" s="3406"/>
      <c r="AB6" s="3429"/>
      <c r="AC6" s="3406"/>
    </row>
    <row r="7" spans="1:29" s="1219" customFormat="1" ht="15.75" thickBot="1">
      <c r="A7" s="2890"/>
      <c r="B7" s="2897" t="s">
        <v>529</v>
      </c>
      <c r="C7" s="519">
        <f>'数据-取费表'!B2</f>
        <v>43438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7" t="s">
        <v>530</v>
      </c>
      <c r="Q7" s="3416"/>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15" t="s">
        <v>535</v>
      </c>
      <c r="Q9" s="1150" t="str">
        <f t="shared" ref="Q9:Q15" si="6">B9</f>
        <v>用途</v>
      </c>
      <c r="R9" s="1567" t="s">
        <v>8</v>
      </c>
      <c r="S9" s="1568">
        <f t="shared" si="0"/>
        <v>100</v>
      </c>
      <c r="T9" s="1567" t="s">
        <v>8</v>
      </c>
      <c r="U9" s="1568">
        <f t="shared" si="1"/>
        <v>100</v>
      </c>
      <c r="V9" s="1567" t="s">
        <v>8</v>
      </c>
      <c r="W9" s="1568">
        <f t="shared" si="2"/>
        <v>100</v>
      </c>
      <c r="X9" s="1569"/>
      <c r="Y9" s="3366"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15"/>
      <c r="Q11" s="1150" t="str">
        <f t="shared" si="6"/>
        <v>容积率</v>
      </c>
      <c r="R11" s="1567" t="s">
        <v>8</v>
      </c>
      <c r="S11" s="1568" t="e">
        <f t="shared" si="0"/>
        <v>#N/A</v>
      </c>
      <c r="T11" s="1567" t="s">
        <v>8</v>
      </c>
      <c r="U11" s="1568" t="e">
        <f t="shared" si="1"/>
        <v>#N/A</v>
      </c>
      <c r="V11" s="1567" t="s">
        <v>8</v>
      </c>
      <c r="W11" s="1568" t="e">
        <f t="shared" si="2"/>
        <v>#N/A</v>
      </c>
      <c r="X11" s="1569"/>
      <c r="Y11" s="3366"/>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15"/>
      <c r="Q12" s="1150">
        <f t="shared" si="6"/>
        <v>111</v>
      </c>
      <c r="R12" s="1567" t="s">
        <v>8</v>
      </c>
      <c r="S12" s="1568">
        <f t="shared" si="0"/>
        <v>100</v>
      </c>
      <c r="T12" s="1567" t="s">
        <v>8</v>
      </c>
      <c r="U12" s="1568">
        <f t="shared" si="1"/>
        <v>100</v>
      </c>
      <c r="V12" s="1567" t="s">
        <v>8</v>
      </c>
      <c r="W12" s="1568">
        <f t="shared" si="2"/>
        <v>100</v>
      </c>
      <c r="X12" s="1569"/>
      <c r="Y12" s="3366"/>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15"/>
      <c r="Q13" s="1150">
        <f t="shared" si="6"/>
        <v>111</v>
      </c>
      <c r="R13" s="1567" t="s">
        <v>8</v>
      </c>
      <c r="S13" s="1568">
        <f t="shared" si="0"/>
        <v>100</v>
      </c>
      <c r="T13" s="1567" t="s">
        <v>8</v>
      </c>
      <c r="U13" s="1568">
        <f t="shared" si="1"/>
        <v>100</v>
      </c>
      <c r="V13" s="1567" t="s">
        <v>8</v>
      </c>
      <c r="W13" s="1568">
        <f t="shared" si="2"/>
        <v>100</v>
      </c>
      <c r="X13" s="1569"/>
      <c r="Y13" s="3366"/>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15"/>
      <c r="Q14" s="1150">
        <f t="shared" si="6"/>
        <v>111</v>
      </c>
      <c r="R14" s="1567" t="s">
        <v>8</v>
      </c>
      <c r="S14" s="1568">
        <f t="shared" si="0"/>
        <v>100</v>
      </c>
      <c r="T14" s="1567" t="s">
        <v>8</v>
      </c>
      <c r="U14" s="1568">
        <f t="shared" si="1"/>
        <v>100</v>
      </c>
      <c r="V14" s="1567" t="s">
        <v>8</v>
      </c>
      <c r="W14" s="1568">
        <f t="shared" si="2"/>
        <v>100</v>
      </c>
      <c r="X14" s="1569"/>
      <c r="Y14" s="3366"/>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17" t="s">
        <v>540</v>
      </c>
      <c r="Q15" s="1571" t="str">
        <f t="shared" si="6"/>
        <v>商业繁华度</v>
      </c>
      <c r="R15" s="1572" t="s">
        <v>8</v>
      </c>
      <c r="S15" s="1573">
        <f t="shared" si="0"/>
        <v>100</v>
      </c>
      <c r="T15" s="1572" t="s">
        <v>8</v>
      </c>
      <c r="U15" s="1573">
        <f t="shared" si="1"/>
        <v>100</v>
      </c>
      <c r="V15" s="1572" t="s">
        <v>8</v>
      </c>
      <c r="W15" s="1573">
        <f t="shared" si="2"/>
        <v>100</v>
      </c>
      <c r="X15" s="1566"/>
      <c r="Y15" s="341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18"/>
      <c r="Q16" s="1571"/>
      <c r="R16" s="1572"/>
      <c r="S16" s="1573"/>
      <c r="T16" s="1572"/>
      <c r="U16" s="1573"/>
      <c r="V16" s="1572"/>
      <c r="W16" s="1573"/>
      <c r="X16" s="1566"/>
      <c r="Y16" s="341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18"/>
      <c r="Q18" s="1571"/>
      <c r="R18" s="1572"/>
      <c r="S18" s="1573"/>
      <c r="T18" s="1572"/>
      <c r="U18" s="1573"/>
      <c r="V18" s="1572"/>
      <c r="W18" s="1573"/>
      <c r="X18" s="1566"/>
      <c r="Y18" s="3418"/>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18"/>
      <c r="Q20" s="1571"/>
      <c r="R20" s="1572"/>
      <c r="S20" s="1573"/>
      <c r="T20" s="1572"/>
      <c r="U20" s="1573"/>
      <c r="V20" s="1572"/>
      <c r="W20" s="1573"/>
      <c r="X20" s="1566"/>
      <c r="Y20" s="3418"/>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18"/>
      <c r="Q21" s="2557" t="str">
        <f>B21</f>
        <v>基础设施水平</v>
      </c>
      <c r="R21" s="1572" t="s">
        <v>8</v>
      </c>
      <c r="S21" s="1573">
        <f>F21</f>
        <v>100</v>
      </c>
      <c r="T21" s="1572" t="s">
        <v>8</v>
      </c>
      <c r="U21" s="1573">
        <f>H21</f>
        <v>100</v>
      </c>
      <c r="V21" s="1572" t="s">
        <v>8</v>
      </c>
      <c r="W21" s="1573">
        <f>J21</f>
        <v>100</v>
      </c>
      <c r="X21" s="2559"/>
      <c r="Y21" s="3418"/>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18"/>
      <c r="Q22" s="2557"/>
      <c r="R22" s="1572"/>
      <c r="S22" s="1573"/>
      <c r="T22" s="1572"/>
      <c r="U22" s="1573"/>
      <c r="V22" s="1572"/>
      <c r="W22" s="1573"/>
      <c r="X22" s="2559"/>
      <c r="Y22" s="3418"/>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18"/>
      <c r="Q23" s="1571" t="str">
        <f>B23</f>
        <v>自然及人文环境</v>
      </c>
      <c r="R23" s="1572" t="s">
        <v>8</v>
      </c>
      <c r="S23" s="1573">
        <f>F23</f>
        <v>100</v>
      </c>
      <c r="T23" s="1572" t="s">
        <v>8</v>
      </c>
      <c r="U23" s="1573">
        <f>H23</f>
        <v>100</v>
      </c>
      <c r="V23" s="1572" t="s">
        <v>8</v>
      </c>
      <c r="W23" s="1573">
        <f>J23</f>
        <v>100</v>
      </c>
      <c r="X23" s="1566"/>
      <c r="Y23" s="341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8"/>
      <c r="Q25" s="1571" t="str">
        <f t="shared" ref="Q25:Q46" si="11">B25</f>
        <v>临街状况</v>
      </c>
      <c r="R25" s="1572" t="s">
        <v>8</v>
      </c>
      <c r="S25" s="1573">
        <f>F25</f>
        <v>100</v>
      </c>
      <c r="T25" s="1572" t="s">
        <v>8</v>
      </c>
      <c r="U25" s="1573">
        <f>H25</f>
        <v>100</v>
      </c>
      <c r="V25" s="1572" t="s">
        <v>8</v>
      </c>
      <c r="W25" s="1573">
        <f>J25</f>
        <v>100</v>
      </c>
      <c r="X25" s="1566"/>
      <c r="Y25" s="3418"/>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8"/>
      <c r="Q26" s="1571" t="str">
        <f t="shared" si="11"/>
        <v>平面位置/可视性</v>
      </c>
      <c r="R26" s="1572" t="s">
        <v>8</v>
      </c>
      <c r="S26" s="1573">
        <f>F26</f>
        <v>100</v>
      </c>
      <c r="T26" s="1572" t="s">
        <v>8</v>
      </c>
      <c r="U26" s="1573">
        <f>H26</f>
        <v>100</v>
      </c>
      <c r="V26" s="1572" t="s">
        <v>8</v>
      </c>
      <c r="W26" s="1573">
        <f>J26</f>
        <v>100</v>
      </c>
      <c r="X26" s="1566"/>
      <c r="Y26" s="3418"/>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18"/>
      <c r="Q27" s="1150" t="str">
        <f t="shared" si="11"/>
        <v>人流量</v>
      </c>
      <c r="R27" s="1567" t="s">
        <v>8</v>
      </c>
      <c r="S27" s="1568">
        <f>F27</f>
        <v>100</v>
      </c>
      <c r="T27" s="1567" t="s">
        <v>8</v>
      </c>
      <c r="U27" s="1568">
        <f>H27</f>
        <v>100</v>
      </c>
      <c r="V27" s="1567" t="s">
        <v>8</v>
      </c>
      <c r="W27" s="1568">
        <f>J27</f>
        <v>100</v>
      </c>
      <c r="X27" s="1569"/>
      <c r="Y27" s="3418"/>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8"/>
      <c r="Q29" s="1571">
        <f t="shared" si="11"/>
        <v>111</v>
      </c>
      <c r="R29" s="1572" t="s">
        <v>8</v>
      </c>
      <c r="S29" s="1573">
        <f t="shared" si="12"/>
        <v>100</v>
      </c>
      <c r="T29" s="1572" t="s">
        <v>8</v>
      </c>
      <c r="U29" s="1573">
        <f t="shared" si="13"/>
        <v>100</v>
      </c>
      <c r="V29" s="1572" t="s">
        <v>8</v>
      </c>
      <c r="W29" s="1573">
        <f t="shared" si="14"/>
        <v>100</v>
      </c>
      <c r="X29" s="1566"/>
      <c r="Y29" s="341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9" t="s">
        <v>550</v>
      </c>
      <c r="Q32" s="1571" t="str">
        <f t="shared" si="11"/>
        <v>商业类型</v>
      </c>
      <c r="R32" s="1572" t="s">
        <v>8</v>
      </c>
      <c r="S32" s="1573">
        <f t="shared" si="12"/>
        <v>100</v>
      </c>
      <c r="T32" s="1572" t="s">
        <v>8</v>
      </c>
      <c r="U32" s="1573">
        <f t="shared" si="13"/>
        <v>100</v>
      </c>
      <c r="V32" s="1572" t="s">
        <v>8</v>
      </c>
      <c r="W32" s="1573">
        <f t="shared" si="14"/>
        <v>100</v>
      </c>
      <c r="X32" s="1566"/>
      <c r="Y32" s="3420"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0"/>
      <c r="Q33" s="1604" t="str">
        <f t="shared" si="11"/>
        <v>项目建筑规模</v>
      </c>
      <c r="R33" s="1576" t="s">
        <v>8</v>
      </c>
      <c r="S33" s="1577" t="e">
        <f t="shared" si="12"/>
        <v>#N/A</v>
      </c>
      <c r="T33" s="1576" t="s">
        <v>8</v>
      </c>
      <c r="U33" s="1577" t="e">
        <f t="shared" si="13"/>
        <v>#N/A</v>
      </c>
      <c r="V33" s="1576" t="s">
        <v>8</v>
      </c>
      <c r="W33" s="1577" t="e">
        <f t="shared" si="14"/>
        <v>#N/A</v>
      </c>
      <c r="X33" s="1578"/>
      <c r="Y33" s="3420"/>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0"/>
      <c r="Q34" s="1571" t="str">
        <f t="shared" si="11"/>
        <v>建筑结构</v>
      </c>
      <c r="R34" s="1572" t="s">
        <v>8</v>
      </c>
      <c r="S34" s="1573">
        <f t="shared" si="12"/>
        <v>100</v>
      </c>
      <c r="T34" s="1572" t="s">
        <v>8</v>
      </c>
      <c r="U34" s="1573">
        <f t="shared" si="13"/>
        <v>100</v>
      </c>
      <c r="V34" s="1572" t="s">
        <v>8</v>
      </c>
      <c r="W34" s="1573">
        <f t="shared" si="14"/>
        <v>100</v>
      </c>
      <c r="X34" s="1566"/>
      <c r="Y34" s="3420"/>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0"/>
      <c r="Q35" s="1571" t="str">
        <f t="shared" si="11"/>
        <v>公共部分装修</v>
      </c>
      <c r="R35" s="1572" t="s">
        <v>8</v>
      </c>
      <c r="S35" s="1573">
        <f t="shared" si="12"/>
        <v>100</v>
      </c>
      <c r="T35" s="1572" t="s">
        <v>8</v>
      </c>
      <c r="U35" s="1573">
        <f t="shared" si="13"/>
        <v>100</v>
      </c>
      <c r="V35" s="1572" t="s">
        <v>8</v>
      </c>
      <c r="W35" s="1573">
        <f t="shared" si="14"/>
        <v>100</v>
      </c>
      <c r="X35" s="1566"/>
      <c r="Y35" s="3420"/>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0"/>
      <c r="Q36" s="1571" t="str">
        <f t="shared" si="11"/>
        <v>成新度</v>
      </c>
      <c r="R36" s="1572" t="s">
        <v>8</v>
      </c>
      <c r="S36" s="1573" t="e">
        <f t="shared" si="12"/>
        <v>#N/A</v>
      </c>
      <c r="T36" s="1572" t="s">
        <v>8</v>
      </c>
      <c r="U36" s="1573" t="e">
        <f t="shared" si="13"/>
        <v>#N/A</v>
      </c>
      <c r="V36" s="1572" t="s">
        <v>8</v>
      </c>
      <c r="W36" s="1573" t="e">
        <f t="shared" si="14"/>
        <v>#N/A</v>
      </c>
      <c r="X36" s="1566"/>
      <c r="Y36" s="3420"/>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0"/>
      <c r="Q37" s="1150" t="str">
        <f t="shared" si="11"/>
        <v>市政基础设施</v>
      </c>
      <c r="R37" s="1567" t="s">
        <v>8</v>
      </c>
      <c r="S37" s="1568">
        <f t="shared" si="12"/>
        <v>100</v>
      </c>
      <c r="T37" s="1567" t="s">
        <v>8</v>
      </c>
      <c r="U37" s="1568">
        <f t="shared" si="13"/>
        <v>100</v>
      </c>
      <c r="V37" s="1567" t="s">
        <v>8</v>
      </c>
      <c r="W37" s="1568">
        <f t="shared" si="14"/>
        <v>100</v>
      </c>
      <c r="X37" s="1569"/>
      <c r="Y37" s="3420"/>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0" t="s">
        <v>766</v>
      </c>
      <c r="Q38" s="1571" t="str">
        <f t="shared" si="11"/>
        <v>业态</v>
      </c>
      <c r="R38" s="1572" t="s">
        <v>8</v>
      </c>
      <c r="S38" s="1573">
        <f t="shared" si="12"/>
        <v>100</v>
      </c>
      <c r="T38" s="1572" t="s">
        <v>8</v>
      </c>
      <c r="U38" s="1573">
        <f t="shared" si="13"/>
        <v>100</v>
      </c>
      <c r="V38" s="1572" t="s">
        <v>8</v>
      </c>
      <c r="W38" s="1573">
        <f t="shared" si="14"/>
        <v>100</v>
      </c>
      <c r="X38" s="1566"/>
      <c r="Y38" s="3420"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c r="Q39" s="1571" t="str">
        <f t="shared" si="11"/>
        <v>层高</v>
      </c>
      <c r="R39" s="1572" t="s">
        <v>8</v>
      </c>
      <c r="S39" s="1573">
        <f t="shared" si="12"/>
        <v>100</v>
      </c>
      <c r="T39" s="1572" t="s">
        <v>8</v>
      </c>
      <c r="U39" s="1573">
        <f t="shared" si="13"/>
        <v>100</v>
      </c>
      <c r="V39" s="1572" t="s">
        <v>8</v>
      </c>
      <c r="W39" s="1573">
        <f t="shared" si="14"/>
        <v>100</v>
      </c>
      <c r="X39" s="1566"/>
      <c r="Y39" s="3420"/>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0"/>
      <c r="Q40" s="1571" t="str">
        <f t="shared" si="11"/>
        <v>单套建筑面积</v>
      </c>
      <c r="R40" s="1572" t="s">
        <v>8</v>
      </c>
      <c r="S40" s="1573">
        <f t="shared" si="12"/>
        <v>100</v>
      </c>
      <c r="T40" s="1572" t="s">
        <v>8</v>
      </c>
      <c r="U40" s="1573">
        <f t="shared" si="13"/>
        <v>100</v>
      </c>
      <c r="V40" s="1572" t="s">
        <v>8</v>
      </c>
      <c r="W40" s="1573">
        <f t="shared" si="14"/>
        <v>100</v>
      </c>
      <c r="X40" s="1566"/>
      <c r="Y40" s="3420"/>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0"/>
      <c r="Q41" s="1604" t="str">
        <f t="shared" si="11"/>
        <v>进深比</v>
      </c>
      <c r="R41" s="1576" t="s">
        <v>8</v>
      </c>
      <c r="S41" s="1577">
        <f t="shared" si="12"/>
        <v>100</v>
      </c>
      <c r="T41" s="1576" t="s">
        <v>8</v>
      </c>
      <c r="U41" s="1577">
        <f t="shared" si="13"/>
        <v>100</v>
      </c>
      <c r="V41" s="1576" t="s">
        <v>8</v>
      </c>
      <c r="W41" s="1577">
        <f t="shared" si="14"/>
        <v>100</v>
      </c>
      <c r="X41" s="1578"/>
      <c r="Y41" s="3420"/>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0"/>
      <c r="Q42" s="1571" t="str">
        <f t="shared" si="11"/>
        <v>内部装修</v>
      </c>
      <c r="R42" s="1572" t="s">
        <v>8</v>
      </c>
      <c r="S42" s="1573">
        <f t="shared" si="12"/>
        <v>100</v>
      </c>
      <c r="T42" s="1572" t="s">
        <v>8</v>
      </c>
      <c r="U42" s="1573">
        <f t="shared" si="13"/>
        <v>100</v>
      </c>
      <c r="V42" s="1572" t="s">
        <v>8</v>
      </c>
      <c r="W42" s="1573">
        <f t="shared" si="14"/>
        <v>100</v>
      </c>
      <c r="X42" s="1566"/>
      <c r="Y42" s="3420"/>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0"/>
      <c r="Q43" s="1571" t="str">
        <f t="shared" si="11"/>
        <v>内部装修维护情况</v>
      </c>
      <c r="R43" s="1572" t="s">
        <v>8</v>
      </c>
      <c r="S43" s="1573">
        <f t="shared" si="12"/>
        <v>100</v>
      </c>
      <c r="T43" s="1572" t="s">
        <v>8</v>
      </c>
      <c r="U43" s="1573">
        <f t="shared" si="13"/>
        <v>100</v>
      </c>
      <c r="V43" s="1572" t="s">
        <v>8</v>
      </c>
      <c r="W43" s="1573">
        <f t="shared" si="14"/>
        <v>100</v>
      </c>
      <c r="X43" s="1566"/>
      <c r="Y43" s="3420"/>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0"/>
      <c r="Q44" s="1150">
        <f t="shared" si="11"/>
        <v>111</v>
      </c>
      <c r="R44" s="1567" t="s">
        <v>8</v>
      </c>
      <c r="S44" s="1568">
        <f t="shared" si="12"/>
        <v>100</v>
      </c>
      <c r="T44" s="1567" t="s">
        <v>8</v>
      </c>
      <c r="U44" s="1568">
        <f t="shared" si="13"/>
        <v>100</v>
      </c>
      <c r="V44" s="1567" t="s">
        <v>8</v>
      </c>
      <c r="W44" s="1568">
        <f t="shared" si="14"/>
        <v>100</v>
      </c>
      <c r="X44" s="1569"/>
      <c r="Y44" s="342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0"/>
      <c r="Q45" s="1571">
        <f t="shared" si="11"/>
        <v>111</v>
      </c>
      <c r="R45" s="1572" t="s">
        <v>8</v>
      </c>
      <c r="S45" s="1573">
        <f t="shared" si="12"/>
        <v>100</v>
      </c>
      <c r="T45" s="1572" t="s">
        <v>8</v>
      </c>
      <c r="U45" s="1573">
        <f t="shared" si="13"/>
        <v>100</v>
      </c>
      <c r="V45" s="1572" t="s">
        <v>8</v>
      </c>
      <c r="W45" s="1573">
        <f t="shared" si="14"/>
        <v>100</v>
      </c>
      <c r="X45" s="1566"/>
      <c r="Y45" s="3420"/>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5"/>
      <c r="Q46" s="1571">
        <f t="shared" si="11"/>
        <v>111</v>
      </c>
      <c r="R46" s="1572" t="s">
        <v>8</v>
      </c>
      <c r="S46" s="1573">
        <f t="shared" si="12"/>
        <v>100</v>
      </c>
      <c r="T46" s="1572" t="s">
        <v>8</v>
      </c>
      <c r="U46" s="1573">
        <f t="shared" si="13"/>
        <v>100</v>
      </c>
      <c r="V46" s="1572" t="s">
        <v>8</v>
      </c>
      <c r="W46" s="1573">
        <f t="shared" si="14"/>
        <v>100</v>
      </c>
      <c r="X46" s="1566"/>
      <c r="Y46" s="3495"/>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15" t="str">
        <f>A47</f>
        <v>成交单价（元/平方米）</v>
      </c>
      <c r="Q47" s="3415"/>
      <c r="R47" s="3494">
        <f>E47</f>
        <v>0</v>
      </c>
      <c r="S47" s="3494"/>
      <c r="T47" s="3494">
        <f>G47</f>
        <v>0</v>
      </c>
      <c r="U47" s="3494"/>
      <c r="V47" s="3494">
        <f>I47</f>
        <v>0</v>
      </c>
      <c r="W47" s="3494"/>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15" t="str">
        <f>A48</f>
        <v>比较价格（元/平方米）</v>
      </c>
      <c r="Q48" s="3415"/>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36" t="str">
        <f>A49</f>
        <v>估价对象XX用房的比较价格（楼面单价，元/平方米）</v>
      </c>
      <c r="Q49" s="3437"/>
      <c r="R49" s="3493" t="e">
        <f>IF(F1="售价",ROUND(AVERAGE(R48:V48),0),ROUND(AVERAGE(R48:V48),1))</f>
        <v>#DIV/0!</v>
      </c>
      <c r="S49" s="3493"/>
      <c r="T49" s="3493"/>
      <c r="U49" s="3493"/>
      <c r="V49" s="3493"/>
      <c r="W49" s="349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21" t="s">
        <v>522</v>
      </c>
      <c r="D4" s="3422"/>
      <c r="E4" s="3445" t="s">
        <v>523</v>
      </c>
      <c r="F4" s="3446"/>
      <c r="G4" s="3421" t="s">
        <v>524</v>
      </c>
      <c r="H4" s="3422"/>
      <c r="I4" s="3421" t="s">
        <v>525</v>
      </c>
      <c r="J4" s="3422"/>
      <c r="K4" s="514"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05" t="s">
        <v>524</v>
      </c>
      <c r="AC4" s="3404" t="s">
        <v>525</v>
      </c>
    </row>
    <row r="5" spans="1:29" ht="15">
      <c r="A5" s="515"/>
      <c r="B5" s="516"/>
      <c r="C5" s="3432" t="s">
        <v>2932</v>
      </c>
      <c r="D5" s="3433"/>
      <c r="E5" s="3447" t="s">
        <v>2933</v>
      </c>
      <c r="F5" s="3448"/>
      <c r="G5" s="3432" t="s">
        <v>2934</v>
      </c>
      <c r="H5" s="3433"/>
      <c r="I5" s="3432" t="s">
        <v>2935</v>
      </c>
      <c r="J5" s="3433"/>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2936</v>
      </c>
      <c r="D6" s="3431"/>
      <c r="E6" s="3449" t="s">
        <v>2936</v>
      </c>
      <c r="F6" s="3450"/>
      <c r="G6" s="3430" t="s">
        <v>2936</v>
      </c>
      <c r="H6" s="3431"/>
      <c r="I6" s="3430" t="s">
        <v>2936</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19" customFormat="1" ht="15.75" thickBot="1">
      <c r="A7" s="2890"/>
      <c r="B7" s="2897" t="s">
        <v>529</v>
      </c>
      <c r="C7" s="519">
        <f>'数据-取费表'!B2</f>
        <v>43438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7" t="s">
        <v>530</v>
      </c>
      <c r="Q7" s="3416"/>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5" t="s">
        <v>535</v>
      </c>
      <c r="Q9" s="1150" t="str">
        <f t="shared" ref="Q9:Q15" si="6">B9</f>
        <v>用途</v>
      </c>
      <c r="R9" s="1567" t="s">
        <v>8</v>
      </c>
      <c r="S9" s="1568">
        <f t="shared" si="0"/>
        <v>100</v>
      </c>
      <c r="T9" s="1567" t="s">
        <v>8</v>
      </c>
      <c r="U9" s="1568">
        <f t="shared" si="1"/>
        <v>100</v>
      </c>
      <c r="V9" s="1567" t="s">
        <v>8</v>
      </c>
      <c r="W9" s="1568">
        <f t="shared" si="2"/>
        <v>100</v>
      </c>
      <c r="X9" s="1569"/>
      <c r="Y9" s="3366"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5"/>
      <c r="Q11" s="1150" t="str">
        <f t="shared" si="6"/>
        <v>容积率</v>
      </c>
      <c r="R11" s="1567" t="s">
        <v>8</v>
      </c>
      <c r="S11" s="1568" t="e">
        <f t="shared" si="0"/>
        <v>#N/A</v>
      </c>
      <c r="T11" s="1567" t="s">
        <v>8</v>
      </c>
      <c r="U11" s="1568" t="e">
        <f t="shared" si="1"/>
        <v>#N/A</v>
      </c>
      <c r="V11" s="1567" t="s">
        <v>8</v>
      </c>
      <c r="W11" s="1568" t="e">
        <f t="shared" si="2"/>
        <v>#N/A</v>
      </c>
      <c r="X11" s="1569"/>
      <c r="Y11" s="3366"/>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15"/>
      <c r="Q12" s="1150">
        <f t="shared" si="6"/>
        <v>111</v>
      </c>
      <c r="R12" s="1567" t="s">
        <v>8</v>
      </c>
      <c r="S12" s="1568">
        <f t="shared" si="0"/>
        <v>100</v>
      </c>
      <c r="T12" s="1567" t="s">
        <v>8</v>
      </c>
      <c r="U12" s="1568">
        <f t="shared" si="1"/>
        <v>100</v>
      </c>
      <c r="V12" s="1567" t="s">
        <v>8</v>
      </c>
      <c r="W12" s="1568">
        <f t="shared" si="2"/>
        <v>100</v>
      </c>
      <c r="X12" s="1569"/>
      <c r="Y12" s="3366"/>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15"/>
      <c r="Q13" s="1150">
        <f t="shared" si="6"/>
        <v>111</v>
      </c>
      <c r="R13" s="1567" t="s">
        <v>8</v>
      </c>
      <c r="S13" s="1568">
        <f t="shared" si="0"/>
        <v>100</v>
      </c>
      <c r="T13" s="1567" t="s">
        <v>8</v>
      </c>
      <c r="U13" s="1568">
        <f t="shared" si="1"/>
        <v>100</v>
      </c>
      <c r="V13" s="1567" t="s">
        <v>8</v>
      </c>
      <c r="W13" s="1568">
        <f t="shared" si="2"/>
        <v>100</v>
      </c>
      <c r="X13" s="1569"/>
      <c r="Y13" s="3366"/>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15"/>
      <c r="Q14" s="1150">
        <f t="shared" si="6"/>
        <v>111</v>
      </c>
      <c r="R14" s="1567" t="s">
        <v>8</v>
      </c>
      <c r="S14" s="1568">
        <f t="shared" si="0"/>
        <v>100</v>
      </c>
      <c r="T14" s="1567" t="s">
        <v>8</v>
      </c>
      <c r="U14" s="1568">
        <f t="shared" si="1"/>
        <v>100</v>
      </c>
      <c r="V14" s="1567" t="s">
        <v>8</v>
      </c>
      <c r="W14" s="1568">
        <f t="shared" si="2"/>
        <v>100</v>
      </c>
      <c r="X14" s="1569"/>
      <c r="Y14" s="3366"/>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17" t="s">
        <v>540</v>
      </c>
      <c r="Q15" s="1571" t="str">
        <f t="shared" si="6"/>
        <v>产业集聚程度</v>
      </c>
      <c r="R15" s="1572" t="s">
        <v>8</v>
      </c>
      <c r="S15" s="1573">
        <f t="shared" si="0"/>
        <v>100</v>
      </c>
      <c r="T15" s="1572" t="s">
        <v>8</v>
      </c>
      <c r="U15" s="1573">
        <f t="shared" si="1"/>
        <v>100</v>
      </c>
      <c r="V15" s="1572" t="s">
        <v>8</v>
      </c>
      <c r="W15" s="1573">
        <f t="shared" si="2"/>
        <v>100</v>
      </c>
      <c r="X15" s="1566"/>
      <c r="Y15" s="341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18"/>
      <c r="Q16" s="1571"/>
      <c r="R16" s="1572"/>
      <c r="S16" s="1573"/>
      <c r="T16" s="1572"/>
      <c r="U16" s="1573"/>
      <c r="V16" s="1572"/>
      <c r="W16" s="1573"/>
      <c r="X16" s="1566"/>
      <c r="Y16" s="3418"/>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18"/>
      <c r="Q18" s="1571"/>
      <c r="R18" s="1572"/>
      <c r="S18" s="1573"/>
      <c r="T18" s="1572"/>
      <c r="U18" s="1573"/>
      <c r="V18" s="1572"/>
      <c r="W18" s="1573"/>
      <c r="X18" s="1566"/>
      <c r="Y18" s="3418"/>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18"/>
      <c r="Q20" s="1571"/>
      <c r="R20" s="1572"/>
      <c r="S20" s="1573"/>
      <c r="T20" s="1572"/>
      <c r="U20" s="1573"/>
      <c r="V20" s="1572"/>
      <c r="W20" s="1573"/>
      <c r="X20" s="1566"/>
      <c r="Y20" s="3418"/>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18"/>
      <c r="Q21" s="2557" t="str">
        <f>B21</f>
        <v>基础设施水平</v>
      </c>
      <c r="R21" s="1572" t="s">
        <v>8</v>
      </c>
      <c r="S21" s="1573">
        <f>F21</f>
        <v>100</v>
      </c>
      <c r="T21" s="1572" t="s">
        <v>8</v>
      </c>
      <c r="U21" s="1573">
        <f>H21</f>
        <v>100</v>
      </c>
      <c r="V21" s="1572" t="s">
        <v>8</v>
      </c>
      <c r="W21" s="1573">
        <f>J21</f>
        <v>100</v>
      </c>
      <c r="X21" s="2559"/>
      <c r="Y21" s="3418"/>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18"/>
      <c r="Q22" s="2557"/>
      <c r="R22" s="1572"/>
      <c r="S22" s="1573"/>
      <c r="T22" s="1572"/>
      <c r="U22" s="1573"/>
      <c r="V22" s="1572"/>
      <c r="W22" s="1573"/>
      <c r="X22" s="2559"/>
      <c r="Y22" s="3418"/>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8"/>
      <c r="Q25" s="1571">
        <f>B25</f>
        <v>111</v>
      </c>
      <c r="R25" s="1572" t="s">
        <v>8</v>
      </c>
      <c r="S25" s="1573">
        <f>F25</f>
        <v>100</v>
      </c>
      <c r="T25" s="1572" t="s">
        <v>8</v>
      </c>
      <c r="U25" s="1573">
        <f>H25</f>
        <v>100</v>
      </c>
      <c r="V25" s="1572" t="s">
        <v>8</v>
      </c>
      <c r="W25" s="1573">
        <f>J25</f>
        <v>100</v>
      </c>
      <c r="X25" s="1566"/>
      <c r="Y25" s="341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8"/>
      <c r="Q26" s="1571">
        <f t="shared" ref="Q26:Q40" si="11">B26</f>
        <v>111</v>
      </c>
      <c r="R26" s="1572" t="s">
        <v>8</v>
      </c>
      <c r="S26" s="1573">
        <f>F26</f>
        <v>100</v>
      </c>
      <c r="T26" s="1572" t="s">
        <v>8</v>
      </c>
      <c r="U26" s="1573">
        <f>H26</f>
        <v>100</v>
      </c>
      <c r="V26" s="1572" t="s">
        <v>8</v>
      </c>
      <c r="W26" s="1573">
        <f>J26</f>
        <v>100</v>
      </c>
      <c r="X26" s="1566"/>
      <c r="Y26" s="341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8"/>
      <c r="Q27" s="1150">
        <f t="shared" si="11"/>
        <v>111</v>
      </c>
      <c r="R27" s="1567" t="s">
        <v>8</v>
      </c>
      <c r="S27" s="1568">
        <f>F27</f>
        <v>100</v>
      </c>
      <c r="T27" s="1567" t="s">
        <v>8</v>
      </c>
      <c r="U27" s="1568">
        <f>H27</f>
        <v>100</v>
      </c>
      <c r="V27" s="1567" t="s">
        <v>8</v>
      </c>
      <c r="W27" s="1568">
        <f>J27</f>
        <v>100</v>
      </c>
      <c r="X27" s="1569"/>
      <c r="Y27" s="341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18"/>
      <c r="Q28" s="1571">
        <f t="shared" si="11"/>
        <v>111</v>
      </c>
      <c r="R28" s="1572" t="s">
        <v>8</v>
      </c>
      <c r="S28" s="1573">
        <f t="shared" ref="S28:S40" si="12">F28</f>
        <v>100</v>
      </c>
      <c r="T28" s="1572" t="s">
        <v>8</v>
      </c>
      <c r="U28" s="1573">
        <f t="shared" ref="U28:U40" si="13">H28</f>
        <v>100</v>
      </c>
      <c r="V28" s="1572" t="s">
        <v>8</v>
      </c>
      <c r="W28" s="1573">
        <f t="shared" ref="W28:W40" si="14">J28</f>
        <v>100</v>
      </c>
      <c r="X28" s="1566"/>
      <c r="Y28" s="3418"/>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19" t="s">
        <v>550</v>
      </c>
      <c r="Q29" s="1571" t="str">
        <f t="shared" si="11"/>
        <v>建筑类型</v>
      </c>
      <c r="R29" s="1572" t="s">
        <v>8</v>
      </c>
      <c r="S29" s="1573">
        <f t="shared" si="12"/>
        <v>100</v>
      </c>
      <c r="T29" s="1572" t="s">
        <v>8</v>
      </c>
      <c r="U29" s="1573">
        <f t="shared" si="13"/>
        <v>100</v>
      </c>
      <c r="V29" s="1572" t="s">
        <v>8</v>
      </c>
      <c r="W29" s="1573">
        <f t="shared" si="14"/>
        <v>100</v>
      </c>
      <c r="X29" s="1566"/>
      <c r="Y29" s="3420"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0"/>
      <c r="Q30" s="1604" t="str">
        <f t="shared" si="11"/>
        <v>项目建筑规模</v>
      </c>
      <c r="R30" s="1576" t="s">
        <v>8</v>
      </c>
      <c r="S30" s="1577" t="e">
        <f t="shared" si="12"/>
        <v>#N/A</v>
      </c>
      <c r="T30" s="1576" t="s">
        <v>8</v>
      </c>
      <c r="U30" s="1577" t="e">
        <f t="shared" si="13"/>
        <v>#N/A</v>
      </c>
      <c r="V30" s="1576" t="s">
        <v>8</v>
      </c>
      <c r="W30" s="1577" t="e">
        <f t="shared" si="14"/>
        <v>#N/A</v>
      </c>
      <c r="X30" s="1578"/>
      <c r="Y30" s="3420"/>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0"/>
      <c r="Q31" s="1571" t="str">
        <f t="shared" si="11"/>
        <v>建筑结构</v>
      </c>
      <c r="R31" s="1572" t="s">
        <v>8</v>
      </c>
      <c r="S31" s="1573">
        <f t="shared" si="12"/>
        <v>100</v>
      </c>
      <c r="T31" s="1572" t="s">
        <v>8</v>
      </c>
      <c r="U31" s="1573">
        <f t="shared" si="13"/>
        <v>100</v>
      </c>
      <c r="V31" s="1572" t="s">
        <v>8</v>
      </c>
      <c r="W31" s="1573">
        <f t="shared" si="14"/>
        <v>100</v>
      </c>
      <c r="X31" s="1566"/>
      <c r="Y31" s="3420"/>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0"/>
      <c r="Q32" s="1571" t="str">
        <f t="shared" si="11"/>
        <v>公共部分装修</v>
      </c>
      <c r="R32" s="1572" t="s">
        <v>8</v>
      </c>
      <c r="S32" s="1573">
        <f t="shared" si="12"/>
        <v>100</v>
      </c>
      <c r="T32" s="1572" t="s">
        <v>8</v>
      </c>
      <c r="U32" s="1573">
        <f t="shared" si="13"/>
        <v>100</v>
      </c>
      <c r="V32" s="1572" t="s">
        <v>8</v>
      </c>
      <c r="W32" s="1573">
        <f t="shared" si="14"/>
        <v>100</v>
      </c>
      <c r="X32" s="1566"/>
      <c r="Y32" s="3420"/>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0"/>
      <c r="Q33" s="1571" t="str">
        <f t="shared" si="11"/>
        <v>成新度</v>
      </c>
      <c r="R33" s="1572" t="s">
        <v>8</v>
      </c>
      <c r="S33" s="1573" t="e">
        <f t="shared" si="12"/>
        <v>#N/A</v>
      </c>
      <c r="T33" s="1572" t="s">
        <v>8</v>
      </c>
      <c r="U33" s="1573" t="e">
        <f t="shared" si="13"/>
        <v>#N/A</v>
      </c>
      <c r="V33" s="1572" t="s">
        <v>8</v>
      </c>
      <c r="W33" s="1573" t="e">
        <f t="shared" si="14"/>
        <v>#N/A</v>
      </c>
      <c r="X33" s="1566"/>
      <c r="Y33" s="3420"/>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0"/>
      <c r="Q34" s="1150" t="str">
        <f t="shared" si="11"/>
        <v>物业管理</v>
      </c>
      <c r="R34" s="1567" t="s">
        <v>8</v>
      </c>
      <c r="S34" s="1568">
        <f t="shared" si="12"/>
        <v>100</v>
      </c>
      <c r="T34" s="1567" t="s">
        <v>8</v>
      </c>
      <c r="U34" s="1568">
        <f t="shared" si="13"/>
        <v>100</v>
      </c>
      <c r="V34" s="1567" t="s">
        <v>8</v>
      </c>
      <c r="W34" s="1568">
        <f t="shared" si="14"/>
        <v>100</v>
      </c>
      <c r="X34" s="1569"/>
      <c r="Y34" s="3420"/>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0" t="s">
        <v>550</v>
      </c>
      <c r="Q35" s="1571" t="str">
        <f t="shared" si="11"/>
        <v>市政基础设施</v>
      </c>
      <c r="R35" s="1572" t="s">
        <v>8</v>
      </c>
      <c r="S35" s="1573">
        <f t="shared" si="12"/>
        <v>100</v>
      </c>
      <c r="T35" s="1572" t="s">
        <v>8</v>
      </c>
      <c r="U35" s="1573">
        <f t="shared" si="13"/>
        <v>100</v>
      </c>
      <c r="V35" s="1572" t="s">
        <v>8</v>
      </c>
      <c r="W35" s="1573">
        <f t="shared" si="14"/>
        <v>100</v>
      </c>
      <c r="X35" s="1566"/>
      <c r="Y35" s="3420"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0"/>
      <c r="Q36" s="1571" t="str">
        <f t="shared" si="11"/>
        <v>内部装修</v>
      </c>
      <c r="R36" s="1572" t="s">
        <v>8</v>
      </c>
      <c r="S36" s="1573">
        <f t="shared" si="12"/>
        <v>100</v>
      </c>
      <c r="T36" s="1572" t="s">
        <v>8</v>
      </c>
      <c r="U36" s="1573">
        <f t="shared" si="13"/>
        <v>100</v>
      </c>
      <c r="V36" s="1572" t="s">
        <v>8</v>
      </c>
      <c r="W36" s="1573">
        <f t="shared" si="14"/>
        <v>100</v>
      </c>
      <c r="X36" s="1566"/>
      <c r="Y36" s="3420"/>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0"/>
      <c r="Q37" s="1571" t="str">
        <f t="shared" si="11"/>
        <v>内部装修状况</v>
      </c>
      <c r="R37" s="1572" t="s">
        <v>8</v>
      </c>
      <c r="S37" s="1573">
        <f t="shared" si="12"/>
        <v>100</v>
      </c>
      <c r="T37" s="1572" t="s">
        <v>8</v>
      </c>
      <c r="U37" s="1573">
        <f t="shared" si="13"/>
        <v>100</v>
      </c>
      <c r="V37" s="1572" t="s">
        <v>8</v>
      </c>
      <c r="W37" s="1573">
        <f t="shared" si="14"/>
        <v>100</v>
      </c>
      <c r="X37" s="1566"/>
      <c r="Y37" s="3420"/>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0"/>
      <c r="Q38" s="1604">
        <f t="shared" si="11"/>
        <v>111</v>
      </c>
      <c r="R38" s="1576" t="s">
        <v>8</v>
      </c>
      <c r="S38" s="1577">
        <f t="shared" si="12"/>
        <v>100</v>
      </c>
      <c r="T38" s="1576" t="s">
        <v>8</v>
      </c>
      <c r="U38" s="1577">
        <f t="shared" si="13"/>
        <v>100</v>
      </c>
      <c r="V38" s="1576" t="s">
        <v>8</v>
      </c>
      <c r="W38" s="1577">
        <f t="shared" si="14"/>
        <v>100</v>
      </c>
      <c r="X38" s="1578"/>
      <c r="Y38" s="3420"/>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0"/>
      <c r="Q39" s="1571">
        <f t="shared" si="11"/>
        <v>111</v>
      </c>
      <c r="R39" s="1572" t="s">
        <v>8</v>
      </c>
      <c r="S39" s="1573">
        <f t="shared" si="12"/>
        <v>100</v>
      </c>
      <c r="T39" s="1572" t="s">
        <v>8</v>
      </c>
      <c r="U39" s="1573">
        <f t="shared" si="13"/>
        <v>100</v>
      </c>
      <c r="V39" s="1572" t="s">
        <v>8</v>
      </c>
      <c r="W39" s="1573">
        <f t="shared" si="14"/>
        <v>100</v>
      </c>
      <c r="X39" s="1566"/>
      <c r="Y39" s="3420"/>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95"/>
      <c r="Q40" s="1571">
        <f t="shared" si="11"/>
        <v>111</v>
      </c>
      <c r="R40" s="1572" t="s">
        <v>8</v>
      </c>
      <c r="S40" s="1573">
        <f t="shared" si="12"/>
        <v>100</v>
      </c>
      <c r="T40" s="1572" t="s">
        <v>8</v>
      </c>
      <c r="U40" s="1573">
        <f t="shared" si="13"/>
        <v>100</v>
      </c>
      <c r="V40" s="1572" t="s">
        <v>8</v>
      </c>
      <c r="W40" s="1573">
        <f t="shared" si="14"/>
        <v>100</v>
      </c>
      <c r="X40" s="1566"/>
      <c r="Y40" s="3495"/>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15" t="str">
        <f>A41</f>
        <v>成交单价（元/平方米）</v>
      </c>
      <c r="Q41" s="3415"/>
      <c r="R41" s="3494">
        <f>E41</f>
        <v>0</v>
      </c>
      <c r="S41" s="3494"/>
      <c r="T41" s="3494">
        <f>G41</f>
        <v>0</v>
      </c>
      <c r="U41" s="3494"/>
      <c r="V41" s="3494">
        <f>I41</f>
        <v>0</v>
      </c>
      <c r="W41" s="3494"/>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15" t="str">
        <f>A42</f>
        <v>比较价格（元/平方米）</v>
      </c>
      <c r="Q42" s="3415"/>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36" t="str">
        <f>A43</f>
        <v>估价对象XX用房的比较价格（楼面单价，元/平方米）</v>
      </c>
      <c r="Q43" s="3437"/>
      <c r="R43" s="3493" t="e">
        <f>IF(F1="售价",ROUND(AVERAGE(R42:V42),0),ROUND(AVERAGE(R42:V42),1))</f>
        <v>#DIV/0!</v>
      </c>
      <c r="S43" s="3493"/>
      <c r="T43" s="3493"/>
      <c r="U43" s="3493"/>
      <c r="V43" s="3493"/>
      <c r="W43" s="349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2018-12</v>
      </c>
      <c r="D52" s="2782">
        <f>EDATE(C52,-1)</f>
        <v>43405</v>
      </c>
      <c r="E52" s="2782">
        <f t="shared" ref="E52:O52" si="16">EDATE(D52,-1)</f>
        <v>43374</v>
      </c>
      <c r="F52" s="2782">
        <f t="shared" si="16"/>
        <v>43344</v>
      </c>
      <c r="G52" s="2782">
        <f t="shared" si="16"/>
        <v>43313</v>
      </c>
      <c r="H52" s="2782">
        <f t="shared" si="16"/>
        <v>43282</v>
      </c>
      <c r="I52" s="2782">
        <f t="shared" si="16"/>
        <v>43252</v>
      </c>
      <c r="J52" s="2782">
        <f t="shared" si="16"/>
        <v>43221</v>
      </c>
      <c r="K52" s="2782">
        <f t="shared" si="16"/>
        <v>43191</v>
      </c>
      <c r="L52" s="2782">
        <f t="shared" si="16"/>
        <v>43160</v>
      </c>
      <c r="M52" s="2782">
        <f t="shared" si="16"/>
        <v>43132</v>
      </c>
      <c r="N52" s="2782">
        <f t="shared" si="16"/>
        <v>43101</v>
      </c>
      <c r="O52" s="2782">
        <f t="shared" si="16"/>
        <v>43070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1" t="s">
        <v>798</v>
      </c>
      <c r="D4" s="3422"/>
      <c r="E4" s="3421" t="s">
        <v>799</v>
      </c>
      <c r="F4" s="3422"/>
      <c r="G4" s="3421" t="s">
        <v>800</v>
      </c>
      <c r="H4" s="3422"/>
      <c r="I4" s="3421" t="s">
        <v>801</v>
      </c>
      <c r="J4" s="3422"/>
      <c r="K4" s="514" t="s">
        <v>802</v>
      </c>
      <c r="L4" s="2132"/>
      <c r="M4" s="2133"/>
      <c r="N4" s="2133"/>
      <c r="O4" s="2133"/>
      <c r="P4" s="3423" t="s">
        <v>803</v>
      </c>
      <c r="Q4" s="3424"/>
      <c r="R4" s="3409" t="s">
        <v>799</v>
      </c>
      <c r="S4" s="3410"/>
      <c r="T4" s="3409" t="s">
        <v>800</v>
      </c>
      <c r="U4" s="3410"/>
      <c r="V4" s="3429" t="s">
        <v>801</v>
      </c>
      <c r="W4" s="3429"/>
      <c r="X4" s="1566"/>
      <c r="Y4" s="3409" t="s">
        <v>803</v>
      </c>
      <c r="Z4" s="3410"/>
      <c r="AA4" s="3404" t="s">
        <v>799</v>
      </c>
      <c r="AB4" s="3405" t="s">
        <v>800</v>
      </c>
      <c r="AC4" s="3404" t="s">
        <v>801</v>
      </c>
    </row>
    <row r="5" spans="1:29" ht="15">
      <c r="A5" s="515"/>
      <c r="B5" s="516"/>
      <c r="C5" s="3432" t="s">
        <v>2932</v>
      </c>
      <c r="D5" s="3433"/>
      <c r="E5" s="3432" t="s">
        <v>2933</v>
      </c>
      <c r="F5" s="3433"/>
      <c r="G5" s="3432" t="s">
        <v>2934</v>
      </c>
      <c r="H5" s="3433"/>
      <c r="I5" s="3432" t="s">
        <v>2935</v>
      </c>
      <c r="J5" s="3433"/>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2936</v>
      </c>
      <c r="D6" s="3431"/>
      <c r="E6" s="3434" t="s">
        <v>2936</v>
      </c>
      <c r="F6" s="3435"/>
      <c r="G6" s="3430" t="s">
        <v>2936</v>
      </c>
      <c r="H6" s="3431"/>
      <c r="I6" s="3430" t="s">
        <v>2936</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19" customFormat="1" ht="15.75" thickBot="1">
      <c r="A7" s="2890"/>
      <c r="B7" s="2897" t="s">
        <v>529</v>
      </c>
      <c r="C7" s="519">
        <f>'数据-取费表'!B2</f>
        <v>43438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7" t="s">
        <v>530</v>
      </c>
      <c r="Q7" s="3416"/>
      <c r="R7" s="1567" t="s">
        <v>8</v>
      </c>
      <c r="S7" s="1568">
        <f t="shared" ref="S7:S14" si="0">F7</f>
        <v>0</v>
      </c>
      <c r="T7" s="1567" t="s">
        <v>8</v>
      </c>
      <c r="U7" s="1568">
        <f t="shared" ref="U7:U14" si="1">H7</f>
        <v>0</v>
      </c>
      <c r="V7" s="1567" t="s">
        <v>8</v>
      </c>
      <c r="W7" s="1568">
        <f t="shared" ref="W7:W14" si="2">J7</f>
        <v>0</v>
      </c>
      <c r="X7" s="1569"/>
      <c r="Y7" s="3407" t="s">
        <v>530</v>
      </c>
      <c r="Z7" s="3408"/>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5" t="s">
        <v>535</v>
      </c>
      <c r="Q9" s="1150" t="str">
        <f t="shared" ref="Q9:Q14" si="6">B9</f>
        <v>用途</v>
      </c>
      <c r="R9" s="1567" t="s">
        <v>8</v>
      </c>
      <c r="S9" s="1568">
        <f t="shared" si="0"/>
        <v>100</v>
      </c>
      <c r="T9" s="1567" t="s">
        <v>8</v>
      </c>
      <c r="U9" s="1568">
        <f t="shared" si="1"/>
        <v>100</v>
      </c>
      <c r="V9" s="1567" t="s">
        <v>8</v>
      </c>
      <c r="W9" s="1568">
        <f t="shared" si="2"/>
        <v>100</v>
      </c>
      <c r="X9" s="1569"/>
      <c r="Y9" s="3366"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5"/>
      <c r="Q11" s="1150">
        <f t="shared" si="6"/>
        <v>111</v>
      </c>
      <c r="R11" s="1567" t="s">
        <v>8</v>
      </c>
      <c r="S11" s="1568">
        <f t="shared" si="0"/>
        <v>100</v>
      </c>
      <c r="T11" s="1567" t="s">
        <v>8</v>
      </c>
      <c r="U11" s="1568">
        <f t="shared" si="1"/>
        <v>100</v>
      </c>
      <c r="V11" s="1567" t="s">
        <v>8</v>
      </c>
      <c r="W11" s="1568">
        <f t="shared" si="2"/>
        <v>100</v>
      </c>
      <c r="X11" s="1569"/>
      <c r="Y11" s="3366"/>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5"/>
      <c r="Q12" s="1150">
        <f t="shared" si="6"/>
        <v>111</v>
      </c>
      <c r="R12" s="1567" t="s">
        <v>8</v>
      </c>
      <c r="S12" s="1568">
        <f t="shared" si="0"/>
        <v>100</v>
      </c>
      <c r="T12" s="1567" t="s">
        <v>8</v>
      </c>
      <c r="U12" s="1568">
        <f t="shared" si="1"/>
        <v>100</v>
      </c>
      <c r="V12" s="1567" t="s">
        <v>8</v>
      </c>
      <c r="W12" s="1568">
        <f t="shared" si="2"/>
        <v>100</v>
      </c>
      <c r="X12" s="1569"/>
      <c r="Y12" s="3366"/>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5"/>
      <c r="Q13" s="1150">
        <f t="shared" si="6"/>
        <v>111</v>
      </c>
      <c r="R13" s="1567" t="s">
        <v>8</v>
      </c>
      <c r="S13" s="1568">
        <f t="shared" si="0"/>
        <v>100</v>
      </c>
      <c r="T13" s="1567" t="s">
        <v>8</v>
      </c>
      <c r="U13" s="1568">
        <f t="shared" si="1"/>
        <v>100</v>
      </c>
      <c r="V13" s="1567" t="s">
        <v>8</v>
      </c>
      <c r="W13" s="1568">
        <f t="shared" si="2"/>
        <v>100</v>
      </c>
      <c r="X13" s="1569"/>
      <c r="Y13" s="3366"/>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17" t="s">
        <v>540</v>
      </c>
      <c r="Q14" s="1571" t="str">
        <f t="shared" si="6"/>
        <v>交通便捷度</v>
      </c>
      <c r="R14" s="1572" t="s">
        <v>8</v>
      </c>
      <c r="S14" s="1573">
        <f t="shared" si="0"/>
        <v>100</v>
      </c>
      <c r="T14" s="1572" t="s">
        <v>8</v>
      </c>
      <c r="U14" s="1573">
        <f t="shared" si="1"/>
        <v>100</v>
      </c>
      <c r="V14" s="1572" t="s">
        <v>8</v>
      </c>
      <c r="W14" s="1573">
        <f t="shared" si="2"/>
        <v>100</v>
      </c>
      <c r="X14" s="1566"/>
      <c r="Y14" s="3417"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18"/>
      <c r="Q15" s="1571"/>
      <c r="R15" s="1572"/>
      <c r="S15" s="1573"/>
      <c r="T15" s="1572"/>
      <c r="U15" s="1573"/>
      <c r="V15" s="1572"/>
      <c r="W15" s="1573"/>
      <c r="X15" s="1566"/>
      <c r="Y15" s="3418"/>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18"/>
      <c r="Q17" s="1571"/>
      <c r="R17" s="1572"/>
      <c r="S17" s="1573"/>
      <c r="T17" s="1572"/>
      <c r="U17" s="1573"/>
      <c r="V17" s="1572"/>
      <c r="W17" s="1573"/>
      <c r="X17" s="1566"/>
      <c r="Y17" s="3418"/>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18"/>
      <c r="Q18" s="2557" t="str">
        <f>B18</f>
        <v>基础设施水平</v>
      </c>
      <c r="R18" s="1572" t="s">
        <v>8</v>
      </c>
      <c r="S18" s="1573">
        <f>F18</f>
        <v>100</v>
      </c>
      <c r="T18" s="1572" t="s">
        <v>8</v>
      </c>
      <c r="U18" s="1573">
        <f>H18</f>
        <v>100</v>
      </c>
      <c r="V18" s="1572" t="s">
        <v>8</v>
      </c>
      <c r="W18" s="1573">
        <f>J18</f>
        <v>100</v>
      </c>
      <c r="X18" s="2559"/>
      <c r="Y18" s="3418"/>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18"/>
      <c r="Q19" s="2557"/>
      <c r="R19" s="1572"/>
      <c r="S19" s="1573"/>
      <c r="T19" s="1572"/>
      <c r="U19" s="1573"/>
      <c r="V19" s="1572"/>
      <c r="W19" s="1573"/>
      <c r="X19" s="2559"/>
      <c r="Y19" s="3418"/>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18"/>
      <c r="Q21" s="1571"/>
      <c r="R21" s="1572"/>
      <c r="S21" s="1573"/>
      <c r="T21" s="1572"/>
      <c r="U21" s="1573"/>
      <c r="V21" s="1572"/>
      <c r="W21" s="1573"/>
      <c r="X21" s="1566"/>
      <c r="Y21" s="3418"/>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8"/>
      <c r="Q24" s="1571">
        <f t="shared" ref="Q24:Q36"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18"/>
      <c r="Q25" s="1150">
        <f t="shared" si="11"/>
        <v>111</v>
      </c>
      <c r="R25" s="1567" t="s">
        <v>8</v>
      </c>
      <c r="S25" s="1568">
        <f>F25</f>
        <v>100</v>
      </c>
      <c r="T25" s="1567" t="s">
        <v>8</v>
      </c>
      <c r="U25" s="1568">
        <f>H25</f>
        <v>100</v>
      </c>
      <c r="V25" s="1567" t="s">
        <v>8</v>
      </c>
      <c r="W25" s="1568">
        <f>J25</f>
        <v>100</v>
      </c>
      <c r="X25" s="1569"/>
      <c r="Y25" s="3418"/>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0"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0"/>
      <c r="Q27" s="1604" t="str">
        <f t="shared" si="11"/>
        <v>项目停车位配比</v>
      </c>
      <c r="R27" s="1576" t="s">
        <v>8</v>
      </c>
      <c r="S27" s="1577">
        <f t="shared" si="12"/>
        <v>100</v>
      </c>
      <c r="T27" s="1576" t="s">
        <v>8</v>
      </c>
      <c r="U27" s="1577">
        <f t="shared" si="13"/>
        <v>100</v>
      </c>
      <c r="V27" s="1576" t="s">
        <v>8</v>
      </c>
      <c r="W27" s="1577">
        <f t="shared" si="14"/>
        <v>100</v>
      </c>
      <c r="X27" s="1578"/>
      <c r="Y27" s="3420"/>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0"/>
      <c r="Q28" s="1571" t="str">
        <f t="shared" si="11"/>
        <v>公共部分装修</v>
      </c>
      <c r="R28" s="1572" t="s">
        <v>8</v>
      </c>
      <c r="S28" s="1573">
        <f t="shared" si="12"/>
        <v>100</v>
      </c>
      <c r="T28" s="1572" t="s">
        <v>8</v>
      </c>
      <c r="U28" s="1573">
        <f t="shared" si="13"/>
        <v>100</v>
      </c>
      <c r="V28" s="1572" t="s">
        <v>8</v>
      </c>
      <c r="W28" s="1573">
        <f t="shared" si="14"/>
        <v>100</v>
      </c>
      <c r="X28" s="1566"/>
      <c r="Y28" s="3420"/>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0"/>
      <c r="Q29" s="1571" t="str">
        <f t="shared" si="11"/>
        <v>成新率</v>
      </c>
      <c r="R29" s="1572" t="s">
        <v>8</v>
      </c>
      <c r="S29" s="1573" t="e">
        <f t="shared" si="12"/>
        <v>#N/A</v>
      </c>
      <c r="T29" s="1572" t="s">
        <v>8</v>
      </c>
      <c r="U29" s="1573" t="e">
        <f t="shared" si="13"/>
        <v>#N/A</v>
      </c>
      <c r="V29" s="1572" t="s">
        <v>8</v>
      </c>
      <c r="W29" s="1573" t="e">
        <f t="shared" si="14"/>
        <v>#N/A</v>
      </c>
      <c r="X29" s="1566"/>
      <c r="Y29" s="3420"/>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0"/>
      <c r="Q30" s="1571" t="str">
        <f t="shared" si="11"/>
        <v>物业等级</v>
      </c>
      <c r="R30" s="1572" t="s">
        <v>8</v>
      </c>
      <c r="S30" s="1573">
        <f t="shared" si="12"/>
        <v>100</v>
      </c>
      <c r="T30" s="1572" t="s">
        <v>8</v>
      </c>
      <c r="U30" s="1573">
        <f t="shared" si="13"/>
        <v>100</v>
      </c>
      <c r="V30" s="1572" t="s">
        <v>8</v>
      </c>
      <c r="W30" s="1573">
        <f t="shared" si="14"/>
        <v>100</v>
      </c>
      <c r="X30" s="1566"/>
      <c r="Y30" s="3420"/>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0"/>
      <c r="Q31" s="1150" t="str">
        <f t="shared" si="11"/>
        <v>停车位面积</v>
      </c>
      <c r="R31" s="1567" t="s">
        <v>8</v>
      </c>
      <c r="S31" s="1568" t="e">
        <f t="shared" si="12"/>
        <v>#N/A</v>
      </c>
      <c r="T31" s="1567" t="s">
        <v>8</v>
      </c>
      <c r="U31" s="1568" t="e">
        <f t="shared" si="13"/>
        <v>#N/A</v>
      </c>
      <c r="V31" s="1567" t="s">
        <v>8</v>
      </c>
      <c r="W31" s="1568" t="e">
        <f t="shared" si="14"/>
        <v>#N/A</v>
      </c>
      <c r="X31" s="1569"/>
      <c r="Y31" s="3420"/>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0" t="s">
        <v>550</v>
      </c>
      <c r="Q32" s="1571" t="str">
        <f t="shared" si="11"/>
        <v>车位类型</v>
      </c>
      <c r="R32" s="1572" t="s">
        <v>8</v>
      </c>
      <c r="S32" s="1573">
        <f t="shared" si="12"/>
        <v>100</v>
      </c>
      <c r="T32" s="1572" t="s">
        <v>8</v>
      </c>
      <c r="U32" s="1573">
        <f t="shared" si="13"/>
        <v>100</v>
      </c>
      <c r="V32" s="1572" t="s">
        <v>8</v>
      </c>
      <c r="W32" s="1573">
        <f t="shared" si="14"/>
        <v>100</v>
      </c>
      <c r="X32" s="1566"/>
      <c r="Y32" s="3420"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0"/>
      <c r="Q33" s="1571" t="str">
        <f t="shared" si="11"/>
        <v>是否直接入户</v>
      </c>
      <c r="R33" s="1572" t="s">
        <v>8</v>
      </c>
      <c r="S33" s="1573">
        <f t="shared" si="12"/>
        <v>100</v>
      </c>
      <c r="T33" s="1572" t="s">
        <v>8</v>
      </c>
      <c r="U33" s="1573">
        <f t="shared" si="13"/>
        <v>100</v>
      </c>
      <c r="V33" s="1572" t="s">
        <v>8</v>
      </c>
      <c r="W33" s="1573">
        <f t="shared" si="14"/>
        <v>100</v>
      </c>
      <c r="X33" s="1566"/>
      <c r="Y33" s="3420"/>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0"/>
      <c r="Q35" s="1604">
        <f t="shared" si="11"/>
        <v>111</v>
      </c>
      <c r="R35" s="1576" t="s">
        <v>8</v>
      </c>
      <c r="S35" s="1577">
        <f t="shared" si="12"/>
        <v>100</v>
      </c>
      <c r="T35" s="1576" t="s">
        <v>8</v>
      </c>
      <c r="U35" s="1577">
        <f t="shared" si="13"/>
        <v>100</v>
      </c>
      <c r="V35" s="1576" t="s">
        <v>8</v>
      </c>
      <c r="W35" s="1577">
        <f t="shared" si="14"/>
        <v>100</v>
      </c>
      <c r="X35" s="1578"/>
      <c r="Y35" s="3420"/>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0"/>
      <c r="Q36" s="1571">
        <f t="shared" si="11"/>
        <v>111</v>
      </c>
      <c r="R36" s="1572" t="s">
        <v>8</v>
      </c>
      <c r="S36" s="1573">
        <f t="shared" si="12"/>
        <v>100</v>
      </c>
      <c r="T36" s="1572" t="s">
        <v>8</v>
      </c>
      <c r="U36" s="1573">
        <f t="shared" si="13"/>
        <v>100</v>
      </c>
      <c r="V36" s="1572" t="s">
        <v>8</v>
      </c>
      <c r="W36" s="1573">
        <f t="shared" si="14"/>
        <v>100</v>
      </c>
      <c r="X36" s="1566"/>
      <c r="Y36" s="3420"/>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15" t="str">
        <f>A37</f>
        <v>成交单价</v>
      </c>
      <c r="Q37" s="3415"/>
      <c r="R37" s="3494">
        <f>E37</f>
        <v>0</v>
      </c>
      <c r="S37" s="3494"/>
      <c r="T37" s="3494">
        <f>G37</f>
        <v>0</v>
      </c>
      <c r="U37" s="3494"/>
      <c r="V37" s="3494">
        <f>I37</f>
        <v>0</v>
      </c>
      <c r="W37" s="3494"/>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15" t="str">
        <f>A38</f>
        <v>比较价格（元/平方米）</v>
      </c>
      <c r="Q38" s="3415"/>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36" t="str">
        <f>A39</f>
        <v>估价对象XX用房的比较价格（楼面单价，元/平方米）</v>
      </c>
      <c r="Q39" s="3437"/>
      <c r="R39" s="3493" t="e">
        <f>IF(F1="售价",ROUND(AVERAGE(R38:V38),0),ROUND(AVERAGE(R38:V38),1))</f>
        <v>#DIV/0!</v>
      </c>
      <c r="S39" s="3493"/>
      <c r="T39" s="3493"/>
      <c r="U39" s="3493"/>
      <c r="V39" s="3493"/>
      <c r="W39" s="349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2018-12</v>
      </c>
      <c r="D48" s="2782">
        <f>EDATE(C48,-1)</f>
        <v>43405</v>
      </c>
      <c r="E48" s="2782">
        <f t="shared" ref="E48:O48" si="16">EDATE(D48,-1)</f>
        <v>43374</v>
      </c>
      <c r="F48" s="2782">
        <f t="shared" si="16"/>
        <v>43344</v>
      </c>
      <c r="G48" s="2782">
        <f t="shared" si="16"/>
        <v>43313</v>
      </c>
      <c r="H48" s="2782">
        <f t="shared" si="16"/>
        <v>43282</v>
      </c>
      <c r="I48" s="2782">
        <f t="shared" si="16"/>
        <v>43252</v>
      </c>
      <c r="J48" s="2782">
        <f t="shared" si="16"/>
        <v>43221</v>
      </c>
      <c r="K48" s="2782">
        <f t="shared" si="16"/>
        <v>43191</v>
      </c>
      <c r="L48" s="2782">
        <f t="shared" si="16"/>
        <v>43160</v>
      </c>
      <c r="M48" s="2782">
        <f t="shared" si="16"/>
        <v>43132</v>
      </c>
      <c r="N48" s="2782">
        <f t="shared" si="16"/>
        <v>43101</v>
      </c>
      <c r="O48" s="2782">
        <f t="shared" si="16"/>
        <v>43070</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2018年12月4日（评估专业人员勘察现场之日）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1" t="s">
        <v>798</v>
      </c>
      <c r="D4" s="3422"/>
      <c r="E4" s="3445" t="s">
        <v>799</v>
      </c>
      <c r="F4" s="3446"/>
      <c r="G4" s="3421" t="s">
        <v>800</v>
      </c>
      <c r="H4" s="3422"/>
      <c r="I4" s="3421" t="s">
        <v>801</v>
      </c>
      <c r="J4" s="3422"/>
      <c r="K4" s="514" t="s">
        <v>802</v>
      </c>
      <c r="L4" s="2132"/>
      <c r="M4" s="2133"/>
      <c r="N4" s="2133"/>
      <c r="O4" s="2133"/>
      <c r="P4" s="3423" t="s">
        <v>803</v>
      </c>
      <c r="Q4" s="3424"/>
      <c r="R4" s="3409" t="s">
        <v>799</v>
      </c>
      <c r="S4" s="3410"/>
      <c r="T4" s="3409" t="s">
        <v>800</v>
      </c>
      <c r="U4" s="3410"/>
      <c r="V4" s="3429" t="s">
        <v>801</v>
      </c>
      <c r="W4" s="3429"/>
      <c r="X4" s="1566"/>
      <c r="Y4" s="3409" t="s">
        <v>803</v>
      </c>
      <c r="Z4" s="3410"/>
      <c r="AA4" s="3404" t="s">
        <v>799</v>
      </c>
      <c r="AB4" s="3405" t="s">
        <v>800</v>
      </c>
      <c r="AC4" s="3404" t="s">
        <v>801</v>
      </c>
    </row>
    <row r="5" spans="1:29" ht="15">
      <c r="A5" s="515"/>
      <c r="B5" s="516"/>
      <c r="C5" s="3432" t="s">
        <v>2932</v>
      </c>
      <c r="D5" s="3433"/>
      <c r="E5" s="3447" t="s">
        <v>2933</v>
      </c>
      <c r="F5" s="3448"/>
      <c r="G5" s="3432" t="s">
        <v>2934</v>
      </c>
      <c r="H5" s="3433"/>
      <c r="I5" s="3432" t="s">
        <v>2935</v>
      </c>
      <c r="J5" s="3433"/>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2936</v>
      </c>
      <c r="D6" s="3431"/>
      <c r="E6" s="3449" t="s">
        <v>2936</v>
      </c>
      <c r="F6" s="3450"/>
      <c r="G6" s="3430" t="s">
        <v>2936</v>
      </c>
      <c r="H6" s="3431"/>
      <c r="I6" s="3430" t="s">
        <v>2936</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19" customFormat="1" ht="15.75" thickBot="1">
      <c r="A7" s="2890"/>
      <c r="B7" s="2897" t="s">
        <v>529</v>
      </c>
      <c r="C7" s="519">
        <f>'数据-取费表'!B2</f>
        <v>43438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7" t="s">
        <v>530</v>
      </c>
      <c r="Q7" s="3416"/>
      <c r="R7" s="1567" t="s">
        <v>8</v>
      </c>
      <c r="S7" s="1568">
        <f t="shared" ref="S7:S14" si="0">F7</f>
        <v>0</v>
      </c>
      <c r="T7" s="1567" t="s">
        <v>8</v>
      </c>
      <c r="U7" s="1568">
        <f t="shared" ref="U7:U14" si="1">H7</f>
        <v>0</v>
      </c>
      <c r="V7" s="1567" t="s">
        <v>8</v>
      </c>
      <c r="W7" s="1568">
        <f t="shared" ref="W7:W14" si="2">J7</f>
        <v>0</v>
      </c>
      <c r="X7" s="1569"/>
      <c r="Y7" s="3407" t="s">
        <v>530</v>
      </c>
      <c r="Z7" s="3408"/>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5" t="s">
        <v>535</v>
      </c>
      <c r="Q9" s="1150" t="str">
        <f t="shared" ref="Q9:Q14" si="6">B9</f>
        <v>用途</v>
      </c>
      <c r="R9" s="1567" t="s">
        <v>8</v>
      </c>
      <c r="S9" s="1568">
        <f t="shared" si="0"/>
        <v>100</v>
      </c>
      <c r="T9" s="1567" t="s">
        <v>8</v>
      </c>
      <c r="U9" s="1568">
        <f t="shared" si="1"/>
        <v>100</v>
      </c>
      <c r="V9" s="1567" t="s">
        <v>8</v>
      </c>
      <c r="W9" s="1568">
        <f t="shared" si="2"/>
        <v>100</v>
      </c>
      <c r="X9" s="1569"/>
      <c r="Y9" s="3366"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5"/>
      <c r="Q10" s="1150" t="str">
        <f t="shared" si="6"/>
        <v>土地使用年限（年）</v>
      </c>
      <c r="R10" s="1567" t="s">
        <v>8</v>
      </c>
      <c r="S10" s="1568">
        <f t="shared" si="0"/>
        <v>100</v>
      </c>
      <c r="T10" s="1567" t="s">
        <v>8</v>
      </c>
      <c r="U10" s="1568">
        <f t="shared" si="1"/>
        <v>100</v>
      </c>
      <c r="V10" s="1567" t="s">
        <v>8</v>
      </c>
      <c r="W10" s="1568">
        <f t="shared" si="2"/>
        <v>100</v>
      </c>
      <c r="X10" s="1569"/>
      <c r="Y10" s="3366"/>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15"/>
      <c r="Q11" s="1150">
        <f t="shared" si="6"/>
        <v>111</v>
      </c>
      <c r="R11" s="1567" t="s">
        <v>8</v>
      </c>
      <c r="S11" s="1568">
        <f t="shared" si="0"/>
        <v>100</v>
      </c>
      <c r="T11" s="1567" t="s">
        <v>8</v>
      </c>
      <c r="U11" s="1568">
        <f t="shared" si="1"/>
        <v>100</v>
      </c>
      <c r="V11" s="1567" t="s">
        <v>8</v>
      </c>
      <c r="W11" s="1568">
        <f t="shared" si="2"/>
        <v>100</v>
      </c>
      <c r="X11" s="1569"/>
      <c r="Y11" s="3366"/>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15"/>
      <c r="Q12" s="1150">
        <f t="shared" si="6"/>
        <v>111</v>
      </c>
      <c r="R12" s="1567" t="s">
        <v>8</v>
      </c>
      <c r="S12" s="1568">
        <f t="shared" si="0"/>
        <v>100</v>
      </c>
      <c r="T12" s="1567" t="s">
        <v>8</v>
      </c>
      <c r="U12" s="1568">
        <f t="shared" si="1"/>
        <v>100</v>
      </c>
      <c r="V12" s="1567" t="s">
        <v>8</v>
      </c>
      <c r="W12" s="1568">
        <f t="shared" si="2"/>
        <v>100</v>
      </c>
      <c r="X12" s="1569"/>
      <c r="Y12" s="3366"/>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15"/>
      <c r="Q13" s="1150">
        <f t="shared" si="6"/>
        <v>111</v>
      </c>
      <c r="R13" s="1567" t="s">
        <v>8</v>
      </c>
      <c r="S13" s="1568">
        <f t="shared" si="0"/>
        <v>100</v>
      </c>
      <c r="T13" s="1567" t="s">
        <v>8</v>
      </c>
      <c r="U13" s="1568">
        <f t="shared" si="1"/>
        <v>100</v>
      </c>
      <c r="V13" s="1567" t="s">
        <v>8</v>
      </c>
      <c r="W13" s="1568">
        <f t="shared" si="2"/>
        <v>100</v>
      </c>
      <c r="X13" s="1569"/>
      <c r="Y13" s="3366"/>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17" t="s">
        <v>540</v>
      </c>
      <c r="Q14" s="1571" t="str">
        <f t="shared" si="6"/>
        <v>交通便捷度</v>
      </c>
      <c r="R14" s="1572" t="s">
        <v>8</v>
      </c>
      <c r="S14" s="1573">
        <f t="shared" si="0"/>
        <v>100</v>
      </c>
      <c r="T14" s="1572" t="s">
        <v>8</v>
      </c>
      <c r="U14" s="1573">
        <f t="shared" si="1"/>
        <v>100</v>
      </c>
      <c r="V14" s="1572" t="s">
        <v>8</v>
      </c>
      <c r="W14" s="1573">
        <f t="shared" si="2"/>
        <v>100</v>
      </c>
      <c r="X14" s="1566"/>
      <c r="Y14" s="341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18"/>
      <c r="Q15" s="1571"/>
      <c r="R15" s="1572"/>
      <c r="S15" s="1573"/>
      <c r="T15" s="1572"/>
      <c r="U15" s="1573"/>
      <c r="V15" s="1572"/>
      <c r="W15" s="1573"/>
      <c r="X15" s="1566"/>
      <c r="Y15" s="3418"/>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18"/>
      <c r="Q17" s="1571"/>
      <c r="R17" s="1572"/>
      <c r="S17" s="1573"/>
      <c r="T17" s="1572"/>
      <c r="U17" s="1573"/>
      <c r="V17" s="1572"/>
      <c r="W17" s="1573"/>
      <c r="X17" s="1566"/>
      <c r="Y17" s="3418"/>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18"/>
      <c r="Q18" s="2557" t="str">
        <f>B18</f>
        <v>基础设施水平</v>
      </c>
      <c r="R18" s="1572" t="s">
        <v>8</v>
      </c>
      <c r="S18" s="1573">
        <f>F18</f>
        <v>100</v>
      </c>
      <c r="T18" s="1572" t="s">
        <v>8</v>
      </c>
      <c r="U18" s="1573">
        <f>H18</f>
        <v>100</v>
      </c>
      <c r="V18" s="1572" t="s">
        <v>8</v>
      </c>
      <c r="W18" s="1573">
        <f>J18</f>
        <v>100</v>
      </c>
      <c r="X18" s="2559"/>
      <c r="Y18" s="3418"/>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18"/>
      <c r="Q19" s="2557"/>
      <c r="R19" s="1572"/>
      <c r="S19" s="1573"/>
      <c r="T19" s="1572"/>
      <c r="U19" s="1573"/>
      <c r="V19" s="1572"/>
      <c r="W19" s="1573"/>
      <c r="X19" s="2559"/>
      <c r="Y19" s="3418"/>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18"/>
      <c r="Q21" s="1571"/>
      <c r="R21" s="1572"/>
      <c r="S21" s="1573"/>
      <c r="T21" s="1572"/>
      <c r="U21" s="1573"/>
      <c r="V21" s="1572"/>
      <c r="W21" s="1573"/>
      <c r="X21" s="1566"/>
      <c r="Y21" s="3418"/>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8"/>
      <c r="Q24" s="1571">
        <f t="shared" ref="Q24:Q34"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18"/>
      <c r="Q25" s="1150">
        <f t="shared" si="11"/>
        <v>111</v>
      </c>
      <c r="R25" s="1567" t="s">
        <v>8</v>
      </c>
      <c r="S25" s="1568">
        <f>F25</f>
        <v>100</v>
      </c>
      <c r="T25" s="1567" t="s">
        <v>8</v>
      </c>
      <c r="U25" s="1568">
        <f>H25</f>
        <v>100</v>
      </c>
      <c r="V25" s="1567" t="s">
        <v>8</v>
      </c>
      <c r="W25" s="1568">
        <f>J25</f>
        <v>100</v>
      </c>
      <c r="X25" s="1569"/>
      <c r="Y25" s="3418"/>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1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0"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0"/>
      <c r="Q27" s="1604" t="str">
        <f t="shared" si="11"/>
        <v>成新率</v>
      </c>
      <c r="R27" s="1576" t="s">
        <v>8</v>
      </c>
      <c r="S27" s="1577" t="e">
        <f t="shared" si="12"/>
        <v>#N/A</v>
      </c>
      <c r="T27" s="1576" t="s">
        <v>8</v>
      </c>
      <c r="U27" s="1577" t="e">
        <f t="shared" si="13"/>
        <v>#N/A</v>
      </c>
      <c r="V27" s="1576" t="s">
        <v>8</v>
      </c>
      <c r="W27" s="1577" t="e">
        <f t="shared" si="14"/>
        <v>#N/A</v>
      </c>
      <c r="X27" s="1578"/>
      <c r="Y27" s="3420"/>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0"/>
      <c r="Q28" s="1571" t="str">
        <f t="shared" si="11"/>
        <v>物业等级</v>
      </c>
      <c r="R28" s="1572" t="s">
        <v>8</v>
      </c>
      <c r="S28" s="1573">
        <f t="shared" si="12"/>
        <v>100</v>
      </c>
      <c r="T28" s="1572" t="s">
        <v>8</v>
      </c>
      <c r="U28" s="1573">
        <f t="shared" si="13"/>
        <v>100</v>
      </c>
      <c r="V28" s="1572" t="s">
        <v>8</v>
      </c>
      <c r="W28" s="1573">
        <f t="shared" si="14"/>
        <v>100</v>
      </c>
      <c r="X28" s="1566"/>
      <c r="Y28" s="3420"/>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0"/>
      <c r="Q29" s="1571" t="str">
        <f t="shared" si="11"/>
        <v>有无电梯</v>
      </c>
      <c r="R29" s="1572" t="s">
        <v>8</v>
      </c>
      <c r="S29" s="1573">
        <f t="shared" si="12"/>
        <v>100</v>
      </c>
      <c r="T29" s="1572" t="s">
        <v>8</v>
      </c>
      <c r="U29" s="1573">
        <f t="shared" si="13"/>
        <v>100</v>
      </c>
      <c r="V29" s="1572" t="s">
        <v>8</v>
      </c>
      <c r="W29" s="1573">
        <f t="shared" si="14"/>
        <v>100</v>
      </c>
      <c r="X29" s="1566"/>
      <c r="Y29" s="3420"/>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0"/>
      <c r="Q30" s="1571" t="str">
        <f t="shared" si="11"/>
        <v>建筑面积</v>
      </c>
      <c r="R30" s="1572" t="s">
        <v>8</v>
      </c>
      <c r="S30" s="1573" t="e">
        <f t="shared" si="12"/>
        <v>#N/A</v>
      </c>
      <c r="T30" s="1572" t="s">
        <v>8</v>
      </c>
      <c r="U30" s="1573" t="e">
        <f t="shared" si="13"/>
        <v>#N/A</v>
      </c>
      <c r="V30" s="1572" t="s">
        <v>8</v>
      </c>
      <c r="W30" s="1573" t="e">
        <f t="shared" si="14"/>
        <v>#N/A</v>
      </c>
      <c r="X30" s="1566"/>
      <c r="Y30" s="3420"/>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0"/>
      <c r="Q31" s="1150" t="str">
        <f t="shared" si="11"/>
        <v>是否封闭</v>
      </c>
      <c r="R31" s="1567" t="s">
        <v>8</v>
      </c>
      <c r="S31" s="1568">
        <f t="shared" si="12"/>
        <v>100</v>
      </c>
      <c r="T31" s="1567" t="s">
        <v>8</v>
      </c>
      <c r="U31" s="1568">
        <f t="shared" si="13"/>
        <v>100</v>
      </c>
      <c r="V31" s="1567" t="s">
        <v>8</v>
      </c>
      <c r="W31" s="1568">
        <f t="shared" si="14"/>
        <v>100</v>
      </c>
      <c r="X31" s="1569"/>
      <c r="Y31" s="3420"/>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0" t="s">
        <v>550</v>
      </c>
      <c r="Q32" s="1571">
        <f t="shared" si="11"/>
        <v>111</v>
      </c>
      <c r="R32" s="1572" t="s">
        <v>8</v>
      </c>
      <c r="S32" s="1573">
        <f t="shared" si="12"/>
        <v>100</v>
      </c>
      <c r="T32" s="1572" t="s">
        <v>8</v>
      </c>
      <c r="U32" s="1573">
        <f t="shared" si="13"/>
        <v>100</v>
      </c>
      <c r="V32" s="1572" t="s">
        <v>8</v>
      </c>
      <c r="W32" s="1573">
        <f t="shared" si="14"/>
        <v>100</v>
      </c>
      <c r="X32" s="1566"/>
      <c r="Y32" s="3420"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0"/>
      <c r="Q33" s="1571">
        <f t="shared" si="11"/>
        <v>111</v>
      </c>
      <c r="R33" s="1572" t="s">
        <v>8</v>
      </c>
      <c r="S33" s="1573">
        <f t="shared" si="12"/>
        <v>100</v>
      </c>
      <c r="T33" s="1572" t="s">
        <v>8</v>
      </c>
      <c r="U33" s="1573">
        <f t="shared" si="13"/>
        <v>100</v>
      </c>
      <c r="V33" s="1572" t="s">
        <v>8</v>
      </c>
      <c r="W33" s="1573">
        <f t="shared" si="14"/>
        <v>100</v>
      </c>
      <c r="X33" s="1566"/>
      <c r="Y33" s="3420"/>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15" t="str">
        <f>A35</f>
        <v>成交单价（元/平方米）</v>
      </c>
      <c r="Q35" s="3415"/>
      <c r="R35" s="3494">
        <f>E35</f>
        <v>0</v>
      </c>
      <c r="S35" s="3494"/>
      <c r="T35" s="3494">
        <f>G35</f>
        <v>0</v>
      </c>
      <c r="U35" s="3494"/>
      <c r="V35" s="3494">
        <f>I35</f>
        <v>0</v>
      </c>
      <c r="W35" s="3494"/>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15" t="str">
        <f>A36</f>
        <v>比较价格（元/平方米）</v>
      </c>
      <c r="Q36" s="3415"/>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36" t="str">
        <f>A37</f>
        <v>估价对象XX用房的比较价格（楼面单价，元/平方米）</v>
      </c>
      <c r="Q37" s="3437"/>
      <c r="R37" s="3493" t="e">
        <f>IF(F1="售价",ROUND(AVERAGE(R36:V36),0),ROUND(AVERAGE(R36:V36),1))</f>
        <v>#DIV/0!</v>
      </c>
      <c r="S37" s="3493"/>
      <c r="T37" s="3493"/>
      <c r="U37" s="3493"/>
      <c r="V37" s="3493"/>
      <c r="W37" s="349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2018-12</v>
      </c>
      <c r="D46" s="2782">
        <f>EDATE(C46,-1)</f>
        <v>43405</v>
      </c>
      <c r="E46" s="2782">
        <f t="shared" ref="E46:O46" si="16">EDATE(D46,-1)</f>
        <v>43374</v>
      </c>
      <c r="F46" s="2782">
        <f t="shared" si="16"/>
        <v>43344</v>
      </c>
      <c r="G46" s="2782">
        <f t="shared" si="16"/>
        <v>43313</v>
      </c>
      <c r="H46" s="2782">
        <f t="shared" si="16"/>
        <v>43282</v>
      </c>
      <c r="I46" s="2782">
        <f t="shared" si="16"/>
        <v>43252</v>
      </c>
      <c r="J46" s="2782">
        <f t="shared" si="16"/>
        <v>43221</v>
      </c>
      <c r="K46" s="2782">
        <f t="shared" si="16"/>
        <v>43191</v>
      </c>
      <c r="L46" s="2782">
        <f t="shared" si="16"/>
        <v>43160</v>
      </c>
      <c r="M46" s="2782">
        <f t="shared" si="16"/>
        <v>43132</v>
      </c>
      <c r="N46" s="2782">
        <f t="shared" si="16"/>
        <v>43101</v>
      </c>
      <c r="O46" s="2782">
        <f t="shared" si="16"/>
        <v>43070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43438</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3123</v>
      </c>
      <c r="B18" s="3191"/>
      <c r="C18" s="3191"/>
      <c r="D18" s="3192"/>
      <c r="E18" s="3202"/>
      <c r="F18" s="3203" t="s">
        <v>3124</v>
      </c>
      <c r="G18" s="3191"/>
      <c r="H18" s="3192"/>
    </row>
    <row r="19" spans="1:8" ht="17.25" thickBot="1">
      <c r="A19" s="3193" t="s">
        <v>3119</v>
      </c>
      <c r="B19" s="3184" t="s">
        <v>3120</v>
      </c>
      <c r="C19" s="3184" t="s">
        <v>3121</v>
      </c>
      <c r="D19" s="3194" t="s">
        <v>3122</v>
      </c>
      <c r="E19" s="3204" t="s">
        <v>3119</v>
      </c>
      <c r="F19" s="3187" t="s">
        <v>3120</v>
      </c>
      <c r="G19" s="3187" t="s">
        <v>3121</v>
      </c>
      <c r="H19" s="3205" t="s">
        <v>3122</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82" zoomScale="85" zoomScaleNormal="85" workbookViewId="0">
      <selection activeCell="N99" sqref="N99"/>
    </sheetView>
  </sheetViews>
  <sheetFormatPr defaultRowHeight="13.5"/>
  <sheetData>
    <row r="45" spans="1:1">
      <c r="A45" s="3218"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2039</v>
      </c>
      <c r="B1" s="3232"/>
      <c r="C1" s="3232"/>
      <c r="D1" s="3232"/>
      <c r="E1" s="3232"/>
      <c r="F1" s="3232"/>
      <c r="G1" s="3232"/>
      <c r="H1" s="3232"/>
      <c r="I1" s="3232"/>
      <c r="J1" s="3232"/>
      <c r="K1" s="3232"/>
      <c r="L1" s="3232"/>
      <c r="M1" s="3232"/>
      <c r="N1" s="3232"/>
      <c r="O1" s="3232"/>
      <c r="P1" s="3232"/>
      <c r="Q1" s="3232"/>
      <c r="R1" s="3232"/>
    </row>
    <row r="2" spans="1:18">
      <c r="A2" s="1806" t="s">
        <v>2041</v>
      </c>
      <c r="B2" s="1806"/>
      <c r="C2" s="1806"/>
      <c r="D2" s="1806"/>
      <c r="E2" s="1806"/>
      <c r="F2" s="1806"/>
      <c r="G2" s="1806"/>
      <c r="H2" s="1806"/>
      <c r="I2" s="1807"/>
      <c r="J2" s="1807"/>
      <c r="K2" s="1808" t="str">
        <f>"估价期日："&amp;TEXT(项目基本情况!D3,"yyyy年m月d日;;")</f>
        <v>估价期日：2018年12月4日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3" t="s">
        <v>2030</v>
      </c>
      <c r="B3" s="3233" t="s">
        <v>2732</v>
      </c>
      <c r="C3" s="3234" t="s">
        <v>2031</v>
      </c>
      <c r="D3" s="3233" t="s">
        <v>2736</v>
      </c>
      <c r="E3" s="3236" t="s">
        <v>2032</v>
      </c>
      <c r="F3" s="3236"/>
      <c r="G3" s="3236"/>
      <c r="H3" s="3236" t="s">
        <v>2033</v>
      </c>
      <c r="I3" s="3236"/>
      <c r="J3" s="3236"/>
      <c r="K3" s="3234" t="s">
        <v>2034</v>
      </c>
      <c r="L3" s="3234" t="s">
        <v>2035</v>
      </c>
      <c r="M3" s="3233" t="s">
        <v>2733</v>
      </c>
      <c r="N3" s="3235" t="str">
        <f>"（分摊）"&amp;项目基本情况!B16&amp;"国有建设用地使用权面积/㎡"</f>
        <v>（分摊）出让国有建设用地使用权面积/㎡</v>
      </c>
      <c r="O3" s="3233" t="s">
        <v>2064</v>
      </c>
      <c r="P3" s="3234" t="s">
        <v>2044</v>
      </c>
      <c r="Q3" s="3234" t="s">
        <v>2065</v>
      </c>
      <c r="R3" s="3234" t="s">
        <v>2036</v>
      </c>
    </row>
    <row r="4" spans="1:18" ht="36.75" customHeight="1">
      <c r="A4" s="3233"/>
      <c r="B4" s="3233"/>
      <c r="C4" s="3234"/>
      <c r="D4" s="3233"/>
      <c r="E4" s="2627" t="s">
        <v>2043</v>
      </c>
      <c r="F4" s="2627" t="s">
        <v>2745</v>
      </c>
      <c r="G4" s="2627" t="s">
        <v>2037</v>
      </c>
      <c r="H4" s="2627" t="s">
        <v>2038</v>
      </c>
      <c r="I4" s="2627" t="s">
        <v>2746</v>
      </c>
      <c r="J4" s="2627" t="s">
        <v>2037</v>
      </c>
      <c r="K4" s="3234"/>
      <c r="L4" s="3234"/>
      <c r="M4" s="3233"/>
      <c r="N4" s="3235"/>
      <c r="O4" s="3233"/>
      <c r="P4" s="3234"/>
      <c r="Q4" s="3234"/>
      <c r="R4" s="3234"/>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143335</v>
      </c>
      <c r="Q5" s="1809">
        <f ca="1">结果表!D42</f>
        <v>22052</v>
      </c>
      <c r="R5" s="1810">
        <f ca="1">结果表!C42</f>
        <v>398741</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1" t="str">
        <f>结果表!O39</f>
        <v>——</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1"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7" t="s">
        <v>2066</v>
      </c>
      <c r="B1" s="3237"/>
      <c r="C1" s="3237"/>
      <c r="D1" s="3237"/>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40" t="s">
        <v>2067</v>
      </c>
      <c r="B5" s="3240"/>
      <c r="C5" s="3240"/>
      <c r="D5" s="3240"/>
    </row>
    <row r="6" spans="1:4">
      <c r="A6" s="3237" t="s">
        <v>2045</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7"/>
      <c r="C8" s="3237"/>
      <c r="D8" s="3237"/>
    </row>
    <row r="9" spans="1:4" ht="33.75" customHeight="1">
      <c r="A9" s="3237" t="str">
        <f>IF(项目基本情况!B8="抵押","3.抵押双方在办理抵押登记手续时，应使用本公司出具的正式《土地估价报告》，特提请报告使用者注意。","——")</f>
        <v>——</v>
      </c>
      <c r="B9" s="3237"/>
      <c r="C9" s="3237"/>
      <c r="D9" s="3237"/>
    </row>
    <row r="10" spans="1:4">
      <c r="A10" s="3237" t="str">
        <f>IF(项目基本情况!B8="抵押","4.估价师所知悉的法定优先受偿款情况为：","——")</f>
        <v>——</v>
      </c>
      <c r="B10" s="3237"/>
      <c r="C10" s="3237"/>
      <c r="D10" s="3237"/>
    </row>
    <row r="11" spans="1:4" ht="37.5" customHeight="1">
      <c r="A11" s="3239" t="str">
        <f>IF(项目基本情况!B8="抵押","（1）"&amp;CONCATENATE(项目基本情况!L24,项目基本情况!L25,项目基本情况!L26),"——")</f>
        <v>——</v>
      </c>
      <c r="B11" s="3239"/>
      <c r="C11" s="3239"/>
      <c r="D11" s="3239"/>
    </row>
    <row r="12" spans="1:4" ht="168" customHeight="1">
      <c r="A12" s="3240" t="s">
        <v>2069</v>
      </c>
      <c r="B12" s="3240"/>
      <c r="C12" s="3240"/>
      <c r="D12" s="3240"/>
    </row>
    <row r="13" spans="1:4">
      <c r="A13" s="3238" t="s">
        <v>2747</v>
      </c>
      <c r="B13" s="3238"/>
      <c r="C13" s="3238"/>
      <c r="D13" s="3238"/>
    </row>
    <row r="14" spans="1:4">
      <c r="A14" s="3239" t="str">
        <f>IF(项目基本情况!B8="抵押","综上，"&amp;结果表!K47,"——")</f>
        <v>——</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2703</v>
      </c>
      <c r="B17" s="3237"/>
      <c r="C17" s="3237"/>
      <c r="D17" s="3237"/>
    </row>
    <row r="18" spans="1:4">
      <c r="A18" s="3237" t="s">
        <v>2695</v>
      </c>
      <c r="B18" s="3237"/>
      <c r="C18" s="3237"/>
      <c r="D18" s="3237"/>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37" t="s">
        <v>2700</v>
      </c>
      <c r="B23" s="3237"/>
      <c r="C23" s="3237"/>
      <c r="D23" s="3237"/>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9" t="s">
        <v>53</v>
      </c>
      <c r="B15" s="3250" t="s">
        <v>846</v>
      </c>
      <c r="C15" s="3246"/>
    </row>
    <row r="16" spans="1:7" ht="14.25">
      <c r="A16" s="3249"/>
      <c r="B16" s="3247" t="s">
        <v>54</v>
      </c>
      <c r="C16" s="1171" t="s">
        <v>53</v>
      </c>
    </row>
    <row r="17" spans="1:3" ht="14.25">
      <c r="A17" s="3249"/>
      <c r="B17" s="3247"/>
      <c r="C17" s="1171" t="s">
        <v>55</v>
      </c>
    </row>
    <row r="18" spans="1:3" ht="14.25">
      <c r="A18" s="3249"/>
      <c r="B18" s="3247"/>
      <c r="C18" s="1171" t="s">
        <v>56</v>
      </c>
    </row>
    <row r="19" spans="1:3" ht="14.25">
      <c r="A19" s="3249"/>
      <c r="B19" s="3245" t="s">
        <v>57</v>
      </c>
      <c r="C19" s="3246"/>
    </row>
    <row r="20" spans="1:3" ht="14.25">
      <c r="A20" s="1172" t="s">
        <v>58</v>
      </c>
      <c r="B20" s="1173"/>
      <c r="C20" s="1174"/>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5" t="s">
        <v>837</v>
      </c>
    </row>
    <row r="25" spans="1:3" ht="14.25">
      <c r="A25" s="3248"/>
      <c r="B25" s="3252"/>
      <c r="C25" s="1175" t="s">
        <v>838</v>
      </c>
    </row>
    <row r="26" spans="1:3" ht="14.25">
      <c r="A26" s="3248"/>
      <c r="B26" s="3252"/>
      <c r="C26" s="1175" t="s">
        <v>839</v>
      </c>
    </row>
    <row r="27" spans="1:3" ht="14.25">
      <c r="A27" s="3248"/>
      <c r="B27" s="3252"/>
      <c r="C27" s="1175" t="s">
        <v>840</v>
      </c>
    </row>
    <row r="28" spans="1:3" ht="14.25">
      <c r="A28" s="3248"/>
      <c r="B28" s="3252"/>
      <c r="C28" s="1175" t="s">
        <v>841</v>
      </c>
    </row>
    <row r="29" spans="1:3" ht="14.25">
      <c r="A29" s="3248"/>
      <c r="B29" s="3252"/>
      <c r="C29" s="1175" t="s">
        <v>842</v>
      </c>
    </row>
    <row r="30" spans="1:3" ht="14.25">
      <c r="A30" s="3248"/>
      <c r="B30" s="3252"/>
      <c r="C30" s="1175" t="s">
        <v>843</v>
      </c>
    </row>
    <row r="31" spans="1:3" ht="14.25">
      <c r="A31" s="3248"/>
      <c r="B31" s="3252"/>
      <c r="C31" s="1175" t="s">
        <v>844</v>
      </c>
    </row>
    <row r="32" spans="1:3" ht="14.25">
      <c r="A32" s="3248"/>
      <c r="B32" s="3252"/>
      <c r="C32" s="1175" t="s">
        <v>1647</v>
      </c>
    </row>
    <row r="33" spans="1:3" ht="14.25">
      <c r="A33" s="3248"/>
      <c r="B33" s="3242" t="s">
        <v>1653</v>
      </c>
      <c r="C33" s="1175" t="s">
        <v>1648</v>
      </c>
    </row>
    <row r="34" spans="1:3" ht="14.25">
      <c r="A34" s="3248"/>
      <c r="B34" s="3243"/>
      <c r="C34" s="1180" t="s">
        <v>1649</v>
      </c>
    </row>
    <row r="35" spans="1:3" ht="14.25">
      <c r="A35" s="3248"/>
      <c r="B35" s="3243"/>
      <c r="C35" s="1181" t="s">
        <v>1650</v>
      </c>
    </row>
    <row r="36" spans="1:3" ht="14.25">
      <c r="A36" s="3248"/>
      <c r="B36" s="3243"/>
      <c r="C36" s="1181" t="s">
        <v>1651</v>
      </c>
    </row>
    <row r="37" spans="1:3" ht="14.25">
      <c r="A37" s="3248"/>
      <c r="B37" s="324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43440</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53" t="s">
        <v>1927</v>
      </c>
      <c r="B25" s="3253"/>
      <c r="C25" s="3253"/>
      <c r="D25" s="3253"/>
      <c r="E25" s="3253"/>
      <c r="F25" s="3253"/>
      <c r="G25" s="3253"/>
    </row>
    <row r="26" spans="1:7" ht="20.25" customHeight="1">
      <c r="A26" s="3254" t="s">
        <v>1928</v>
      </c>
      <c r="B26" s="3254"/>
      <c r="C26" s="3254"/>
      <c r="D26" s="3254" t="s">
        <v>1929</v>
      </c>
      <c r="E26" s="3254"/>
      <c r="F26" s="3254"/>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3165</v>
      </c>
      <c r="C21" s="1553"/>
    </row>
    <row r="22" spans="1:3">
      <c r="A22" s="8" t="s">
        <v>123</v>
      </c>
      <c r="B22" s="3088" t="s">
        <v>3167</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55"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c r="D53" s="1766"/>
      <c r="E53" s="1766"/>
    </row>
    <row r="54" spans="1:5">
      <c r="A54" s="3255"/>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55"/>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55"/>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55"/>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2018-12-06T08:21:46Z</dcterms:modified>
</cp:coreProperties>
</file>