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表二" sheetId="71"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r:id="rId44"/>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AB5" i="59"/>
  <c r="AA5" i="59"/>
  <c r="Y5" i="59"/>
  <c r="X5" i="59"/>
  <c r="C25" i="71"/>
  <c r="Q25" i="71"/>
  <c r="F1" i="46" l="1"/>
  <c r="D3" i="71" l="1"/>
  <c r="D2" i="71"/>
  <c r="AY3" i="3"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1" i="55"/>
  <c r="A10" i="55"/>
  <c r="A9" i="55"/>
  <c r="A8" i="55"/>
  <c r="A6" i="54"/>
  <c r="A8" i="54"/>
  <c r="A7" i="54"/>
  <c r="A28" i="51"/>
  <c r="A27" i="51"/>
  <c r="D5" i="46" l="1"/>
  <c r="Q8" i="59" l="1"/>
  <c r="O8" i="59"/>
  <c r="N9" i="59"/>
  <c r="O9" i="59"/>
  <c r="P9" i="59"/>
  <c r="Q9" i="59"/>
  <c r="N8" i="59"/>
  <c r="P8" i="59"/>
  <c r="E12" i="67"/>
  <c r="E11" i="67"/>
  <c r="F10" i="67"/>
  <c r="B8" i="67"/>
  <c r="E13" i="67"/>
  <c r="F8" i="67"/>
  <c r="B12" i="67"/>
  <c r="F14" i="67"/>
  <c r="F9" i="67"/>
  <c r="B14" i="67"/>
  <c r="F13" i="67"/>
  <c r="E14" i="67"/>
  <c r="E10" i="67"/>
  <c r="F12" i="67"/>
  <c r="E9" i="67"/>
  <c r="B11" i="67"/>
  <c r="B13" i="67"/>
  <c r="F11" i="67"/>
  <c r="B10" i="67"/>
  <c r="B9"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4" i="65"/>
  <c r="J6" i="65"/>
  <c r="N3" i="65"/>
  <c r="J5" i="65"/>
  <c r="I7" i="65"/>
  <c r="N6" i="65"/>
  <c r="J3" i="65"/>
  <c r="J1" i="65" l="1"/>
  <c r="C4" i="65"/>
  <c r="B39" i="1" s="1"/>
  <c r="I3" i="65"/>
  <c r="J4" i="65"/>
  <c r="J7" i="65"/>
  <c r="I6" i="65"/>
  <c r="I5" i="65"/>
  <c r="I4"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E10" i="59"/>
  <c r="AA6"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Z5" i="59"/>
  <c r="F10"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M19" i="46" s="1"/>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Q42" i="34"/>
  <c r="Z42" i="34" s="1"/>
  <c r="Q41" i="34"/>
  <c r="Z41" i="34" s="1"/>
  <c r="Q40" i="34"/>
  <c r="Z40" i="34" s="1"/>
  <c r="F40" i="34"/>
  <c r="S40" i="34" s="1"/>
  <c r="Q39" i="34"/>
  <c r="Z39" i="34" s="1"/>
  <c r="J39" i="34"/>
  <c r="AC39" i="34" s="1"/>
  <c r="F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AB43" i="34" s="1"/>
  <c r="U42" i="34"/>
  <c r="E114" i="34"/>
  <c r="H36" i="34"/>
  <c r="U36"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AB31" i="21"/>
  <c r="AB13" i="21"/>
  <c r="S46" i="21"/>
  <c r="U46" i="21"/>
  <c r="AC30" i="21"/>
  <c r="W30" i="21"/>
  <c r="AB30" i="21"/>
  <c r="S28" i="21"/>
  <c r="AA28" i="21"/>
  <c r="AB14" i="21"/>
  <c r="W14" i="21"/>
  <c r="AC14" i="21"/>
  <c r="W42" i="21"/>
  <c r="W31" i="34"/>
  <c r="S46" i="33"/>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1" i="3"/>
  <c r="AZ335" i="3"/>
  <c r="AZ339" i="3"/>
  <c r="AZ347" i="3"/>
  <c r="AZ351" i="3"/>
  <c r="AZ361" i="3"/>
  <c r="AZ369" i="3"/>
  <c r="AZ38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s="1"/>
  <c r="U42" i="21"/>
  <c r="AC26" i="36"/>
  <c r="W25" i="35"/>
  <c r="AZ300" i="3"/>
  <c r="AZ354"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B29" i="35"/>
  <c r="U29" i="35"/>
  <c r="AC19" i="33"/>
  <c r="W19" i="33"/>
  <c r="AC34" i="37"/>
  <c r="S35" i="37"/>
  <c r="AA35" i="37"/>
  <c r="AB10" i="35"/>
  <c r="AA32" i="21"/>
  <c r="S32" i="21"/>
  <c r="U38" i="21"/>
  <c r="AB34" i="21"/>
  <c r="BL571" i="3"/>
  <c r="BA571" i="3"/>
  <c r="AZ571" i="3"/>
  <c r="BL570" i="3"/>
  <c r="BE5" i="3"/>
  <c r="F42" i="21"/>
  <c r="AA42" i="21" s="1"/>
  <c r="AB40" i="33"/>
  <c r="U40" i="33"/>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E106" i="33"/>
  <c r="H34" i="33"/>
  <c r="U34" i="33" s="1"/>
  <c r="F34" i="33"/>
  <c r="S34" i="33" s="1"/>
  <c r="E121" i="33"/>
  <c r="F41" i="33"/>
  <c r="S41" i="33" s="1"/>
  <c r="AC34" i="34"/>
  <c r="W34" i="34"/>
  <c r="AA39" i="34"/>
  <c r="S39" i="34"/>
  <c r="E78" i="34"/>
  <c r="F15" i="34" s="1"/>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M1" i="46"/>
  <c r="M6" i="46"/>
  <c r="M10" i="46"/>
  <c r="N2" i="46"/>
  <c r="N5" i="46"/>
  <c r="F58" i="46" s="1"/>
  <c r="F47" i="46"/>
  <c r="H49" i="46" s="1"/>
  <c r="N7" i="46"/>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AC41" i="40"/>
  <c r="W41" i="40"/>
  <c r="U41" i="40"/>
  <c r="J23" i="40"/>
  <c r="AC23" i="40" s="1"/>
  <c r="F23" i="40"/>
  <c r="S23" i="40" s="1"/>
  <c r="AC15" i="40"/>
  <c r="W15" i="40"/>
  <c r="W27" i="39"/>
  <c r="S23" i="39"/>
  <c r="AB16" i="39"/>
  <c r="W14" i="39"/>
  <c r="U23" i="35"/>
  <c r="AB23" i="35"/>
  <c r="H20" i="35"/>
  <c r="F20" i="35"/>
  <c r="S20" i="35" s="1"/>
  <c r="H15" i="34"/>
  <c r="AB15" i="34" s="1"/>
  <c r="F78" i="34"/>
  <c r="G78" i="34"/>
  <c r="J15" i="34"/>
  <c r="W15" i="34" s="1"/>
  <c r="H41" i="33"/>
  <c r="U41" i="33" s="1"/>
  <c r="F121" i="33"/>
  <c r="G121" i="33"/>
  <c r="H121" i="33" s="1"/>
  <c r="I121" i="33" s="1"/>
  <c r="J121" i="33" s="1"/>
  <c r="K121" i="33" s="1"/>
  <c r="L121" i="33" s="1"/>
  <c r="M121" i="33" s="1"/>
  <c r="F30" i="40"/>
  <c r="AA30" i="40" s="1"/>
  <c r="H100" i="40"/>
  <c r="I100" i="40" s="1"/>
  <c r="J100" i="40" s="1"/>
  <c r="K100" i="40" s="1"/>
  <c r="L100" i="40" s="1"/>
  <c r="M100" i="40" s="1"/>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6" i="33"/>
  <c r="W36" i="33" s="1"/>
  <c r="S41" i="40"/>
  <c r="AB23" i="40"/>
  <c r="U27" i="39"/>
  <c r="H23" i="39"/>
  <c r="AB23" i="39" s="1"/>
  <c r="J23" i="39"/>
  <c r="AC23" i="39" s="1"/>
  <c r="F97" i="39"/>
  <c r="G97" i="39"/>
  <c r="S16" i="39"/>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E2" i="65"/>
  <c r="U27" i="33" l="1"/>
  <c r="AB27" i="33"/>
  <c r="U45" i="33"/>
  <c r="AB45" i="33"/>
  <c r="J17" i="40"/>
  <c r="F86" i="40"/>
  <c r="G86" i="40" s="1"/>
  <c r="H112" i="34"/>
  <c r="I112" i="34" s="1"/>
  <c r="J112" i="34" s="1"/>
  <c r="K112" i="34" s="1"/>
  <c r="L112" i="34" s="1"/>
  <c r="M112" i="34" s="1"/>
  <c r="F37" i="34"/>
  <c r="J37" i="34"/>
  <c r="AC37" i="34" s="1"/>
  <c r="H37" i="34"/>
  <c r="AZ420" i="3"/>
  <c r="AZ432" i="3"/>
  <c r="AZ447" i="3"/>
  <c r="AZ465" i="3"/>
  <c r="AC9" i="33"/>
  <c r="W9" i="33"/>
  <c r="U36" i="35"/>
  <c r="AB36" i="35"/>
  <c r="U27" i="37"/>
  <c r="AB27" i="37"/>
  <c r="AZ397" i="3"/>
  <c r="AZ408" i="3"/>
  <c r="AZ413" i="3"/>
  <c r="AZ424" i="3"/>
  <c r="AZ437" i="3"/>
  <c r="AZ457" i="3"/>
  <c r="AZ470" i="3"/>
  <c r="AZ473" i="3"/>
  <c r="AB32" i="40"/>
  <c r="W35" i="40"/>
  <c r="AB14" i="40"/>
  <c r="U31" i="37"/>
  <c r="U30" i="33"/>
  <c r="AB13" i="35"/>
  <c r="AA38" i="37"/>
  <c r="H39" i="34"/>
  <c r="F43" i="34"/>
  <c r="AA43" i="34" s="1"/>
  <c r="J43" i="34"/>
  <c r="J12" i="35"/>
  <c r="J36" i="35"/>
  <c r="F7" i="1"/>
  <c r="H5" i="3"/>
  <c r="C92" i="9"/>
  <c r="AZ318" i="3"/>
  <c r="AZ334" i="3"/>
  <c r="AZ350" i="3"/>
  <c r="AZ208" i="3"/>
  <c r="AZ211" i="3"/>
  <c r="AZ224" i="3"/>
  <c r="AZ227" i="3"/>
  <c r="AZ240" i="3"/>
  <c r="AZ243" i="3"/>
  <c r="AZ256" i="3"/>
  <c r="AZ259" i="3"/>
  <c r="AZ275" i="3"/>
  <c r="AZ287" i="3"/>
  <c r="AZ28" i="3"/>
  <c r="AZ279" i="3"/>
  <c r="AZ294" i="3"/>
  <c r="AZ113" i="3"/>
  <c r="AZ116" i="3"/>
  <c r="AZ129" i="3"/>
  <c r="AZ132" i="3"/>
  <c r="AZ145" i="3"/>
  <c r="AZ148" i="3"/>
  <c r="AZ36" i="3"/>
  <c r="AZ42" i="3"/>
  <c r="AZ45" i="3"/>
  <c r="AZ52" i="3"/>
  <c r="AZ58" i="3"/>
  <c r="AZ61" i="3"/>
  <c r="AZ67" i="3"/>
  <c r="BA21" i="3"/>
  <c r="AZ21" i="3" s="1"/>
  <c r="AZ29" i="3"/>
  <c r="AZ69" i="3"/>
  <c r="AZ73" i="3"/>
  <c r="AZ87" i="3"/>
  <c r="AZ89" i="3"/>
  <c r="AZ100" i="3"/>
  <c r="AZ105" i="3"/>
  <c r="I21" i="57"/>
  <c r="D1" i="57" s="1"/>
  <c r="E10" i="57" s="1"/>
  <c r="N73" i="46"/>
  <c r="C18" i="9"/>
  <c r="D11" i="71" s="1"/>
  <c r="D13" i="71" s="1"/>
  <c r="A30" i="64"/>
  <c r="A30" i="51"/>
  <c r="AC41" i="34"/>
  <c r="AB38" i="34"/>
  <c r="H35" i="34"/>
  <c r="U35" i="34" s="1"/>
  <c r="J35" i="34"/>
  <c r="W35" i="34" s="1"/>
  <c r="F35" i="34"/>
  <c r="F107" i="34"/>
  <c r="G107" i="34" s="1"/>
  <c r="H107" i="34" s="1"/>
  <c r="I107" i="34" s="1"/>
  <c r="J107" i="34" s="1"/>
  <c r="K107" i="34" s="1"/>
  <c r="L107" i="34" s="1"/>
  <c r="M107" i="34" s="1"/>
  <c r="AC27" i="34"/>
  <c r="W27" i="34"/>
  <c r="S28" i="34"/>
  <c r="AA28" i="34"/>
  <c r="AC28" i="34"/>
  <c r="AB45" i="34"/>
  <c r="AC15" i="34"/>
  <c r="AA15" i="34"/>
  <c r="AA44" i="34"/>
  <c r="U43" i="34"/>
  <c r="AB36" i="34"/>
  <c r="AA36" i="34"/>
  <c r="S17" i="34"/>
  <c r="G14" i="3"/>
  <c r="C10" i="15"/>
  <c r="C52" i="15"/>
  <c r="F6" i="1"/>
  <c r="AP6" i="1" s="1"/>
  <c r="G11" i="1"/>
  <c r="M22" i="44"/>
  <c r="F32" i="15"/>
  <c r="F59" i="15" s="1"/>
  <c r="F29" i="12"/>
  <c r="F70" i="9"/>
  <c r="D86" i="9"/>
  <c r="M20" i="44"/>
  <c r="F31" i="43"/>
  <c r="F30" i="44"/>
  <c r="C30" i="44" s="1"/>
  <c r="C27" i="43"/>
  <c r="C25" i="12"/>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5" i="44"/>
  <c r="M11" i="44"/>
  <c r="M31" i="44"/>
  <c r="M30" i="44"/>
  <c r="F8" i="44"/>
  <c r="F18" i="44"/>
  <c r="F10" i="44"/>
  <c r="L49" i="44"/>
  <c r="M10" i="44"/>
  <c r="M26" i="44"/>
  <c r="M28" i="44"/>
  <c r="F39" i="44"/>
  <c r="M6" i="15"/>
  <c r="J36" i="15"/>
  <c r="M8" i="44"/>
  <c r="F28" i="44"/>
  <c r="M29" i="44"/>
  <c r="J15" i="15"/>
  <c r="F40" i="44"/>
  <c r="L48" i="44"/>
  <c r="M26" i="15"/>
  <c r="L47" i="15"/>
  <c r="M24" i="15"/>
  <c r="M23" i="15"/>
  <c r="C15" i="43"/>
  <c r="M27" i="15"/>
  <c r="F43" i="15"/>
  <c r="J17" i="44"/>
  <c r="F15" i="44"/>
  <c r="F45" i="44"/>
  <c r="F36" i="15"/>
  <c r="F26" i="15"/>
  <c r="M24" i="44"/>
  <c r="F11" i="44"/>
  <c r="F13" i="15"/>
  <c r="F43" i="44"/>
  <c r="F38" i="44"/>
  <c r="F9" i="44"/>
  <c r="F42" i="15"/>
  <c r="F37" i="15"/>
  <c r="S43" i="34" l="1"/>
  <c r="D18" i="9"/>
  <c r="M44" i="9" s="1"/>
  <c r="AC36" i="35"/>
  <c r="W36" i="35"/>
  <c r="AC43" i="34"/>
  <c r="W43" i="34"/>
  <c r="U39" i="34"/>
  <c r="AB39" i="34"/>
  <c r="AB37" i="34"/>
  <c r="U37" i="34"/>
  <c r="AA37" i="34"/>
  <c r="S37" i="34"/>
  <c r="E413" i="3"/>
  <c r="D29" i="46"/>
  <c r="D1" i="46" s="1"/>
  <c r="F19" i="6"/>
  <c r="E19" i="6" s="1"/>
  <c r="AZ3" i="3"/>
  <c r="W12" i="35"/>
  <c r="AC12" i="35"/>
  <c r="S35" i="34"/>
  <c r="AA35" i="34"/>
  <c r="H77" i="46"/>
  <c r="H69" i="46"/>
  <c r="H75" i="46"/>
  <c r="C6" i="46"/>
  <c r="C5" i="46" s="1"/>
  <c r="H74" i="46"/>
  <c r="H73" i="46"/>
  <c r="H76" i="46"/>
  <c r="AB11" i="46"/>
  <c r="AB13" i="46" s="1"/>
  <c r="G6" i="1"/>
  <c r="L59" i="15"/>
  <c r="Q75" i="15" s="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F30" i="6"/>
  <c r="E28" i="6"/>
  <c r="E13" i="6"/>
  <c r="E11" i="6"/>
  <c r="H70" i="46"/>
  <c r="H72" i="46"/>
  <c r="F24" i="15"/>
  <c r="C24" i="15" s="1"/>
  <c r="F26" i="44"/>
  <c r="C26" i="44" s="1"/>
  <c r="F26" i="12"/>
  <c r="F21" i="43"/>
  <c r="C23" i="43" s="1"/>
  <c r="D21" i="43" s="1"/>
  <c r="A9" i="64"/>
  <c r="A9" i="51"/>
  <c r="B9" i="63"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G33" i="46"/>
  <c r="I33" i="46" s="1"/>
  <c r="E4" i="4"/>
  <c r="C4" i="4"/>
  <c r="F64" i="15"/>
  <c r="C27" i="15"/>
  <c r="Q72" i="15"/>
  <c r="F63" i="15"/>
  <c r="F70" i="15"/>
  <c r="G66" i="36"/>
  <c r="J18" i="36"/>
  <c r="AE8" i="1"/>
  <c r="AE7" i="1"/>
  <c r="AE6" i="1"/>
  <c r="F31" i="15"/>
  <c r="F58" i="15"/>
  <c r="M19" i="44"/>
  <c r="M17" i="15"/>
  <c r="F33" i="44"/>
  <c r="L48" i="15"/>
  <c r="F40" i="15"/>
  <c r="M22" i="15"/>
  <c r="F38" i="15"/>
  <c r="M8" i="15"/>
  <c r="F9" i="15"/>
  <c r="M29" i="15"/>
  <c r="F41" i="15"/>
  <c r="F7" i="15"/>
  <c r="M28" i="15"/>
  <c r="M9" i="15"/>
  <c r="F6" i="15"/>
  <c r="F8" i="15"/>
  <c r="F16" i="15"/>
  <c r="C18" i="44"/>
  <c r="F46" i="44"/>
  <c r="D10" i="71" l="1"/>
  <c r="D12" i="71" s="1"/>
  <c r="F50" i="15"/>
  <c r="C6" i="15"/>
  <c r="F49" i="15"/>
  <c r="M7" i="15"/>
  <c r="J6" i="15" s="1"/>
  <c r="J5" i="15" s="1"/>
  <c r="J18" i="15" s="1"/>
  <c r="F65" i="15"/>
  <c r="F67" i="15"/>
  <c r="I54" i="15"/>
  <c r="L58" i="15"/>
  <c r="Q74" i="15" s="1"/>
  <c r="J53" i="15"/>
  <c r="F1" i="15" s="1"/>
  <c r="J57" i="15"/>
  <c r="J55" i="15" s="1"/>
  <c r="J58" i="15" s="1"/>
  <c r="Q51" i="15" s="1"/>
  <c r="L56" i="15"/>
  <c r="C12" i="71"/>
  <c r="E32" i="6"/>
  <c r="C9" i="43"/>
  <c r="D3" i="34"/>
  <c r="K6" i="1"/>
  <c r="T10" i="46"/>
  <c r="V10" i="46" s="1"/>
  <c r="T14" i="46"/>
  <c r="V14" i="46" s="1"/>
  <c r="T9" i="46"/>
  <c r="V9" i="46" s="1"/>
  <c r="T13" i="46"/>
  <c r="V13" i="46" s="1"/>
  <c r="T8" i="46"/>
  <c r="V8" i="46" s="1"/>
  <c r="T12" i="46"/>
  <c r="V12" i="46" s="1"/>
  <c r="T16" i="46"/>
  <c r="V16" i="46" s="1"/>
  <c r="T11" i="46"/>
  <c r="V11" i="46" s="1"/>
  <c r="T15" i="46"/>
  <c r="V15" i="46" s="1"/>
  <c r="C38" i="46"/>
  <c r="G38" i="46" s="1"/>
  <c r="I38" i="46" s="1"/>
  <c r="C39" i="46"/>
  <c r="G39" i="46" s="1"/>
  <c r="I39" i="46" s="1"/>
  <c r="C37" i="46"/>
  <c r="G37" i="46" s="1"/>
  <c r="I37"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C23" i="46" s="1"/>
  <c r="C21" i="46" s="1"/>
  <c r="C29" i="46" s="1"/>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AG6" i="1"/>
  <c r="F31" i="6"/>
  <c r="AC6" i="3"/>
  <c r="D21" i="12"/>
  <c r="C21" i="12" s="1"/>
  <c r="D12" i="11"/>
  <c r="C12" i="11" s="1"/>
  <c r="F68" i="15"/>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Q62" i="15"/>
  <c r="E46" i="37"/>
  <c r="F46" i="37" s="1"/>
  <c r="C48" i="33"/>
  <c r="C49" i="33"/>
  <c r="B3" i="33" s="1"/>
  <c r="B2" i="33" s="1"/>
  <c r="C16" i="15"/>
  <c r="F24" i="43"/>
  <c r="L52" i="44"/>
  <c r="Q61" i="15" l="1"/>
  <c r="C48" i="15"/>
  <c r="Q53" i="15"/>
  <c r="M6" i="1"/>
  <c r="O6" i="1" s="1"/>
  <c r="P6" i="1" s="1"/>
  <c r="C15" i="12" s="1"/>
  <c r="G16" i="1"/>
  <c r="H16" i="1"/>
  <c r="AP16" i="1"/>
  <c r="F22" i="11" s="1"/>
  <c r="Q16" i="1"/>
  <c r="I53" i="34"/>
  <c r="J53" i="34" s="1"/>
  <c r="E38" i="46"/>
  <c r="E37" i="46"/>
  <c r="E39" i="46"/>
  <c r="E29" i="46"/>
  <c r="C30" i="46"/>
  <c r="E30" i="46" s="1"/>
  <c r="C27" i="4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D113" i="46"/>
  <c r="J22" i="46" s="1"/>
  <c r="E41" i="36"/>
  <c r="F41" i="36" s="1"/>
  <c r="I47" i="37"/>
  <c r="J47" i="37" s="1"/>
  <c r="G47" i="37"/>
  <c r="H47" i="37" s="1"/>
  <c r="E53" i="33"/>
  <c r="F53" i="33" s="1"/>
  <c r="I53" i="33"/>
  <c r="J53" i="33" s="1"/>
  <c r="L27" i="6"/>
  <c r="E38" i="35"/>
  <c r="I43" i="35" s="1"/>
  <c r="J43" i="35" s="1"/>
  <c r="I41" i="36"/>
  <c r="J41" i="36" s="1"/>
  <c r="R37" i="36"/>
  <c r="C26" i="43"/>
  <c r="D24" i="43" s="1"/>
  <c r="C32" i="12"/>
  <c r="D30" i="12" s="1"/>
  <c r="M14" i="1"/>
  <c r="K16" i="1"/>
  <c r="M20" i="6"/>
  <c r="I20" i="6" s="1"/>
  <c r="S20" i="6" s="1"/>
  <c r="S7" i="1"/>
  <c r="K27" i="6"/>
  <c r="M19" i="6"/>
  <c r="S6" i="1"/>
  <c r="M21" i="6"/>
  <c r="I21" i="6" s="1"/>
  <c r="S21" i="6" s="1"/>
  <c r="S8" i="1"/>
  <c r="M22" i="6"/>
  <c r="I22" i="6" s="1"/>
  <c r="S22" i="6" s="1"/>
  <c r="S9" i="1"/>
  <c r="E3" i="6"/>
  <c r="AY6" i="3"/>
  <c r="R43" i="37"/>
  <c r="R50" i="34"/>
  <c r="C50"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7" i="67"/>
  <c r="C17" i="15"/>
  <c r="C19" i="44"/>
  <c r="J12" i="40" l="1"/>
  <c r="F12" i="39"/>
  <c r="F12" i="40"/>
  <c r="H12" i="40"/>
  <c r="H12" i="39"/>
  <c r="J12" i="39"/>
  <c r="F18" i="11"/>
  <c r="C18" i="11" s="1"/>
  <c r="C19" i="11" s="1"/>
  <c r="C20" i="11" s="1"/>
  <c r="C21" i="11" s="1"/>
  <c r="C22" i="11" s="1"/>
  <c r="C23" i="11" s="1"/>
  <c r="B2" i="11" s="1"/>
  <c r="B3" i="11" s="1"/>
  <c r="F33" i="12"/>
  <c r="C34" i="12" s="1"/>
  <c r="D33" i="12" s="1"/>
  <c r="B3" i="34"/>
  <c r="B2" i="34" s="1"/>
  <c r="C8" i="43"/>
  <c r="C10" i="43" s="1"/>
  <c r="C6" i="43" s="1"/>
  <c r="C31" i="43" s="1"/>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7" i="67"/>
  <c r="D16" i="43"/>
  <c r="AC12" i="39" l="1"/>
  <c r="W12" i="39"/>
  <c r="AB12" i="40"/>
  <c r="U12" i="40"/>
  <c r="AA12" i="39"/>
  <c r="S12" i="39"/>
  <c r="U12" i="39"/>
  <c r="AB12" i="39"/>
  <c r="AA12" i="40"/>
  <c r="S12" i="40"/>
  <c r="AC12" i="40"/>
  <c r="W12" i="40"/>
  <c r="C16" i="43"/>
  <c r="E3" i="67"/>
  <c r="E68" i="39"/>
  <c r="E63" i="40"/>
  <c r="B2" i="67"/>
  <c r="B4" i="46"/>
  <c r="B3" i="46"/>
  <c r="T10" i="1"/>
  <c r="T9" i="1"/>
  <c r="T6" i="1"/>
  <c r="T11" i="1"/>
  <c r="T8" i="1"/>
  <c r="T12" i="1"/>
  <c r="O16" i="1"/>
  <c r="P14" i="1"/>
  <c r="P16" i="1" s="1"/>
  <c r="C13" i="12" s="1"/>
  <c r="L16" i="1"/>
  <c r="N16" i="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29" i="43"/>
  <c r="C16" i="44"/>
  <c r="C14" i="15"/>
  <c r="C13" i="43"/>
  <c r="C18" i="15" l="1"/>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C23" i="12"/>
  <c r="C35" i="12" s="1"/>
  <c r="C33" i="12" s="1"/>
  <c r="C19" i="43"/>
  <c r="C22" i="43" s="1"/>
  <c r="C21" i="43" s="1"/>
  <c r="K67" i="40"/>
  <c r="L65" i="40"/>
  <c r="K72" i="39"/>
  <c r="L70" i="39"/>
  <c r="Q49" i="15" l="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C57" i="15" s="1"/>
  <c r="C66" i="15" s="1"/>
  <c r="C67" i="15" s="1"/>
  <c r="C70" i="15" s="1"/>
  <c r="Q70" i="44"/>
  <c r="Q49" i="44"/>
  <c r="Q55" i="44" s="1"/>
  <c r="Q58" i="44"/>
  <c r="Q64" i="44" s="1"/>
  <c r="B3" i="12"/>
  <c r="B4" i="12"/>
  <c r="L44" i="9"/>
  <c r="B5" i="12"/>
  <c r="J9" i="40"/>
  <c r="F9" i="40"/>
  <c r="H9" i="40"/>
  <c r="J9" i="39"/>
  <c r="H9" i="39"/>
  <c r="F9" i="39"/>
  <c r="B4" i="43"/>
  <c r="D21" i="9"/>
  <c r="D20" i="9"/>
  <c r="B3" i="43"/>
  <c r="B5" i="43"/>
  <c r="C10" i="71" l="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B3" i="15" s="1"/>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C13" i="71" l="1"/>
  <c r="C11" i="71"/>
  <c r="G20" i="9"/>
  <c r="G21" i="9"/>
  <c r="C45" i="9"/>
  <c r="H14" i="66" s="1"/>
  <c r="B7" i="66" s="1"/>
  <c r="G22" i="9"/>
  <c r="N43" i="9"/>
  <c r="E10" i="71" l="1"/>
  <c r="E12" i="71"/>
  <c r="E23" i="71" s="1"/>
  <c r="D7" i="66"/>
  <c r="C7" i="66"/>
  <c r="C42" i="9"/>
  <c r="O38" i="9"/>
  <c r="K25" i="9" s="1"/>
  <c r="C34" i="9"/>
  <c r="C33" i="9"/>
  <c r="O43" i="9"/>
  <c r="C35" i="9"/>
  <c r="F42" i="9" s="1"/>
  <c r="G12" i="71" l="1"/>
  <c r="K22" i="71" s="1"/>
  <c r="L22" i="71" s="1"/>
  <c r="G10" i="71"/>
  <c r="H10" i="71" s="1"/>
  <c r="R21" i="71"/>
  <c r="D21" i="71"/>
  <c r="E21" i="71" s="1"/>
  <c r="D23" i="71"/>
  <c r="R25" i="71" s="1"/>
  <c r="C44" i="9"/>
  <c r="G14" i="66" s="1"/>
  <c r="B6" i="66" s="1"/>
  <c r="D14" i="66"/>
  <c r="F14" i="66" s="1"/>
  <c r="R5" i="54"/>
  <c r="B48" i="63" s="1"/>
  <c r="M38" i="9"/>
  <c r="K27" i="9" s="1"/>
  <c r="E42" i="9"/>
  <c r="N68" i="9"/>
  <c r="D63" i="9"/>
  <c r="C111" i="9" s="1"/>
  <c r="N38" i="9"/>
  <c r="K28" i="9" s="1"/>
  <c r="D42" i="9"/>
  <c r="K26" i="9"/>
  <c r="D45" i="9"/>
  <c r="E45" i="9"/>
  <c r="O40" i="9"/>
  <c r="F45" i="9"/>
  <c r="H12" i="71" l="1"/>
  <c r="K20" i="71"/>
  <c r="S25" i="71"/>
  <c r="L20" i="71"/>
  <c r="L25" i="71" s="1"/>
  <c r="E25" i="71"/>
  <c r="S21" i="7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S22" i="71" l="1"/>
  <c r="S27" i="71"/>
  <c r="S28" i="7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<sst xmlns="http://schemas.openxmlformats.org/spreadsheetml/2006/main" count="7033" uniqueCount="3105">
  <si>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</si>
  <si>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</si>
  <si>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</si>
  <si>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</si>
  <si>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</si>
  <si>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</si>
  <si>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</si>
  <si>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</si>
  <si>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</si>
  <si>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</si>
  <si>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</si>
  <si>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</si>
  <si>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</si>
  <si>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</si>
  <si>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</si>
  <si>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</si>
  <si>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</si>
  <si>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</si>
  <si>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</si>
  <si>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</si>
  <si>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</si>
  <si>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</si>
  <si>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</si>
  <si>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</si>
  <si>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</si>
  <si>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</si>
  <si>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</si>
  <si>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</si>
  <si>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</si>
  <si>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</si>
  <si>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</si>
  <si>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</si>
  <si>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</si>
  <si>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</si>
  <si>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</si>
  <si>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</si>
  <si>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</si>
  <si>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</si>
  <si>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</si>
  <si>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</si>
  <si>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</si>
  <si>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</si>
  <si>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</si>
  <si>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</si>
  <si>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</si>
  <si>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</si>
  <si>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</si>
  <si>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</si>
  <si>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</si>
  <si>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</si>
  <si>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</si>
  <si>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</si>
  <si>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</si>
  <si>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</si>
  <si>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</si>
  <si>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</si>
  <si>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</si>
  <si>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</si>
  <si>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</si>
  <si>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</si>
  <si>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</si>
  <si>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</si>
  <si>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</si>
  <si>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</si>
  <si>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</si>
  <si>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</si>
  <si>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</si>
  <si>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</si>
  <si>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</si>
  <si>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</si>
  <si>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</si>
  <si>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</si>
  <si>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</si>
  <si>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</si>
  <si>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</si>
  <si>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</si>
  <si>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</si>
  <si>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</si>
  <si>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</si>
  <si>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</si>
  <si>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</si>
  <si>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</si>
  <si>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</si>
  <si>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</si>
  <si>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</si>
  <si>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</si>
  <si>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</si>
  <si>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</si>
  <si>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</si>
  <si>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</si>
  <si>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</si>
  <si>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</si>
  <si>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</si>
  <si>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</si>
  <si>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</si>
  <si>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</si>
  <si>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</si>
  <si>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</si>
  <si>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</si>
  <si>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</si>
  <si>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</si>
  <si>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</si>
  <si>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</si>
  <si>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</si>
  <si>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</si>
  <si>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</si>
  <si>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</si>
  <si>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</si>
  <si>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</si>
  <si>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</si>
  <si>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</si>
  <si>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</si>
  <si>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</si>
  <si>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</si>
  <si>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</si>
  <si>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</si>
  <si>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</si>
  <si>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</si>
  <si>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</si>
  <si>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</si>
  <si>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</si>
  <si>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</si>
  <si>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</si>
  <si>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</si>
  <si>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</si>
  <si>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</si>
  <si>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</si>
  <si>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</si>
  <si>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</si>
  <si>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</si>
  <si>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</si>
  <si>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</si>
  <si>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</si>
  <si>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</si>
  <si>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</si>
  <si>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</si>
  <si>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</si>
  <si>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</si>
  <si>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</si>
  <si>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</si>
  <si>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</si>
  <si>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</si>
  <si>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</si>
  <si>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</si>
  <si>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</si>
  <si>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</si>
  <si>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</si>
  <si>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</si>
  <si>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</si>
  <si>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</si>
  <si>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</si>
  <si>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</si>
  <si>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</si>
  <si>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</si>
  <si>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</si>
  <si>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</si>
  <si>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</si>
  <si>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</si>
  <si>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</si>
  <si>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</si>
  <si>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</si>
  <si>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</si>
  <si>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</si>
  <si>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</si>
  <si>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</si>
  <si>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</si>
  <si>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</si>
  <si>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</si>
  <si>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</si>
  <si>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</si>
  <si>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</si>
  <si>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</si>
  <si>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</si>
  <si>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</si>
  <si>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</si>
  <si>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</si>
  <si>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</si>
  <si>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</si>
  <si>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</si>
  <si>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</si>
  <si>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</si>
  <si>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</si>
  <si>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</si>
  <si>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</si>
  <si>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</si>
  <si>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</si>
  <si>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</si>
  <si>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</si>
  <si>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</si>
  <si>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</si>
  <si>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</si>
  <si>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</si>
  <si>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</si>
  <si>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</si>
  <si>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</si>
  <si>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</si>
  <si>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</si>
  <si>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</si>
  <si>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</si>
  <si>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</si>
  <si>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</si>
  <si>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</si>
  <si>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</si>
  <si>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</si>
  <si>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</si>
  <si>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</si>
  <si>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</si>
  <si>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</si>
  <si>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</si>
  <si>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</si>
  <si>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</si>
  <si>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</si>
  <si>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</si>
  <si>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</si>
  <si>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</si>
  <si>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</si>
  <si>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</si>
  <si>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</si>
  <si>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</si>
  <si>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</si>
  <si>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</si>
  <si>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</si>
  <si>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</si>
  <si>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</si>
  <si>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</si>
  <si>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</si>
  <si>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</si>
  <si>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</si>
  <si>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</si>
  <si>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</si>
  <si>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</si>
  <si>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</si>
  <si>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</si>
  <si>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</si>
  <si>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</si>
  <si>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</si>
  <si>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</si>
  <si>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</si>
  <si>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</si>
  <si>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</si>
  <si>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</si>
  <si>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</si>
  <si>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</si>
  <si>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</si>
  <si>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</si>
  <si>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</si>
  <si>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</si>
  <si>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</si>
  <si>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</si>
  <si>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</si>
  <si>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</si>
  <si>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</si>
  <si>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</si>
  <si>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</si>
  <si>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</si>
  <si>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</si>
  <si>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</si>
  <si>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</si>
  <si>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</si>
  <si>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</si>
  <si>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</si>
  <si>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</si>
  <si>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</si>
  <si>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</si>
  <si>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</si>
  <si>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</si>
  <si>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</si>
  <si>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</si>
  <si>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</si>
  <si>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</si>
  <si>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</si>
  <si>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</si>
  <si>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</si>
  <si>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</si>
  <si>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</si>
  <si>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</si>
  <si>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</si>
  <si>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</si>
  <si>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</si>
  <si>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</si>
  <si>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</si>
  <si>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</si>
  <si>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</si>
  <si>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</si>
  <si>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</si>
  <si>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</si>
  <si>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</si>
  <si>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</si>
  <si>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</si>
  <si>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</si>
  <si>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</si>
  <si>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</si>
  <si>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</si>
  <si>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</si>
  <si>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</si>
  <si>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</si>
  <si>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</si>
  <si>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</si>
  <si>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</si>
  <si>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</si>
  <si>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</si>
  <si>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</si>
  <si>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</si>
  <si>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</si>
  <si>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</si>
  <si>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</si>
  <si>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</si>
  <si>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</si>
  <si>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</si>
  <si>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</si>
  <si>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</si>
  <si>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</si>
  <si>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</si>
  <si>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</si>
  <si>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</si>
  <si>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</si>
  <si>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</si>
  <si>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</si>
  <si>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</si>
  <si>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</si>
  <si>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</si>
  <si>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</si>
  <si>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</si>
  <si>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</si>
  <si>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</si>
  <si>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</si>
  <si>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</si>
  <si>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</si>
  <si>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</si>
  <si>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</si>
  <si>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</si>
  <si>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</si>
  <si>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</si>
  <si>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</si>
  <si>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</si>
  <si>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</si>
  <si>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</si>
  <si>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</si>
  <si>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</si>
  <si>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</si>
  <si>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</si>
  <si>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</si>
  <si>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</si>
  <si>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</si>
  <si>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</si>
  <si>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</si>
  <si>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</si>
  <si>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</si>
  <si>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</si>
  <si>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</si>
  <si>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</si>
  <si>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</si>
  <si>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</si>
  <si>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</si>
  <si>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</si>
  <si>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</si>
  <si>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</si>
  <si>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</si>
  <si>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</si>
  <si>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</si>
  <si>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</si>
  <si>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</si>
  <si>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</si>
  <si>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</si>
  <si>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</si>
  <si>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</si>
  <si>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</si>
  <si>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</si>
  <si>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</si>
  <si>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</si>
  <si>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</si>
  <si>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</si>
  <si>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</si>
  <si>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</si>
  <si>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</si>
  <si>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</si>
  <si>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</si>
  <si>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</si>
  <si>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</si>
  <si>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</si>
  <si>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</si>
  <si>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</si>
  <si>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</si>
  <si>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</si>
  <si>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</si>
  <si>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</si>
  <si>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</si>
  <si>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</si>
  <si>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</si>
  <si>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</si>
  <si>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</si>
  <si>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</si>
  <si>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</si>
  <si>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</si>
  <si>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</si>
  <si>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</si>
  <si>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</si>
  <si>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</si>
  <si>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</si>
  <si>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</si>
  <si>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</si>
  <si>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</si>
  <si>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</si>
  <si>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</si>
  <si>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</si>
  <si>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</si>
  <si>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</si>
  <si>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</si>
  <si>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</si>
  <si>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</si>
  <si>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</si>
  <si>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</si>
  <si>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</si>
  <si>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</si>
  <si>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</si>
  <si>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</si>
  <si>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</si>
  <si>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</si>
  <si>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</si>
  <si>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</si>
  <si>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</si>
  <si>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</si>
  <si>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</si>
  <si>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</si>
  <si>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</si>
  <si>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</si>
  <si>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</si>
  <si>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</si>
  <si>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</si>
  <si>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</si>
  <si>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</si>
  <si>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</si>
  <si>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</si>
  <si>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</si>
  <si>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</si>
  <si>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</si>
  <si>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</si>
  <si>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</si>
  <si>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</si>
  <si>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</si>
  <si>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</si>
  <si>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</si>
  <si>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</si>
  <si>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</si>
  <si>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</si>
  <si>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</si>
  <si>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</si>
  <si>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</si>
  <si>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</si>
  <si>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</si>
  <si>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</si>
  <si>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</si>
  <si>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</si>
  <si>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</si>
  <si>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</si>
  <si>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</si>
  <si>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</si>
  <si>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</si>
  <si>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</si>
  <si>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</si>
  <si>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</si>
  <si>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</si>
  <si>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</si>
  <si>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</si>
  <si>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</si>
  <si>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</si>
  <si>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</si>
  <si>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</si>
  <si>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</si>
  <si>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</si>
  <si>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</si>
  <si>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</si>
  <si>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</si>
  <si>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</si>
  <si>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</si>
  <si>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</si>
  <si>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</si>
  <si>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</si>
  <si>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</si>
  <si>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</si>
  <si>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</si>
  <si>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</si>
  <si>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</si>
  <si>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</si>
  <si>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</si>
  <si>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</si>
  <si>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</si>
  <si>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</si>
  <si>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</si>
  <si>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</si>
  <si>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</si>
  <si>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</si>
  <si>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</si>
  <si>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</si>
  <si>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</si>
  <si>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</si>
  <si>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</si>
  <si>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</si>
  <si>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</si>
  <si>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</si>
  <si>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</si>
  <si>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</si>
  <si>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</si>
  <si>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</si>
  <si>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</si>
  <si>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</si>
  <si>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</si>
  <si>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</si>
  <si>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</si>
  <si>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</si>
  <si>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</si>
  <si>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</si>
  <si>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</si>
  <si>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</si>
  <si>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</si>
  <si>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</si>
  <si>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</si>
  <si>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</si>
  <si>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</si>
  <si>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</si>
  <si>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</si>
  <si>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</si>
  <si>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</si>
  <si>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</si>
  <si>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</si>
  <si>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</si>
  <si>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</si>
  <si>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</si>
  <si>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</si>
  <si>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</si>
  <si>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</si>
  <si>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</si>
  <si>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</si>
  <si>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</si>
  <si>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</si>
  <si>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</si>
  <si>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</si>
  <si>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</si>
  <si>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</si>
  <si>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</si>
  <si>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</si>
  <si>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</si>
  <si>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</si>
  <si>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</si>
  <si>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</si>
  <si>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</si>
  <si>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</si>
  <si>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</si>
  <si>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</si>
  <si>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</si>
  <si>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</si>
  <si>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</si>
  <si>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</si>
  <si>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</si>
  <si>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</si>
  <si>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</si>
  <si>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</si>
  <si>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</si>
  <si>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</si>
  <si>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</si>
  <si>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</si>
  <si>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</si>
  <si>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</si>
  <si>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</si>
  <si>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</si>
  <si>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</si>
  <si>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</si>
  <si>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</si>
  <si>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</si>
  <si>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</si>
  <si>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</si>
  <si>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</si>
  <si>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</si>
  <si>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</si>
  <si>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</si>
  <si>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</si>
  <si>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</si>
  <si>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</si>
  <si>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</si>
  <si>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</si>
  <si>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</si>
  <si>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</si>
  <si>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</si>
  <si>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</si>
  <si>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</si>
  <si>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</si>
  <si>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</si>
  <si>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</si>
  <si>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</si>
  <si>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</si>
  <si>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</si>
  <si>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</si>
  <si>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</si>
  <si>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</si>
  <si>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</si>
  <si>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</si>
  <si>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</si>
  <si>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</si>
  <si>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</si>
  <si>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</si>
  <si>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</si>
  <si>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</si>
  <si>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</si>
  <si>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</si>
  <si>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</si>
  <si>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</si>
  <si>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</si>
  <si>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</si>
  <si>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</si>
  <si>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</si>
  <si>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</si>
  <si>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</si>
  <si>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</si>
  <si>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</si>
  <si>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</si>
  <si>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</si>
  <si>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</si>
  <si>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</si>
  <si>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</si>
  <si>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</si>
  <si>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</si>
  <si>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</si>
  <si>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</si>
  <si>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</si>
  <si>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</si>
  <si>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</si>
  <si>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</si>
  <si>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</si>
  <si>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</si>
  <si>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</si>
  <si>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</si>
  <si>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</si>
  <si>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</si>
  <si>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</si>
  <si>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</si>
  <si>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</si>
  <si>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</si>
  <si>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</si>
  <si>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</si>
  <si>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</si>
  <si>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</si>
  <si>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</si>
  <si>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</si>
  <si>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</si>
  <si>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</si>
  <si>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</si>
  <si>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</si>
  <si>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</si>
  <si>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</si>
  <si>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</si>
  <si>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</si>
  <si>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</si>
  <si>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</si>
  <si>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</si>
  <si>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</si>
  <si>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</si>
  <si>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</si>
  <si>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</si>
  <si>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</si>
  <si>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</si>
  <si>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</si>
  <si>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</si>
  <si>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</si>
  <si>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</si>
  <si>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</si>
  <si>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</si>
  <si>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</si>
  <si>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</si>
  <si>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</si>
  <si>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</si>
  <si>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</si>
  <si>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</si>
  <si>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</si>
  <si>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</si>
  <si>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</si>
  <si>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</si>
  <si>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</si>
  <si>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</si>
  <si>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</si>
  <si>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</si>
  <si>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</si>
  <si>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</si>
  <si>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</si>
  <si>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</si>
  <si>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</si>
  <si>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</si>
  <si>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</si>
  <si>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</si>
  <si>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</si>
  <si>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</si>
  <si>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</si>
  <si>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</si>
  <si>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</si>
  <si>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</si>
  <si>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</si>
  <si>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</si>
  <si>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</si>
  <si>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</si>
  <si>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</si>
  <si>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</si>
  <si>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</si>
  <si>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</si>
  <si>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</si>
  <si>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</si>
  <si>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</si>
  <si>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</si>
  <si>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</si>
  <si>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</si>
  <si>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</si>
  <si>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</si>
  <si>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</si>
  <si>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</si>
  <si>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</si>
  <si>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</si>
  <si>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</si>
  <si>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</si>
  <si>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</si>
  <si>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</si>
  <si>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</si>
  <si>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</si>
  <si>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</si>
  <si>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</si>
  <si>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</si>
  <si>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</si>
  <si>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</si>
  <si>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</si>
  <si>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</si>
  <si>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</si>
  <si>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</si>
  <si>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</si>
  <si>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</si>
  <si>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</si>
  <si>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</si>
  <si>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</si>
  <si>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</si>
  <si>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</si>
  <si>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</si>
  <si>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</si>
  <si>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</si>
  <si>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</si>
  <si>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</si>
  <si>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</si>
  <si>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</si>
  <si>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</si>
  <si>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</si>
  <si>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</si>
  <si>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</si>
  <si>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</si>
  <si>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</si>
  <si>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</si>
  <si>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</si>
  <si>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</si>
  <si>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</si>
  <si>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</si>
  <si>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</si>
  <si>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</si>
  <si>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</si>
  <si>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</si>
  <si>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</si>
  <si>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</si>
  <si>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</si>
  <si>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</si>
  <si>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</si>
  <si>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</si>
  <si>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</si>
  <si>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</si>
  <si>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</si>
  <si>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</si>
  <si>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</si>
  <si>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</si>
  <si>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</si>
  <si>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</si>
  <si>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</si>
  <si>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</si>
  <si>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</si>
  <si>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</si>
  <si>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</si>
  <si>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</si>
  <si>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</si>
  <si>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</si>
  <si>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</si>
  <si>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</si>
  <si>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</si>
  <si>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</si>
  <si>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</si>
  <si>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</si>
  <si>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</si>
  <si>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</si>
  <si>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</si>
  <si>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</si>
  <si>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</si>
  <si>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</si>
  <si>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</si>
  <si>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</si>
  <si>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</si>
  <si>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</si>
  <si>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</si>
  <si>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</si>
  <si>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</si>
  <si>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</si>
  <si>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</si>
  <si>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</si>
  <si>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</si>
  <si>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</si>
  <si>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</si>
  <si>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</si>
  <si>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</si>
  <si>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</si>
  <si>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</si>
  <si>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</si>
  <si>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</si>
  <si>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</si>
  <si>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</si>
  <si>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</si>
  <si>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</si>
  <si>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</si>
  <si>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</si>
  <si>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</si>
  <si>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</si>
  <si>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</si>
  <si>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</si>
  <si>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</si>
  <si>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</si>
  <si>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</si>
  <si>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</si>
  <si>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</si>
  <si>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</si>
  <si>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</si>
  <si>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</si>
  <si>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</si>
  <si>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</si>
  <si>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</si>
  <si>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</si>
  <si>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</si>
  <si>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</si>
  <si>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</si>
  <si>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</si>
  <si>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</si>
  <si>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</si>
  <si>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</si>
  <si>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</si>
  <si>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</si>
  <si>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</si>
  <si>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</si>
  <si>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</si>
  <si>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</si>
  <si>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</si>
  <si>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</si>
  <si>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</si>
  <si>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</si>
  <si>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</si>
  <si>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</si>
  <si>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</si>
  <si>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</si>
  <si>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</si>
  <si>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</si>
  <si>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</si>
  <si>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</si>
  <si>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</si>
  <si>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</si>
  <si>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</si>
  <si>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</si>
  <si>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</si>
  <si>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</si>
  <si>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</si>
  <si>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</si>
  <si>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</si>
  <si>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</si>
  <si>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</si>
  <si>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</si>
  <si>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</si>
  <si>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</si>
  <si>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</si>
  <si>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</si>
  <si>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</si>
  <si>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</si>
  <si>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</si>
  <si>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</si>
  <si>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</si>
  <si>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</si>
  <si>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</si>
  <si>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</si>
  <si>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</si>
  <si>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</si>
  <si>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</si>
  <si>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</si>
  <si>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</si>
  <si>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</si>
  <si>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</si>
  <si>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</si>
  <si>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</si>
  <si>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</si>
  <si>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</si>
  <si>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</si>
  <si>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</si>
  <si>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</si>
  <si>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</si>
  <si>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</si>
  <si>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</si>
  <si>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</si>
  <si>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</si>
  <si>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</si>
  <si>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</si>
  <si>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</si>
  <si>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</si>
  <si>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</si>
  <si>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</si>
  <si>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</si>
  <si>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</si>
  <si>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</si>
  <si>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</si>
  <si>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</si>
  <si>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</si>
  <si>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</si>
  <si>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</si>
  <si>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</si>
  <si>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</si>
  <si>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</si>
  <si>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</si>
  <si>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</si>
  <si>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</si>
  <si>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</si>
  <si>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</si>
  <si>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</si>
  <si>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</si>
  <si>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</si>
  <si>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</si>
  <si>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</si>
  <si>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</si>
  <si>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</si>
  <si>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</si>
  <si>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</si>
  <si>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</si>
  <si>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</si>
  <si>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</si>
  <si>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</si>
  <si>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</si>
  <si>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</si>
  <si>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</si>
  <si>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</si>
  <si>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</si>
  <si>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</si>
  <si>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</si>
  <si>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</si>
  <si>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</si>
  <si>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</si>
  <si>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</si>
  <si>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</si>
  <si>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</si>
  <si>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</si>
  <si>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</si>
  <si>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</si>
  <si>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</si>
  <si>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</si>
  <si>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</si>
  <si>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</si>
  <si>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</si>
  <si>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</si>
  <si>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</si>
  <si>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</si>
  <si>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</si>
  <si>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</si>
  <si>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</si>
  <si>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</si>
  <si>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</si>
  <si>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</si>
  <si>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</si>
  <si>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</si>
  <si>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</si>
  <si>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</si>
  <si>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</si>
  <si>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</si>
  <si>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</si>
  <si>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</si>
  <si>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</si>
  <si>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</si>
  <si>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</si>
  <si>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</si>
  <si>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</si>
  <si>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</si>
  <si>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</si>
  <si>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</si>
  <si>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</si>
  <si>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</si>
  <si>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</si>
  <si>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</si>
  <si>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</si>
  <si>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</si>
  <si>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</si>
  <si>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</si>
  <si>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</si>
  <si>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</si>
  <si>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</si>
  <si>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</si>
  <si>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</si>
  <si>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</si>
  <si>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</si>
  <si>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</si>
  <si>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</si>
  <si>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</si>
  <si>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</si>
  <si>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</si>
  <si>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</si>
  <si>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</si>
  <si>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</si>
  <si>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</si>
  <si>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</si>
  <si>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</si>
  <si>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</si>
  <si>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</si>
  <si>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</si>
  <si>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</si>
  <si>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</si>
  <si>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</si>
  <si>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</si>
  <si>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</si>
  <si>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</si>
  <si>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</si>
  <si>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</si>
  <si>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</si>
  <si>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</si>
  <si>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</si>
  <si>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</si>
  <si>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</si>
  <si>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</si>
  <si>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</si>
  <si>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</si>
  <si>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</si>
  <si>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</si>
  <si>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</si>
  <si>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</si>
  <si>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</si>
  <si>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</si>
  <si>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</si>
  <si>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</si>
  <si>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</si>
  <si>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</si>
  <si>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</si>
  <si>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</si>
  <si>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</si>
  <si>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</si>
  <si>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</si>
  <si>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</si>
  <si>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</si>
  <si>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</si>
  <si>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</si>
  <si>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</si>
  <si>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</si>
  <si>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</si>
  <si>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</si>
  <si>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</si>
  <si>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</si>
  <si>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</si>
  <si>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</si>
  <si>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</si>
  <si>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</si>
  <si>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</si>
  <si>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</si>
  <si>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</si>
  <si>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</si>
  <si>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</si>
  <si>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</si>
  <si>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</si>
  <si>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</si>
  <si>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</si>
  <si>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</si>
  <si>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</si>
  <si>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</si>
  <si>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</si>
  <si>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</si>
  <si>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</si>
  <si>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</si>
  <si>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</si>
  <si>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</si>
  <si>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</si>
  <si>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</si>
  <si>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</si>
  <si>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</si>
  <si>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</si>
  <si>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</si>
  <si>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</si>
  <si>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</si>
  <si>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</si>
  <si>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</si>
  <si>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</si>
  <si>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</si>
  <si>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</si>
  <si>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</si>
  <si>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</si>
  <si>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</si>
  <si>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</si>
  <si>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</si>
  <si>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</si>
  <si>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</si>
  <si>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</si>
  <si>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</si>
  <si>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</si>
  <si>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</si>
  <si>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</si>
  <si>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</si>
  <si>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</si>
  <si>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</si>
  <si>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</si>
  <si>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</si>
  <si>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</si>
  <si>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</si>
  <si>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</si>
  <si>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</si>
  <si>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</si>
  <si>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</si>
  <si>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</si>
  <si>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</si>
  <si>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</si>
  <si>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</si>
  <si>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</si>
  <si>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</si>
  <si>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</si>
  <si>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</si>
  <si>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</si>
  <si>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</si>
  <si>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</si>
  <si>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</si>
  <si>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</si>
  <si>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</si>
  <si>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</si>
  <si>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</si>
  <si>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</si>
  <si>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</si>
  <si>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</si>
  <si>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</si>
  <si>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</si>
  <si>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</si>
  <si>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</si>
  <si>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</si>
  <si>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</si>
  <si>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</si>
  <si>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</si>
  <si>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</si>
  <si>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</si>
  <si>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</si>
  <si>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</si>
  <si>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</si>
  <si>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</si>
  <si>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</si>
  <si>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</si>
  <si>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</si>
  <si>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</si>
  <si>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</si>
  <si>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</si>
  <si>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</si>
  <si>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</si>
  <si>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</si>
  <si>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</si>
  <si>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</si>
  <si>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</si>
  <si>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</si>
  <si>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</si>
  <si>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</si>
  <si>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</si>
  <si>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</si>
  <si>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</si>
  <si>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</si>
  <si>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</si>
  <si>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</si>
  <si>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</si>
  <si>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</si>
  <si>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</si>
  <si>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</si>
  <si>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</si>
  <si>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</si>
  <si>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</si>
  <si>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</si>
  <si>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</si>
  <si>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</si>
  <si>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</si>
  <si>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</si>
  <si>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</si>
  <si>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</si>
  <si>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</si>
  <si>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</si>
  <si>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</si>
  <si>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</si>
  <si>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</si>
  <si>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</si>
  <si>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</si>
  <si>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</si>
  <si>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</si>
  <si>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</si>
  <si>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</si>
  <si>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</si>
  <si>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</si>
  <si>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</si>
  <si>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</si>
  <si>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</si>
  <si>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</si>
  <si>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</si>
  <si>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</si>
  <si>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</si>
  <si>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</si>
  <si>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</si>
  <si>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</si>
  <si>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</si>
  <si>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</si>
  <si>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</si>
  <si>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</si>
  <si>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</si>
  <si>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</si>
  <si>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</si>
  <si>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</si>
  <si>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</si>
  <si>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</si>
  <si>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</si>
  <si>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</si>
  <si>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</si>
  <si>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</si>
  <si>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</si>
  <si>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</si>
  <si>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</si>
  <si>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</si>
  <si>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</si>
  <si>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</si>
  <si>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</si>
  <si>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</si>
  <si>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</si>
  <si>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</si>
  <si>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</si>
  <si>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</si>
  <si>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</si>
  <si>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</si>
  <si>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</si>
  <si>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</si>
  <si>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</si>
  <si>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</si>
  <si>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</si>
  <si>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</si>
  <si>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</si>
  <si>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</si>
  <si>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</si>
  <si>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</si>
  <si>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</si>
  <si>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</si>
  <si>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</si>
  <si>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</si>
  <si>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</si>
  <si>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</si>
  <si>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</si>
  <si>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</si>
  <si>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</si>
  <si>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</si>
  <si>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</si>
  <si>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</si>
  <si>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</si>
  <si>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</si>
  <si>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</si>
  <si>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</si>
  <si>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</si>
  <si>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</si>
  <si>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</si>
  <si>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</si>
  <si>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</si>
  <si>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</si>
  <si>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</si>
  <si>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</si>
  <si>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</si>
  <si>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</si>
  <si>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</si>
  <si>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</si>
  <si>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</si>
  <si>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</si>
  <si>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</si>
  <si>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</si>
  <si>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</si>
  <si>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</si>
  <si>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</si>
  <si>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</si>
  <si>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</si>
  <si>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</si>
  <si>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</si>
  <si>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</si>
  <si>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</si>
  <si>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</si>
  <si>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</si>
  <si>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</si>
  <si>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</si>
  <si>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</si>
  <si>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</si>
  <si>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</si>
  <si>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</si>
  <si>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</si>
  <si>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</si>
  <si>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</si>
  <si>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</si>
  <si>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</si>
  <si>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</si>
  <si>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</si>
  <si>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</si>
  <si>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</si>
  <si>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</si>
  <si>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</si>
  <si>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</si>
  <si>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</si>
  <si>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</si>
  <si>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</si>
  <si>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</si>
  <si>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</si>
  <si>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</si>
  <si>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</si>
  <si>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</si>
  <si>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</si>
  <si>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</si>
  <si>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</si>
  <si>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</si>
  <si>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</si>
  <si>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</si>
  <si>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</si>
  <si>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</si>
  <si>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</si>
  <si>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</si>
  <si>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</si>
  <si>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</si>
  <si>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</si>
  <si>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</si>
  <si>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</si>
  <si>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</si>
  <si>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</si>
  <si>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</si>
  <si>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</si>
  <si>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</si>
  <si>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</si>
  <si>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</si>
  <si>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</si>
  <si>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</si>
  <si>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</si>
  <si>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</si>
  <si>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</si>
  <si>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</si>
  <si>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</si>
  <si>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</si>
  <si>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</si>
  <si>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</si>
  <si>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</si>
  <si>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</si>
  <si>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</si>
  <si>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</si>
  <si>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</si>
  <si>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</si>
  <si>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</si>
  <si>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</si>
  <si>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</si>
  <si>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</si>
  <si>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</si>
  <si>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</si>
  <si>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</si>
  <si>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</si>
  <si>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</si>
  <si>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</si>
  <si>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</si>
  <si>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</si>
  <si>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</si>
  <si>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</si>
  <si>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</si>
  <si>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</si>
  <si>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</si>
  <si>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</si>
  <si>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</si>
  <si>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</si>
  <si>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</si>
  <si>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</si>
  <si>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</si>
  <si>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</si>
  <si>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</si>
  <si>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</si>
  <si>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</si>
  <si>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</si>
  <si>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</si>
  <si>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</si>
  <si>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</si>
  <si>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</si>
  <si>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</si>
  <si>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</si>
  <si>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</si>
  <si>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</si>
  <si>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</si>
  <si>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</si>
  <si>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</si>
  <si>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</si>
  <si>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</si>
  <si>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</si>
  <si>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</si>
  <si>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</si>
  <si>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</si>
  <si>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</si>
  <si>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</si>
  <si>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</si>
  <si>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</si>
  <si>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</si>
  <si>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</si>
  <si>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</si>
  <si>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</si>
  <si>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</si>
  <si>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</si>
  <si>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</si>
  <si>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</si>
  <si>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</si>
  <si>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</si>
  <si>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</si>
  <si>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</si>
  <si>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</si>
  <si>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</si>
  <si>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</si>
  <si>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</si>
  <si>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</si>
  <si>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</si>
  <si>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</si>
  <si>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</si>
  <si>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</si>
  <si>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</si>
  <si>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</si>
  <si>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</si>
  <si>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</si>
  <si>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</si>
  <si>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</si>
  <si>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</si>
  <si>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</si>
  <si>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</si>
  <si>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</si>
  <si>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</si>
  <si>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</si>
  <si>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</si>
  <si>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</si>
  <si>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</si>
  <si>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</si>
  <si>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</si>
  <si>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</si>
  <si>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</si>
  <si>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</si>
  <si>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</si>
  <si>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</si>
  <si>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</si>
  <si>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</si>
  <si>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</si>
  <si>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</si>
  <si>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</si>
  <si>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</si>
  <si>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</si>
  <si>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</si>
  <si>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</si>
  <si>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</si>
  <si>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</si>
  <si>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</si>
  <si>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</si>
  <si>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</si>
  <si>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</si>
  <si>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</si>
  <si>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</si>
  <si>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</si>
  <si>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</si>
  <si>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</si>
  <si>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</si>
  <si>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</si>
  <si>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</si>
  <si>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</si>
  <si>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</si>
  <si>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</si>
  <si>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</si>
  <si>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</si>
  <si>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</si>
  <si>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</si>
  <si>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</si>
  <si>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</si>
  <si>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</si>
  <si>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</si>
  <si>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</si>
  <si>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</si>
  <si>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</si>
  <si>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</si>
  <si>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</si>
  <si>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</si>
  <si>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</si>
  <si>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</si>
  <si>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</si>
  <si>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</si>
  <si>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</si>
  <si>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</si>
  <si>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</si>
  <si>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</si>
  <si>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</si>
  <si>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</si>
  <si>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</si>
  <si>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</si>
  <si>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</si>
  <si>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</si>
  <si>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</si>
  <si>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</si>
  <si>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</si>
  <si>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</si>
  <si>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</si>
  <si>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</si>
  <si>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</si>
  <si>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</si>
  <si>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</si>
  <si>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</si>
  <si>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</si>
  <si>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</si>
  <si>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</si>
  <si>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</si>
  <si>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</si>
  <si>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</si>
  <si>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</si>
  <si>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</si>
  <si>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</si>
  <si>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</si>
  <si>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</si>
  <si>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</si>
  <si>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</si>
  <si>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</si>
  <si>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</si>
  <si>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</si>
  <si>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</si>
  <si>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</si>
  <si>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</si>
  <si>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</si>
  <si>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</si>
  <si>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</si>
  <si>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</si>
  <si>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</si>
  <si>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</si>
  <si>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</si>
  <si>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</si>
  <si>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</si>
  <si>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</si>
  <si>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</si>
  <si>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</si>
  <si>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</si>
  <si>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</si>
  <si>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</si>
  <si>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</si>
  <si>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</si>
  <si>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</si>
  <si>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</si>
  <si>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</si>
  <si>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</si>
  <si>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</si>
  <si>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</si>
  <si>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</si>
  <si>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</si>
  <si>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</si>
  <si>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</si>
  <si>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</si>
  <si>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</si>
  <si>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</si>
  <si>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</si>
  <si>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</si>
  <si>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</si>
  <si>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</si>
  <si>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</si>
  <si>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</si>
  <si>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</si>
  <si>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</si>
  <si>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</si>
  <si>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</si>
  <si>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</si>
  <si>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</si>
  <si>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</si>
  <si>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</si>
  <si>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</si>
  <si>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</si>
  <si>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</si>
  <si>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</si>
  <si>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</si>
  <si>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</si>
  <si>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</si>
  <si>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</si>
  <si>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</si>
  <si>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</si>
  <si>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</si>
  <si>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</si>
  <si>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</si>
  <si>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</si>
  <si>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</si>
  <si>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</si>
  <si>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</si>
  <si>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</si>
  <si>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</si>
  <si>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</si>
  <si>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</si>
  <si>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</si>
  <si>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</si>
  <si>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</si>
  <si>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</si>
  <si>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</si>
  <si>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</si>
  <si>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</si>
  <si>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</si>
  <si>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</si>
  <si>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</si>
  <si>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</si>
  <si>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</si>
  <si>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</si>
  <si>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</si>
  <si>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</si>
  <si>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</si>
  <si>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</si>
  <si>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</si>
  <si>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</si>
  <si>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</si>
  <si>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</si>
  <si>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</si>
  <si>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</si>
  <si>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</si>
  <si>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</si>
  <si>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</si>
  <si>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</si>
  <si>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</si>
  <si>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</si>
  <si>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</si>
  <si>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</si>
  <si>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</si>
  <si>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</si>
  <si>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</si>
  <si>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</si>
  <si>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</si>
  <si>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</si>
  <si>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</si>
  <si>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</si>
  <si>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</si>
  <si>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</si>
  <si>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</si>
  <si>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</si>
  <si>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</si>
  <si>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</si>
  <si>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</si>
  <si>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</si>
  <si>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</si>
  <si>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</si>
  <si>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</si>
  <si>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</si>
  <si>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</si>
  <si>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</si>
  <si>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</si>
  <si>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</si>
  <si>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</si>
  <si>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</si>
  <si>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</si>
  <si>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</si>
  <si>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</si>
  <si>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</si>
  <si>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</si>
  <si>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</si>
  <si>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</si>
  <si>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</si>
  <si>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</si>
  <si>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</si>
  <si>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</si>
  <si>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</si>
  <si>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</si>
  <si>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</si>
  <si>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</si>
  <si>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</si>
  <si>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</si>
  <si>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</si>
  <si>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</si>
  <si>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</si>
  <si>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</si>
  <si>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</si>
  <si>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</si>
  <si>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</si>
  <si>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</si>
  <si>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</si>
  <si>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</si>
  <si>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</si>
  <si>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</si>
  <si>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</si>
  <si>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</si>
  <si>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</si>
  <si>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</si>
  <si>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</si>
  <si>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</si>
  <si>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</si>
  <si>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</si>
  <si>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</si>
  <si>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</si>
  <si>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</si>
  <si>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</si>
  <si>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</si>
  <si>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</si>
  <si>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</si>
  <si>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</si>
  <si>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</si>
  <si>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</si>
  <si>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</si>
  <si>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</si>
  <si>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</si>
  <si>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</si>
  <si>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</si>
  <si>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</si>
  <si>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</si>
  <si>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</si>
  <si>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</si>
  <si>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</si>
  <si>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</si>
  <si>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</si>
  <si>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</si>
  <si>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</si>
  <si>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</si>
  <si>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</si>
  <si>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</si>
  <si>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</si>
  <si>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</si>
  <si>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</si>
  <si>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</si>
  <si>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</si>
  <si>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</si>
  <si>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</si>
  <si>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</si>
  <si>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</si>
  <si>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</si>
  <si>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</si>
  <si>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</si>
  <si>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</si>
  <si>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</si>
  <si>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</si>
  <si>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</si>
  <si>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</si>
  <si>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</si>
  <si>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</si>
  <si>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</si>
  <si>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</si>
  <si>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</si>
  <si>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</si>
  <si>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</si>
  <si>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</si>
  <si>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</si>
  <si>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</si>
  <si>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</si>
  <si>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</si>
  <si>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</si>
  <si>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</si>
  <si>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</si>
  <si>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</si>
  <si>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</si>
  <si>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</si>
  <si>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</si>
  <si>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</si>
  <si>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</si>
  <si>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</si>
  <si>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</si>
  <si>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</si>
  <si>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</si>
  <si>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</si>
  <si>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</si>
  <si>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</si>
  <si>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</si>
  <si>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</si>
  <si>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</si>
  <si>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</si>
  <si>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</si>
  <si>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</si>
  <si>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</si>
  <si>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</si>
  <si>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</si>
  <si>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</si>
  <si>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</si>
  <si>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</si>
  <si>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</si>
  <si>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</si>
  <si>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</si>
  <si>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</si>
  <si>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</si>
  <si>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</si>
  <si>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</si>
  <si>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</si>
  <si>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</si>
  <si>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</si>
  <si>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</si>
  <si>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</si>
  <si>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</si>
  <si>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</si>
  <si>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</si>
  <si>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</si>
  <si>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</si>
  <si>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</si>
  <si>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</si>
  <si>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</si>
  <si>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</si>
  <si>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</si>
  <si>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</si>
  <si>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</si>
  <si>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</si>
  <si>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</si>
  <si>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</si>
  <si>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</si>
  <si>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</si>
  <si>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</si>
  <si>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</si>
  <si>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</si>
  <si>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</si>
  <si>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</si>
  <si>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</si>
  <si>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</si>
  <si>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</si>
  <si>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</si>
  <si>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</si>
  <si>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</si>
  <si>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</si>
  <si>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</si>
  <si>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</si>
  <si>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</si>
  <si>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</si>
  <si>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</si>
  <si>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</si>
  <si>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</si>
  <si>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</si>
  <si>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</si>
  <si>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</si>
  <si>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</si>
  <si>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</si>
  <si>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</si>
  <si>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</si>
  <si>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</si>
  <si>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</si>
  <si>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</si>
  <si>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</si>
  <si>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</si>
  <si>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</si>
  <si>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</si>
  <si>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</si>
  <si>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</si>
  <si>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</si>
  <si>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</si>
  <si>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</si>
  <si>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</si>
  <si>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</si>
  <si>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</si>
  <si>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</si>
  <si>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</si>
  <si>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</si>
  <si>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</si>
  <si>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</si>
  <si>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</si>
  <si>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</si>
  <si>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</si>
  <si>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</si>
  <si>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</si>
  <si>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</si>
  <si>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</si>
  <si>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</si>
  <si>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</si>
  <si>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</si>
  <si>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</si>
  <si>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</si>
  <si>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</si>
  <si>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</si>
  <si>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</si>
  <si>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</si>
  <si>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</si>
  <si>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</si>
  <si>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</si>
  <si>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</si>
  <si>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</si>
  <si>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</si>
  <si>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</si>
  <si>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</si>
  <si>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</si>
  <si>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</si>
  <si>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</si>
  <si>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</si>
  <si>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</si>
  <si>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</si>
  <si>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</si>
  <si>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</si>
  <si>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</si>
  <si>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</si>
  <si>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</si>
  <si>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</si>
  <si>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</si>
  <si>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</si>
  <si>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</si>
  <si>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</si>
  <si>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</si>
  <si>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</si>
  <si>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</si>
  <si>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</si>
  <si>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</si>
  <si>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</si>
  <si>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</si>
  <si>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</si>
  <si>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</si>
  <si>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</si>
  <si>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</si>
  <si>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</si>
  <si>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</si>
  <si>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</si>
  <si>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</si>
  <si>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</si>
  <si>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</si>
  <si>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</si>
  <si>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</si>
  <si>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</si>
  <si>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</si>
  <si>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</si>
  <si>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</si>
  <si>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</si>
  <si>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</si>
  <si>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</si>
  <si>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</si>
  <si>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</si>
  <si>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</si>
  <si>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</si>
  <si>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</si>
  <si>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</si>
  <si>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</si>
  <si>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</si>
  <si>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</si>
  <si>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</si>
  <si>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</si>
  <si>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</si>
  <si>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</si>
  <si>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</si>
  <si>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</si>
  <si>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</si>
  <si>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</si>
  <si>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</si>
  <si>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</si>
  <si>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</si>
  <si>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</si>
  <si>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</si>
  <si>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</si>
  <si>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</si>
  <si>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</si>
  <si>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</si>
  <si>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</si>
  <si>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</si>
  <si>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</si>
  <si>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</si>
  <si>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</si>
  <si>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</si>
  <si>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</si>
  <si>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</si>
  <si>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</si>
  <si>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</si>
  <si>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</si>
  <si>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</si>
  <si>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</si>
  <si>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</si>
  <si>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</si>
  <si>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</si>
  <si>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</si>
  <si>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</si>
  <si>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</si>
  <si>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</si>
  <si>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</si>
  <si>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</si>
  <si>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</si>
  <si>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</si>
  <si>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</si>
  <si>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</si>
  <si>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</si>
  <si>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</si>
  <si>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</si>
  <si>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</si>
  <si>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</si>
  <si>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</si>
  <si>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</si>
  <si>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</si>
  <si>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</si>
  <si>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</si>
  <si>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</si>
  <si>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</si>
  <si>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</si>
  <si>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</si>
  <si>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</si>
  <si>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</si>
  <si>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</si>
  <si>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</si>
  <si>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</si>
  <si>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</si>
  <si>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</si>
  <si>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</si>
  <si>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</si>
  <si>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</si>
  <si>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</si>
  <si>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</si>
  <si>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</si>
  <si>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</si>
  <si>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</si>
  <si>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</si>
  <si>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</si>
  <si>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</si>
  <si>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</si>
  <si>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</si>
  <si>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</si>
  <si>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</si>
  <si>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</si>
  <si>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</si>
  <si>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</si>
  <si>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</si>
  <si>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</si>
  <si>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</si>
  <si>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</si>
  <si>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</si>
  <si>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</si>
  <si>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</si>
  <si>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</si>
  <si>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</si>
  <si>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</si>
  <si>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</si>
  <si>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</si>
  <si>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</si>
  <si>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</si>
  <si>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</si>
  <si>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</si>
  <si>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</si>
  <si>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</si>
  <si>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</si>
  <si>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</si>
  <si>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</si>
  <si>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</si>
  <si>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</si>
  <si>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</si>
  <si>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</si>
  <si>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</si>
  <si>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</si>
  <si>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</si>
  <si>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</si>
  <si>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</si>
  <si>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</si>
  <si>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</si>
  <si>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</si>
  <si>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</si>
  <si>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</si>
  <si>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</si>
  <si>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</si>
  <si>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</si>
  <si>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</si>
  <si>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</si>
  <si>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</si>
  <si>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</si>
  <si>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</si>
  <si>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</si>
  <si>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</si>
  <si>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</si>
  <si>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</si>
  <si>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</si>
  <si>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</si>
  <si>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</si>
  <si>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</si>
  <si>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</si>
  <si>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</si>
  <si>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</si>
  <si>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</si>
  <si>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</si>
  <si>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</si>
  <si>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</si>
  <si>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</si>
  <si>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</si>
  <si>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</si>
  <si>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</si>
  <si>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</si>
  <si>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</si>
  <si>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</si>
  <si>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</si>
  <si>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</si>
  <si>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</si>
  <si>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</si>
  <si>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</si>
  <si>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</si>
  <si>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</si>
  <si>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</si>
  <si>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</si>
  <si>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</si>
  <si>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</si>
  <si>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</si>
  <si>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</si>
  <si>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</si>
  <si>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</si>
  <si>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</si>
  <si>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</si>
  <si>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</si>
  <si>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</si>
  <si>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</si>
  <si>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</si>
  <si>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</si>
  <si>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</si>
  <si>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</si>
  <si>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</si>
  <si>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</si>
  <si>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</si>
  <si>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</si>
  <si>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</si>
  <si>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</si>
  <si>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</si>
  <si>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</si>
  <si>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</si>
  <si>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</si>
  <si>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</si>
  <si>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</si>
  <si>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</si>
  <si>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</si>
  <si>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</si>
  <si>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</si>
  <si>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</si>
  <si>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</si>
  <si>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</si>
  <si>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</si>
  <si>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</si>
  <si>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</si>
  <si>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</si>
  <si>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</si>
  <si>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</si>
  <si>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</si>
  <si>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</si>
  <si>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</si>
  <si>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</si>
  <si>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</si>
  <si>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</si>
  <si>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</si>
  <si>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</si>
  <si>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</si>
  <si>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</si>
  <si>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</si>
  <si>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</si>
  <si>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</si>
  <si>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</si>
  <si>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</si>
  <si>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</si>
  <si>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</si>
  <si>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</si>
  <si>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</si>
  <si>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</si>
  <si>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</si>
  <si>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</si>
  <si>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</si>
  <si>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</si>
  <si>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</si>
  <si>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</si>
  <si>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</si>
  <si>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</si>
  <si>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</si>
  <si>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</si>
  <si>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</si>
  <si>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</si>
  <si>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</si>
  <si>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</si>
  <si>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</si>
  <si>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</si>
  <si>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</si>
  <si>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</si>
  <si>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</si>
  <si>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</si>
  <si>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</si>
  <si>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</si>
  <si>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</si>
  <si>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</si>
  <si>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</si>
  <si>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</si>
  <si>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</si>
  <si>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</si>
  <si>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</si>
  <si>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</si>
  <si>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</si>
  <si>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</si>
  <si>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</si>
  <si>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</si>
  <si>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</si>
  <si>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</si>
  <si>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</si>
  <si>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</si>
  <si>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</si>
  <si>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</si>
  <si>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</si>
  <si>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</si>
  <si>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</si>
  <si>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</si>
  <si>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</si>
  <si>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</si>
  <si>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</si>
  <si>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</si>
  <si>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</si>
  <si>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</si>
  <si>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</si>
  <si>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</si>
  <si>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</si>
  <si>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</si>
  <si>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</si>
  <si>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</si>
  <si>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</si>
  <si>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</si>
  <si>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</si>
  <si>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</si>
  <si>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</si>
  <si>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</si>
  <si>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</si>
  <si>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</si>
  <si>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</si>
  <si>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</si>
  <si>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</si>
  <si>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</si>
  <si>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</si>
  <si>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</si>
  <si>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</si>
  <si>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</si>
  <si>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</si>
  <si>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</si>
  <si>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</si>
  <si>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</si>
  <si>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</si>
  <si>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</si>
  <si>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</si>
  <si>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</si>
  <si>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</si>
  <si>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</si>
  <si>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</si>
  <si>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</si>
  <si>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</si>
  <si>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</si>
  <si>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</si>
  <si>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</si>
  <si>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</si>
  <si>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</si>
  <si>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</si>
  <si>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</si>
  <si>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</si>
  <si>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</si>
  <si>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</si>
  <si>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</si>
  <si>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</si>
  <si>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</si>
  <si>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</si>
  <si>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</si>
  <si>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</si>
  <si>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</si>
  <si>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</si>
  <si>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</si>
  <si>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</si>
  <si>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</si>
  <si>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</si>
  <si>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</si>
  <si>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</si>
  <si>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</si>
  <si>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</si>
  <si>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</si>
  <si>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</si>
  <si>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</si>
  <si>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</si>
  <si>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</si>
  <si>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</si>
  <si>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</si>
  <si>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</si>
  <si>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</si>
  <si>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</si>
  <si>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</si>
  <si>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</si>
  <si>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</si>
  <si>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</si>
  <si>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</si>
  <si>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</si>
  <si>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</si>
  <si>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</si>
  <si>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</si>
  <si>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</si>
  <si>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</si>
  <si>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</si>
  <si>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</si>
  <si>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</si>
  <si>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</si>
  <si>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</si>
  <si>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</si>
  <si>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</si>
  <si>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</si>
  <si>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</si>
  <si>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</si>
  <si>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</si>
  <si>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</si>
  <si>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</si>
  <si>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</si>
  <si>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</si>
  <si>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</si>
  <si>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</si>
  <si>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</si>
  <si>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</si>
  <si>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</si>
  <si>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</si>
  <si>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</si>
  <si>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</si>
  <si>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</si>
  <si>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</si>
  <si>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</si>
  <si>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</si>
  <si>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</si>
  <si>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</si>
  <si>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</si>
  <si>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</si>
  <si>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</si>
  <si>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</si>
  <si>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</si>
  <si>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</si>
  <si>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</si>
  <si>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</si>
  <si>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</si>
  <si>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</si>
  <si>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</si>
  <si>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</si>
  <si>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</si>
  <si>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</si>
  <si>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</si>
  <si>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</si>
  <si>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</si>
  <si>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</si>
  <si>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</si>
  <si>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</si>
  <si>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</si>
  <si>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</si>
  <si>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</si>
  <si>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</si>
  <si>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</si>
  <si>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</si>
  <si>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</si>
  <si>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</si>
  <si>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</si>
  <si>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</si>
  <si>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</si>
  <si>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</si>
  <si>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</si>
  <si>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</si>
  <si>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</si>
  <si>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</si>
  <si>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</si>
  <si>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</si>
  <si>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</si>
  <si>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</si>
  <si>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</si>
  <si>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</si>
  <si>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</si>
  <si>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</si>
  <si>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</si>
  <si>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</si>
  <si>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</si>
  <si>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</si>
  <si>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</si>
  <si>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</si>
  <si>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</si>
  <si>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</si>
  <si>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</si>
  <si>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</si>
  <si>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</si>
  <si>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</si>
  <si>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</si>
  <si>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</si>
  <si>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</si>
  <si>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</si>
  <si>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</si>
  <si>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</si>
  <si>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</si>
  <si>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</si>
  <si>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</si>
  <si>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</si>
  <si>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</si>
  <si>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</si>
  <si>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</si>
  <si>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</si>
  <si>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</si>
  <si>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</si>
  <si>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</si>
  <si>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</si>
  <si>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</si>
  <si>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</si>
  <si>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</si>
  <si>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</si>
  <si>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</si>
  <si>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</si>
  <si>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</si>
  <si>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</si>
  <si>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</si>
  <si>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</si>
  <si>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</si>
  <si>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</si>
  <si>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</si>
  <si>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</si>
  <si>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</si>
  <si>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</si>
  <si>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</si>
  <si>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</si>
  <si>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</si>
  <si>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</si>
  <si>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</si>
  <si>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</si>
  <si>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</si>
  <si>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</si>
  <si>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</si>
  <si>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</si>
  <si>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</si>
  <si>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</si>
  <si>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</si>
  <si>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</si>
  <si>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</si>
  <si>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</si>
  <si>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</si>
  <si>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</si>
  <si>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</si>
  <si>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</si>
  <si>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</si>
  <si>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</si>
  <si>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</si>
  <si>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</si>
  <si>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</si>
  <si>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</si>
  <si>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</si>
  <si>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</si>
  <si>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</si>
  <si>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</si>
  <si>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</si>
  <si>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</si>
  <si>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</si>
  <si>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</si>
  <si>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</si>
  <si>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</si>
  <si>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</si>
  <si>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</si>
  <si>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</si>
  <si>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</si>
  <si>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</si>
  <si>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</si>
  <si>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</si>
  <si>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</si>
  <si>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</si>
  <si>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</si>
  <si>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</si>
  <si>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</si>
  <si>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</si>
  <si>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</si>
  <si>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</si>
  <si>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</si>
  <si>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</si>
  <si>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</si>
  <si>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</si>
  <si>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</si>
  <si>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</si>
  <si>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</si>
  <si>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</si>
  <si>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</si>
  <si>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</si>
  <si>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</si>
  <si>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</si>
  <si>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</si>
  <si>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</si>
  <si>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</si>
  <si>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</si>
  <si>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</si>
  <si>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</si>
  <si>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</si>
  <si>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</si>
  <si>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</si>
  <si>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</si>
  <si>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</si>
  <si>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</si>
  <si>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</si>
  <si>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</si>
  <si>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</si>
  <si>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</si>
  <si>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</si>
  <si>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</si>
  <si>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</si>
  <si>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</si>
  <si>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</si>
  <si>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</si>
  <si>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</si>
  <si>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</si>
  <si>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</si>
  <si>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</si>
  <si>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</si>
  <si>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</si>
  <si>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</si>
  <si>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</si>
  <si>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</si>
  <si>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</si>
  <si>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</si>
  <si>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</si>
  <si>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</si>
  <si>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</si>
  <si>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</si>
  <si>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</si>
  <si>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</si>
  <si>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</si>
  <si>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</si>
  <si>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</si>
  <si>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</si>
  <si>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</si>
  <si>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</si>
  <si>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</si>
  <si>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</si>
  <si>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</si>
  <si>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</si>
  <si>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</si>
  <si>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</si>
  <si>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</si>
  <si>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</si>
  <si>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</si>
  <si>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</si>
  <si>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</si>
  <si>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</si>
  <si>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</si>
  <si>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</si>
  <si>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</si>
  <si>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</si>
  <si>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</si>
  <si>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</si>
  <si>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</si>
  <si>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</si>
  <si>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</si>
  <si>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</si>
  <si>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</si>
  <si>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</si>
  <si>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</si>
  <si>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</si>
  <si>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</si>
  <si>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</si>
  <si>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</si>
  <si>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</si>
  <si>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</si>
  <si>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</si>
  <si>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</si>
  <si>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</si>
  <si>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</si>
  <si>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</si>
  <si>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</si>
  <si>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</si>
  <si>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</si>
  <si>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</si>
  <si>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</si>
  <si>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</si>
  <si>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</si>
  <si>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</si>
  <si>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</si>
  <si>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</si>
  <si>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</si>
  <si>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</si>
  <si>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</si>
  <si>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</si>
  <si>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</si>
  <si>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</si>
  <si>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</si>
  <si>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</si>
  <si>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</si>
  <si>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</si>
  <si>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</si>
  <si>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</si>
  <si>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</si>
  <si>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</si>
  <si>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</si>
  <si>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</si>
  <si>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</si>
  <si>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</si>
  <si>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</si>
  <si>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</si>
  <si>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</si>
  <si>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</si>
  <si>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</si>
  <si>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</si>
  <si>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</si>
  <si>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</si>
  <si>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</si>
  <si>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</si>
  <si>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</si>
  <si>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</si>
  <si>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</si>
  <si>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</si>
  <si>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</si>
  <si>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</si>
  <si>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</si>
  <si>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</si>
  <si>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</si>
  <si>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</si>
  <si>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</si>
  <si>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</si>
  <si>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</si>
  <si>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</si>
  <si>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</si>
  <si>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</si>
  <si>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</si>
  <si>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</si>
  <si>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</si>
  <si>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</si>
  <si>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</si>
  <si>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</si>
  <si>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</si>
  <si>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</si>
  <si>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</si>
  <si>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</si>
  <si>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</si>
  <si>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</si>
  <si>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</si>
  <si>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</si>
  <si>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</si>
  <si>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</si>
  <si>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</si>
  <si>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</si>
  <si>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</si>
  <si>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</si>
  <si>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</si>
  <si>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</si>
  <si>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</si>
  <si>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</si>
  <si>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</si>
  <si>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</si>
  <si>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</si>
  <si>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</si>
  <si>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</si>
  <si>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</si>
  <si>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</si>
  <si>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</si>
  <si>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</si>
  <si>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</si>
  <si>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</si>
  <si>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</si>
  <si>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</si>
  <si>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</si>
  <si>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</si>
  <si>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</si>
  <si>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</si>
  <si>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</si>
  <si>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</si>
  <si>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</si>
  <si>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</si>
  <si>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</si>
  <si>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</si>
  <si>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</si>
  <si>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</si>
  <si>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</si>
  <si>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</si>
  <si>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</si>
  <si>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</si>
  <si>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</si>
  <si>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</si>
  <si>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</si>
  <si>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</si>
  <si>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</si>
  <si>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</si>
  <si>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</si>
  <si>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</si>
  <si>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</si>
  <si>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</si>
  <si>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</si>
  <si>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</si>
  <si>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</si>
  <si>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</si>
  <si>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</si>
  <si>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</si>
  <si>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</si>
  <si>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</si>
  <si>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</si>
  <si>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</si>
  <si>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</si>
  <si>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</si>
  <si>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</si>
  <si>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</si>
  <si>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</si>
  <si>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</si>
  <si>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</si>
  <si>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</si>
  <si>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</si>
  <si>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</si>
  <si>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</si>
  <si>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</si>
  <si>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</si>
  <si>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</si>
  <si>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</si>
  <si>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</si>
  <si>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</si>
  <si>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</si>
  <si>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</si>
  <si>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</si>
  <si>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</si>
  <si>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</si>
  <si>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</si>
  <si>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</si>
  <si>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</si>
  <si>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</si>
  <si>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</si>
  <si>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</si>
  <si>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</si>
  <si>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</si>
  <si>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</si>
  <si>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</si>
  <si>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</si>
  <si>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</si>
  <si>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</si>
  <si>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</si>
  <si>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</si>
  <si>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</si>
  <si>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</si>
  <si>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</si>
  <si>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</si>
  <si>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</si>
  <si>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</si>
  <si>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</si>
  <si>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</si>
  <si>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</si>
  <si>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</si>
  <si>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</si>
  <si>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</si>
  <si>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</si>
  <si>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</si>
  <si>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</si>
  <si>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</si>
  <si>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</si>
  <si>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</si>
  <si>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</si>
  <si>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</si>
  <si>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</si>
  <si>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</si>
  <si>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</si>
  <si>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</si>
  <si>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</si>
  <si>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</si>
  <si>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</si>
  <si>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</si>
  <si>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</si>
  <si>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</si>
  <si>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</si>
  <si>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</si>
  <si>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</si>
  <si>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</si>
  <si>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</si>
  <si>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</si>
  <si>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</si>
  <si>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</si>
  <si>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</si>
  <si>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</si>
  <si>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</si>
  <si>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</si>
  <si>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</si>
  <si>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</si>
  <si>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</si>
  <si>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</si>
  <si>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</si>
  <si>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</si>
  <si>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</si>
  <si>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</si>
  <si>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</si>
  <si>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</si>
  <si>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</si>
  <si>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</si>
  <si>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</si>
  <si>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</si>
  <si>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</si>
  <si>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</si>
  <si>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</si>
  <si>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</si>
  <si>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</si>
  <si>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</si>
  <si>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</si>
  <si>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</si>
  <si>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</si>
  <si>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</si>
  <si>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</si>
  <si>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</si>
  <si>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</si>
  <si>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</si>
  <si>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</si>
  <si>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</si>
  <si>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</si>
  <si>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</si>
  <si>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</si>
  <si>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</si>
  <si>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</si>
  <si>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</si>
  <si>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</si>
  <si>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</si>
  <si>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</si>
  <si>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</si>
  <si>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</si>
  <si>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</si>
  <si>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</si>
  <si>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</si>
  <si>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</si>
  <si>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</si>
  <si>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</si>
  <si>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</si>
  <si>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</si>
  <si>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</si>
  <si>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</si>
  <si>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</si>
  <si>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</si>
  <si>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</si>
  <si>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</si>
  <si>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</si>
  <si>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</si>
  <si>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</si>
  <si>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</si>
  <si>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</si>
  <si>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</si>
  <si>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</si>
  <si>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</si>
  <si>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</si>
  <si>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</si>
  <si>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</si>
  <si>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</si>
  <si>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</si>
  <si>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</si>
  <si>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</si>
  <si>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</si>
  <si>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</si>
  <si>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</si>
  <si>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</si>
  <si>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</si>
  <si>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</si>
  <si>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</si>
  <si>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</si>
  <si>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</si>
  <si>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</si>
  <si>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</si>
  <si>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</si>
  <si>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</si>
  <si>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</si>
  <si>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</si>
  <si>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</si>
  <si>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</si>
  <si>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</si>
  <si>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</si>
  <si>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</si>
  <si>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</si>
  <si>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</si>
  <si>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</si>
  <si>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</si>
  <si>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</si>
  <si>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</si>
  <si>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</si>
  <si>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</si>
  <si>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</si>
  <si>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</si>
  <si>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</si>
  <si>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</si>
  <si>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</si>
  <si>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</si>
  <si>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</si>
  <si>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</si>
  <si>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</si>
  <si>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</si>
  <si>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</si>
  <si>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</si>
  <si>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</si>
  <si>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</si>
  <si>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</si>
  <si>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</si>
  <si>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</si>
  <si>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</si>
  <si>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</si>
  <si>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</si>
  <si>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</si>
  <si>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</si>
  <si>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</si>
  <si>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</si>
  <si>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</si>
  <si>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</si>
  <si>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</si>
  <si>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</si>
  <si>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</si>
  <si>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</si>
  <si>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</si>
  <si>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</si>
  <si>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</si>
  <si>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</si>
  <si>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</si>
  <si>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</si>
  <si>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</si>
  <si>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</si>
  <si>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</si>
  <si>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</si>
  <si>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</si>
  <si>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</si>
  <si>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</si>
  <si>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</si>
  <si>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</si>
  <si>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</si>
  <si>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</si>
  <si>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</si>
  <si>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</si>
  <si>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</si>
  <si>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</si>
  <si>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</si>
  <si>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</si>
  <si>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</si>
  <si>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</si>
  <si>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</si>
  <si>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</si>
  <si>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</si>
  <si>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</si>
  <si>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</si>
  <si>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</si>
  <si>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</si>
  <si>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</si>
  <si>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</si>
  <si>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</si>
  <si>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</si>
  <si>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</si>
  <si>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</si>
  <si>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</si>
  <si>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</si>
  <si>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</si>
  <si>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</si>
  <si>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</si>
  <si>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</si>
  <si>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</si>
  <si>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</si>
  <si>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</si>
  <si>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</si>
  <si>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</si>
  <si>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</si>
  <si>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</si>
  <si>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</si>
  <si>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</si>
  <si>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</si>
  <si>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</si>
  <si>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</si>
  <si>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</si>
  <si>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</si>
  <si>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</si>
  <si>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</si>
  <si>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</si>
  <si>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</si>
  <si>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</si>
  <si>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</si>
  <si>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</si>
  <si>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</si>
  <si>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</si>
  <si>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</si>
  <si>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</si>
  <si>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</si>
  <si>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</si>
  <si>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</si>
  <si>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</si>
  <si>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</si>
  <si>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</si>
  <si>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</si>
  <si>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</si>
  <si>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</si>
  <si>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</si>
  <si>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</si>
  <si>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</si>
  <si>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</si>
  <si>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</si>
  <si>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</si>
  <si>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</si>
  <si>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</si>
  <si>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</si>
  <si>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</si>
  <si>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</si>
  <si>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</si>
  <si>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</si>
  <si>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</si>
  <si>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</si>
  <si>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</si>
  <si>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</si>
  <si>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</si>
  <si>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</si>
  <si>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</si>
  <si>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</si>
  <si>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</si>
  <si>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</si>
  <si>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</si>
  <si>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</si>
  <si>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</si>
  <si>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</si>
  <si>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</si>
  <si>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</si>
  <si>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</si>
  <si>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</si>
  <si>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</si>
  <si>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</si>
  <si>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</si>
  <si>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</si>
  <si>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</si>
  <si>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</si>
  <si>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</si>
  <si>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</si>
  <si>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</si>
  <si>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</si>
  <si>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</si>
  <si>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</si>
  <si>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</si>
  <si>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</si>
  <si>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</si>
  <si>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</si>
  <si>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</si>
  <si>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</si>
  <si>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</si>
  <si>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</si>
  <si>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</si>
  <si>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</si>
  <si>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</si>
  <si>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</si>
  <si>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</si>
  <si>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</si>
  <si>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</si>
  <si>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</si>
  <si>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</si>
  <si>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</si>
  <si>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变更面积</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</si>
  <si>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</si>
  <si>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</si>
  <si>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</si>
  <si>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</si>
  <si>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</si>
  <si>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</si>
  <si>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</si>
  <si>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</si>
  <si>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</si>
  <si>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</si>
  <si>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地上（办公）40.07年</t>
    <phoneticPr fontId="233" type="noConversion"/>
  </si>
  <si>
    <t>地下（仓储)40.07年</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</si>
  <si>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</si>
  <si>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</si>
  <si>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</si>
  <si>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</si>
  <si>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</si>
  <si>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</si>
  <si>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</si>
  <si>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</si>
  <si>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</si>
  <si>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</si>
  <si>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</si>
  <si>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</si>
  <si>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</si>
  <si>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</si>
  <si>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</si>
  <si>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</si>
  <si>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</si>
  <si>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</si>
  <si>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</si>
  <si>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</si>
  <si>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</si>
  <si>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</si>
  <si>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</si>
  <si>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估价对象周边道路状况、公共交通通达情况、停车便捷程度，综合评价交通便捷度好</t>
    <phoneticPr fontId="3" type="noConversion"/>
  </si>
  <si>
    <t>好</t>
  </si>
  <si>
    <t>七通</t>
  </si>
  <si>
    <t>西城区后帽胡同23号</t>
    <phoneticPr fontId="3" type="noConversion"/>
  </si>
  <si>
    <t>非标准办公楼</t>
    <phoneticPr fontId="27" type="noConversion"/>
  </si>
  <si>
    <t>砖木</t>
  </si>
  <si>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</si>
  <si>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</si>
  <si>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</si>
  <si>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</si>
  <si>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</si>
  <si>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</si>
  <si>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</si>
  <si>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</si>
  <si>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</si>
  <si>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</si>
  <si>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</si>
  <si>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</si>
  <si>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</si>
  <si>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</si>
  <si>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</si>
  <si>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</si>
  <si>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</si>
  <si>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</si>
  <si>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</si>
  <si>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</si>
  <si>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</si>
  <si>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</si>
  <si>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德胜置业大厦</t>
    <phoneticPr fontId="3" type="noConversion"/>
  </si>
  <si>
    <t>月坛理想大厦</t>
    <phoneticPr fontId="3" type="noConversion"/>
  </si>
  <si>
    <t>城市次干道——黄寺大街</t>
    <phoneticPr fontId="27" type="noConversion"/>
  </si>
  <si>
    <t>城市支路——南礼士路二条</t>
    <phoneticPr fontId="27" type="noConversion"/>
  </si>
  <si>
    <t>剩余法-现房</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</si>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</sst>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lignment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281" fillId="0" borderId="35"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153"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285" fillId="0" borderId="156"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66" xfId="0" applyFont="1" applyBorder="1" applyAlignment="1">
      <alignment horizontal="center" vertical="center" wrapText="1"/>
    </xf>
    <xf numFmtId="0" fontId="281" fillId="0" borderId="35" xfId="0" applyFont="1" applyBorder="1" applyAlignment="1">
      <alignment horizontal="center" vertical="center"/>
    </xf>
    <xf numFmtId="0" fontId="281" fillId="0" borderId="79" xfId="0" applyFont="1" applyBorder="1" applyAlignment="1">
      <alignment horizontal="center" vertical="center"/>
    </xf>
    <xf numFmtId="0" fontId="281" fillId="0" borderId="80"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280" fillId="0" borderId="31" xfId="0" applyFont="1" applyBorder="1" applyAlignment="1">
      <alignment vertical="center" wrapText="1"/>
    </xf>
    <xf numFmtId="0" fontId="195" fillId="0" borderId="79"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79" xfId="0" applyFont="1" applyBorder="1" applyAlignment="1">
      <alignment horizontal="center"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281" fillId="0" borderId="79"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3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195" fillId="0" borderId="26" xfId="0" applyFont="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66675</xdr:colOff>
      <xdr:row>38</xdr:row>
      <xdr:rowOff>123825</xdr:rowOff>
    </xdr:from>
    <xdr:to>
      <xdr:col>14</xdr:col>
      <xdr:colOff>653294</xdr:colOff>
      <xdr:row>76</xdr:row>
      <xdr:rowOff>38100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6675" y="1332547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133350</xdr:colOff>
      <xdr:row>38</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48750" cy="65341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北京市出让国有建设用地使用权市场价格预评估</v>
      </c>
      <c r="AX2" s="2920"/>
      <c r="AZ2" s="2920"/>
      <c r="BA2" s="2921"/>
      <c r="BC2" s="2921"/>
    </row>
    <row r="3" spans="1:55" s="2922" customFormat="1">
      <c r="A3" s="2901" t="s">
        <v>2665</v>
      </c>
      <c r="B3" s="2904">
        <f>'预评函-封皮'!B40</f>
        <v>0</v>
      </c>
    </row>
    <row r="4" spans="1:55" s="2903" customFormat="1">
      <c r="A4" s="2901" t="s">
        <v>2666</v>
      </c>
      <c r="B4" s="2902" t="str">
        <f>'预评函-封皮'!B46</f>
        <v>陈颖、杨红英</v>
      </c>
      <c r="N4" s="2903" t="str">
        <f>'预评函-1'!A28</f>
        <v>——</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受贵公司委托，我公司对北京市出让国有建设用地使用权市场价格进行了预评估。</v>
      </c>
      <c r="AM6" s="2926"/>
    </row>
    <row r="7" spans="1:55" s="2900" customFormat="1">
      <c r="A7" s="2901" t="s">
        <v>2661</v>
      </c>
      <c r="B7" s="2902"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本次评估为委托估价方了解标的物之市场价格提供参考依据而评估出让国有建设用地使用权市场价格。</v>
      </c>
    </row>
    <row r="10" spans="1:55" s="2900" customFormat="1">
      <c r="A10" s="2901" t="s">
        <v>2663</v>
      </c>
      <c r="B10" s="2902" t="str">
        <f>'预评函-1'!A11</f>
        <v>2018年5月10日</v>
      </c>
    </row>
    <row r="11" spans="1:55" s="2900" customFormat="1">
      <c r="A11" s="2901" t="s">
        <v>2669</v>
      </c>
      <c r="B11" s="2902" t="str">
        <f>'预评函-1'!A14</f>
        <v>根据《国有土地使用证》[]，本次评估估价对象证载（地类）用途为。</v>
      </c>
    </row>
    <row r="12" spans="1:55" s="2900" customFormat="1">
      <c r="A12" s="2901" t="s">
        <v>2670</v>
      </c>
      <c r="B12" s="2902" t="str">
        <f>'预评函-1'!A15</f>
        <v>本次评估设定用途即为证载用途。</v>
      </c>
    </row>
    <row r="13" spans="1:55" s="2900" customFormat="1">
      <c r="A13" s="2901" t="s">
        <v>2671</v>
      </c>
      <c r="B13" s="2902" t="str">
        <f>'预评函-1'!A17</f>
        <v>根据委托估价方介绍及评估专业人员现场勘查，本次评估估价对象实际土地开发程度为红线外市政基础设施达“七通”（即通路、通电、通讯、通上水、通下水、通热、燃气）、宗地红线内场地平整。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根据《国有土地使用证》[]，估价对象（分摊）出让国有建设用地使用权面积为2079.07平方米。根据《建设工程规划许可证》[]、《出让合同》[]，估价对象规划建筑面积为10000平方米。</v>
      </c>
    </row>
    <row r="16" spans="1:55" s="2900" customFormat="1">
      <c r="A16" s="2901" t="s">
        <v>2673</v>
      </c>
      <c r="B16" s="29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17" spans="1:48" s="2900" customFormat="1">
      <c r="A17" s="2901" t="s">
        <v>2674</v>
      </c>
      <c r="B17" s="2902" t="str">
        <f>'预评函-1'!A23</f>
        <v>本次评估设定估价对象剩余土地使用年限为。</v>
      </c>
    </row>
    <row r="18" spans="1:48" s="2900" customFormat="1">
      <c r="A18" s="2901" t="s">
        <v>2675</v>
      </c>
      <c r="B18" s="2902"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900" customFormat="1">
      <c r="A19" s="2901" t="s">
        <v>2676</v>
      </c>
      <c r="B19" s="2902" t="str">
        <f>'预评函-1'!A26</f>
        <v>——</v>
      </c>
    </row>
    <row r="20" spans="1:48" s="2900" customFormat="1">
      <c r="A20" s="2901" t="s">
        <v>2677</v>
      </c>
      <c r="B20" s="2902" t="str">
        <f>'预评函-1'!A27</f>
        <v>——</v>
      </c>
    </row>
    <row r="21" spans="1:48" s="2916" customFormat="1" ht="15" thickBot="1">
      <c r="A21" s="2923" t="s">
        <v>2678</v>
      </c>
      <c r="B21" s="2924" t="str">
        <f>'预评函-1'!A28</f>
        <v>——</v>
      </c>
    </row>
    <row r="22" spans="1:48" ht="15" thickTop="1">
      <c r="A22" s="2912" t="s">
        <v>2679</v>
      </c>
      <c r="B22" s="291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1" t="s">
        <v>2680</v>
      </c>
      <c r="B23" s="2902" t="str">
        <f>'预评函-2'!K2</f>
        <v>估价期日：2018年5月10日</v>
      </c>
    </row>
    <row r="24" spans="1:48">
      <c r="A24" s="2901" t="s">
        <v>2681</v>
      </c>
      <c r="B24" s="2902" t="str">
        <f>'预评函-2'!R2</f>
        <v>估价期日的国有建设用地使用权性质：出让</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f>'预评函-2'!E5</f>
        <v>0</v>
      </c>
      <c r="AV32" s="2906"/>
    </row>
    <row r="33" spans="1:2">
      <c r="A33" s="2901" t="s">
        <v>2717</v>
      </c>
      <c r="B33" s="2902">
        <f>'预评函-2'!F5</f>
        <v>258</v>
      </c>
    </row>
    <row r="34" spans="1:2">
      <c r="A34" s="2901" t="s">
        <v>2718</v>
      </c>
      <c r="B34" s="2902">
        <f>'预评函-2'!G5</f>
        <v>0</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v>
      </c>
    </row>
    <row r="39" spans="1:2">
      <c r="A39" s="2901" t="s">
        <v>2723</v>
      </c>
      <c r="B39" s="2902" t="str">
        <f>'预评函-2'!L5</f>
        <v>红线外七通、宗地红线内场地</v>
      </c>
    </row>
    <row r="40" spans="1:2">
      <c r="A40" s="2901" t="s">
        <v>2742</v>
      </c>
      <c r="B40" s="2902" t="str">
        <f>'预评函-2'!M3</f>
        <v>（剩余）土地使用年限/年</v>
      </c>
    </row>
    <row r="41" spans="1:2">
      <c r="A41" s="2901" t="s">
        <v>2724</v>
      </c>
      <c r="B41" s="2902">
        <f>'预评函-2'!M5</f>
        <v>0</v>
      </c>
    </row>
    <row r="42" spans="1:2">
      <c r="A42" s="2901" t="s">
        <v>2743</v>
      </c>
      <c r="B42" s="2902" t="str">
        <f>'预评函-2'!N3</f>
        <v>（分摊）出让国有建设用地使用权面积/㎡</v>
      </c>
    </row>
    <row r="43" spans="1:2">
      <c r="A43" s="2901" t="s">
        <v>2725</v>
      </c>
      <c r="B43" s="2902">
        <f>'预评函-2'!N5</f>
        <v>2079.0700000000002</v>
      </c>
    </row>
    <row r="44" spans="1:2">
      <c r="A44" s="2901" t="s">
        <v>2744</v>
      </c>
      <c r="B44" s="2902" t="str">
        <f>'预评函-2'!O3</f>
        <v>规划建筑面积/㎡</v>
      </c>
    </row>
    <row r="45" spans="1:2">
      <c r="A45" s="2901" t="s">
        <v>2726</v>
      </c>
      <c r="B45" s="2902">
        <f>'预评函-2'!O5</f>
        <v>10000</v>
      </c>
    </row>
    <row r="46" spans="1:2">
      <c r="A46" s="2901" t="s">
        <v>2727</v>
      </c>
      <c r="B46" s="2902">
        <f ca="1">'预评函-2'!P5</f>
        <v>154608</v>
      </c>
    </row>
    <row r="47" spans="1:2">
      <c r="A47" s="2901" t="s">
        <v>2728</v>
      </c>
      <c r="B47" s="2902">
        <f ca="1">'预评函-2'!Q5</f>
        <v>32144</v>
      </c>
    </row>
    <row r="48" spans="1:2">
      <c r="A48" s="2901" t="s">
        <v>2729</v>
      </c>
      <c r="B48" s="2902">
        <f ca="1">'预评函-2'!R5</f>
        <v>32144</v>
      </c>
    </row>
    <row r="49" spans="1:2">
      <c r="A49" s="2901" t="s">
        <v>2745</v>
      </c>
      <c r="B49" s="2902" t="str">
        <f>'预评函-2'!A6</f>
        <v>——</v>
      </c>
    </row>
    <row r="50" spans="1:2">
      <c r="A50" s="2901" t="s">
        <v>2730</v>
      </c>
      <c r="B50" s="2902" t="str">
        <f>'预评函-2'!R6</f>
        <v>——</v>
      </c>
    </row>
    <row r="51" spans="1:2">
      <c r="A51" s="2901" t="s">
        <v>2746</v>
      </c>
      <c r="B51" s="2902" t="str">
        <f>'预评函-2'!A7</f>
        <v>——</v>
      </c>
    </row>
    <row r="52" spans="1:2">
      <c r="A52" s="2901" t="s">
        <v>2731</v>
      </c>
      <c r="B52" s="2902" t="str">
        <f>'预评函-2'!R7</f>
        <v>——</v>
      </c>
    </row>
    <row r="53" spans="1:2">
      <c r="A53" s="2901" t="s">
        <v>2747</v>
      </c>
      <c r="B53" s="2902" t="str">
        <f>'预评函-2'!A8</f>
        <v>——</v>
      </c>
    </row>
    <row r="54" spans="1:2" s="2916" customFormat="1" ht="15" thickBot="1">
      <c r="A54" s="2923" t="s">
        <v>2732</v>
      </c>
      <c r="B54" s="2924" t="str">
        <f>'预评函-2'!R8</f>
        <v>——</v>
      </c>
    </row>
    <row r="55" spans="1:2" ht="15" thickTop="1">
      <c r="A55" s="2912" t="s">
        <v>2682</v>
      </c>
      <c r="B55" s="2913" t="str">
        <f>'预评函-3'!A2</f>
        <v>1.权利限制：根据估价对象《不动产权证书》原件、《国有土地使用权》复印件，截至估价期日，估价对象抵押权未见登记。未设定租赁等其他他项权利。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2.基础设施条件：估价对象实际开发程度为红线外七通、宗地红线内；本次评估设定开发程度为红线外七通、宗地红线内场地。</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2.本次评估设定估价对象宗地权属无争议，未被查封或者以其他形式限制其房地产权利，未设定抵押权等他项权利，不涉及第三方权利义务。</v>
      </c>
    </row>
    <row r="60" spans="1:2">
      <c r="A60" s="2901" t="s">
        <v>2686</v>
      </c>
      <c r="B60" s="2902" t="str">
        <f>'预评函-3'!A9</f>
        <v>——</v>
      </c>
    </row>
    <row r="61" spans="1:2">
      <c r="A61" s="2901" t="s">
        <v>2688</v>
      </c>
      <c r="B61" s="2902" t="str">
        <f>'预评函-3'!A10</f>
        <v>——</v>
      </c>
    </row>
    <row r="62" spans="1:2">
      <c r="A62" s="2901" t="s">
        <v>2687</v>
      </c>
      <c r="B62" s="2902" t="str">
        <f>'预评函-3'!A11</f>
        <v>——</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v>
      </c>
    </row>
    <row r="66" spans="1:2">
      <c r="A66" s="2901" t="s">
        <v>2692</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陈颖</v>
      </c>
    </row>
    <row r="70" spans="1:2">
      <c r="A70" s="2901" t="s">
        <v>2694</v>
      </c>
      <c r="B70" s="2908">
        <f ca="1">'预评函-3'!B20</f>
        <v>2004110096</v>
      </c>
    </row>
    <row r="71" spans="1:2">
      <c r="A71" s="2901" t="s">
        <v>2695</v>
      </c>
      <c r="B71" s="2902" t="str">
        <f>'预评函-3'!A21</f>
        <v>杨红英</v>
      </c>
    </row>
    <row r="72" spans="1:2" s="2916" customFormat="1" ht="15" thickBot="1">
      <c r="A72" s="2923" t="s">
        <v>2695</v>
      </c>
      <c r="B72" s="2929">
        <f>'预评函-3'!B21</f>
        <v>2004110128</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2790</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B52" sqref="B5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76" t="str">
        <f>IF(B10="北京市","北京市",C10)&amp;F10&amp;B16&amp;"国有建设用地使用权"&amp;B9&amp;"预评估"</f>
        <v>北京市出让国有建设用地使用权市场价格预评估</v>
      </c>
      <c r="C1" s="3277"/>
      <c r="D1" s="3277"/>
      <c r="E1" s="3277"/>
      <c r="F1" s="3277"/>
      <c r="G1" s="3277"/>
      <c r="H1" s="3277"/>
      <c r="I1" s="3278"/>
      <c r="J1" s="1692"/>
      <c r="K1" s="2478"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2984</v>
      </c>
      <c r="C4" s="1844">
        <f ca="1">SUMIF(土地估价师,B4,估价师及机构信息!E3:E24)</f>
        <v>2004110096</v>
      </c>
      <c r="D4" s="1841" t="s">
        <v>2985</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2986</v>
      </c>
      <c r="C8" s="1669"/>
      <c r="D8" s="3282"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2987</v>
      </c>
      <c r="C9" s="1673"/>
      <c r="D9" s="3283"/>
      <c r="E9" s="1672"/>
      <c r="F9" s="1745"/>
      <c r="G9" s="1740"/>
      <c r="H9" s="1740"/>
      <c r="I9" s="1741"/>
      <c r="J9" s="1692"/>
      <c r="K9" s="1772"/>
      <c r="L9" s="1721"/>
      <c r="M9" s="1721"/>
      <c r="N9" s="1692"/>
      <c r="O9" s="1693"/>
      <c r="P9" s="1692"/>
      <c r="Q9" s="1692"/>
      <c r="R9" s="1692"/>
      <c r="S9" s="1692"/>
      <c r="T9" s="1692"/>
      <c r="U9" s="1692"/>
    </row>
    <row r="10" spans="1:21" ht="15" thickTop="1">
      <c r="A10" s="1742" t="s">
        <v>2002</v>
      </c>
      <c r="B10" s="3181"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79"/>
      <c r="C12" s="3280"/>
      <c r="D12" s="3281"/>
      <c r="E12" s="1697" t="s">
        <v>2064</v>
      </c>
      <c r="F12" s="3297" t="s">
        <v>2892</v>
      </c>
      <c r="G12" s="3298"/>
      <c r="H12" s="3298"/>
      <c r="I12" s="3299"/>
      <c r="J12" s="1692"/>
      <c r="K12" s="1772"/>
      <c r="L12" s="1721"/>
      <c r="M12" s="1721"/>
      <c r="N12" s="1692"/>
      <c r="O12" s="1693"/>
      <c r="P12" s="1692"/>
      <c r="Q12" s="1692"/>
      <c r="R12" s="1692"/>
      <c r="S12" s="1692"/>
      <c r="T12" s="1692"/>
      <c r="U12" s="1692"/>
    </row>
    <row r="13" spans="1:21">
      <c r="A13" s="1685" t="s">
        <v>2062</v>
      </c>
      <c r="B13" s="3279"/>
      <c r="C13" s="3280"/>
      <c r="D13" s="3281"/>
      <c r="E13" s="1697" t="s">
        <v>2064</v>
      </c>
      <c r="F13" s="3297" t="s">
        <v>2893</v>
      </c>
      <c r="G13" s="3298"/>
      <c r="H13" s="3298"/>
      <c r="I13" s="3299"/>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2989</v>
      </c>
      <c r="C16" s="1697" t="s">
        <v>1951</v>
      </c>
      <c r="D16" s="2669" t="s">
        <v>1952</v>
      </c>
      <c r="E16" s="1720"/>
      <c r="F16" s="1720" t="s">
        <v>2990</v>
      </c>
      <c r="G16" s="1720"/>
      <c r="H16" s="1720" t="s">
        <v>2991</v>
      </c>
      <c r="I16" s="1684" t="s">
        <v>1957</v>
      </c>
      <c r="J16" s="1692"/>
      <c r="K16" s="2479" t="str">
        <f>IF(D17="","",D16&amp;TEXT(D17,"yyyy年m月d日;;"))</f>
        <v/>
      </c>
      <c r="L16" s="1697" t="str">
        <f>IF(OR(K16="",M16=""),"","、")</f>
        <v/>
      </c>
      <c r="M16" s="2479" t="str">
        <f>IF(E17="","",E16&amp;TEXT(E17,"yyyy年m月d日;;"))</f>
        <v/>
      </c>
      <c r="N16" s="1697" t="str">
        <f>IF(OR(M16="",O16=""),"","、")</f>
        <v/>
      </c>
      <c r="O16" s="2479" t="str">
        <f>IF(F17="","",F16&amp;TEXT(F17,"yyyy年m月d日;;"))</f>
        <v>地上办公2058年5月26日</v>
      </c>
      <c r="P16" s="1697" t="str">
        <f>IF(OR(O16="",Q16=""),"","、")</f>
        <v/>
      </c>
      <c r="Q16" s="2479" t="str">
        <f>IF(G17="","",G16&amp;TEXT(G17,"yyyy年m月d日;;"))</f>
        <v/>
      </c>
      <c r="R16" s="1697" t="str">
        <f>IF(OR(Q16="",S16=""),"","、")</f>
        <v/>
      </c>
      <c r="S16" s="2479" t="str">
        <f>IF(H17="","",H16&amp;TEXT(H17,"yyyy年m月d日;;"))</f>
        <v>地下仓储2058年5月26日</v>
      </c>
      <c r="T16" s="1697" t="str">
        <f>IF(OR(S16="",U16=""),"","、")</f>
        <v/>
      </c>
      <c r="U16" s="2479" t="str">
        <f>IF(I17="","",I16&amp;TEXT(I17,"yyyy年m月d日;;"))</f>
        <v/>
      </c>
    </row>
    <row r="17" spans="1:21">
      <c r="A17" s="1761"/>
      <c r="B17" s="1680"/>
      <c r="C17" s="1681" t="s">
        <v>1958</v>
      </c>
      <c r="D17" s="1698"/>
      <c r="E17" s="1698"/>
      <c r="F17" s="1698">
        <v>57856</v>
      </c>
      <c r="G17" s="1698"/>
      <c r="H17" s="1698">
        <v>57856</v>
      </c>
      <c r="I17" s="1698"/>
      <c r="J17" s="1692"/>
      <c r="K17" s="2478" t="str">
        <f>CONCATENATE(K16,L16,M16,N16,O16,P16,Q16,R16,S16,T16,,U16)</f>
        <v>地上办公2058年5月26日地下仓储2058年5月26日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40.07</v>
      </c>
      <c r="G19" s="1683" t="str">
        <f>IF(B16="出让",IF(G17="","",ROUNDDOWN(MIN((G17-$D$3)/365,G18),2)),G18)</f>
        <v/>
      </c>
      <c r="H19" s="1683">
        <f>IF(B16="出让",IF(H17="","",ROUNDDOWN(MIN((H17-$D$3)/365,H18),2)),H18)</f>
        <v>40.07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94"/>
      <c r="E20" s="3295"/>
      <c r="F20" s="3295"/>
      <c r="G20" s="3295"/>
      <c r="H20" s="3295"/>
      <c r="I20" s="3296"/>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284" t="s">
        <v>2001</v>
      </c>
      <c r="F21" s="3285"/>
      <c r="G21" s="3285"/>
      <c r="H21" s="3285"/>
      <c r="I21" s="3286"/>
      <c r="J21" s="1692"/>
      <c r="K21" s="1772"/>
      <c r="L21" s="1721"/>
      <c r="M21" s="1721"/>
      <c r="N21" s="1692"/>
      <c r="O21" s="1693"/>
      <c r="P21" s="1692"/>
      <c r="Q21" s="1692"/>
      <c r="R21" s="1692"/>
      <c r="S21" s="1692"/>
      <c r="T21" s="1692"/>
      <c r="U21" s="1692"/>
    </row>
    <row r="22" spans="1:21">
      <c r="A22" s="3178" t="s">
        <v>952</v>
      </c>
      <c r="B22" s="1659" t="s">
        <v>1964</v>
      </c>
      <c r="C22" s="1684">
        <f>'数据-汇总表'!D3</f>
        <v>2079.0700000000002</v>
      </c>
      <c r="D22" s="1685" t="s">
        <v>1963</v>
      </c>
      <c r="E22" s="3284" t="s">
        <v>2894</v>
      </c>
      <c r="F22" s="3285"/>
      <c r="G22" s="3285"/>
      <c r="H22" s="3285"/>
      <c r="I22" s="3286"/>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87" t="s">
        <v>1969</v>
      </c>
      <c r="C24" s="3288"/>
      <c r="D24" s="3289" t="s">
        <v>1970</v>
      </c>
      <c r="E24" s="3290"/>
      <c r="F24" s="1706" t="s">
        <v>1971</v>
      </c>
      <c r="G24" s="1692"/>
      <c r="H24" s="1692"/>
      <c r="I24" s="1705"/>
      <c r="J24" s="1692"/>
      <c r="K24" s="3275"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7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7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302" t="s">
        <v>2004</v>
      </c>
      <c r="B31" s="1762" t="s">
        <v>2005</v>
      </c>
      <c r="C31" s="3300" t="s">
        <v>3014</v>
      </c>
      <c r="D31" s="3301"/>
      <c r="E31" s="1692"/>
      <c r="F31" s="1692"/>
      <c r="G31" s="1692"/>
      <c r="H31" s="1692"/>
      <c r="I31" s="1705"/>
      <c r="J31" s="1692"/>
      <c r="K31" s="2481"/>
      <c r="L31" s="1692"/>
      <c r="M31" s="1692"/>
      <c r="N31" s="1692"/>
      <c r="O31" s="1692"/>
      <c r="P31" s="1692"/>
      <c r="Q31" s="1692"/>
      <c r="R31" s="1692"/>
      <c r="S31" s="1692"/>
      <c r="T31" s="1692"/>
      <c r="U31" s="1692"/>
    </row>
    <row r="32" spans="1:21">
      <c r="A32" s="3302"/>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302"/>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303"/>
      <c r="B34" s="1659" t="s">
        <v>2008</v>
      </c>
      <c r="C34" s="3304"/>
      <c r="D34" s="3305"/>
      <c r="E34" s="1692"/>
      <c r="F34" s="1692"/>
      <c r="G34" s="1692"/>
      <c r="H34" s="1692"/>
      <c r="I34" s="1705"/>
      <c r="J34" s="1692"/>
      <c r="K34" s="2481"/>
      <c r="L34" s="1692"/>
      <c r="M34" s="1692"/>
      <c r="N34" s="1692"/>
      <c r="O34" s="1692"/>
      <c r="P34" s="1692"/>
      <c r="Q34" s="1692"/>
      <c r="R34" s="1692"/>
      <c r="S34" s="1692"/>
      <c r="T34" s="1692"/>
      <c r="U34" s="1692"/>
    </row>
    <row r="35" spans="1:21">
      <c r="A35" s="3306" t="s">
        <v>847</v>
      </c>
      <c r="B35" s="1720"/>
      <c r="C35" s="1774" t="str">
        <f>IF(B35="场地平整","——","具体情况：")</f>
        <v>具体情况：</v>
      </c>
      <c r="D35" s="3308"/>
      <c r="E35" s="3309"/>
      <c r="F35" s="3309"/>
      <c r="G35" s="3309"/>
      <c r="H35" s="3309"/>
      <c r="I35" s="3310"/>
      <c r="J35" s="1692"/>
      <c r="K35" s="1773"/>
      <c r="L35" s="1721"/>
      <c r="M35" s="1721"/>
      <c r="N35" s="1692"/>
      <c r="O35" s="1693"/>
      <c r="P35" s="1692"/>
      <c r="Q35" s="1692"/>
      <c r="R35" s="1692"/>
      <c r="S35" s="1692"/>
      <c r="T35" s="1692"/>
      <c r="U35" s="1692"/>
    </row>
    <row r="36" spans="1:21">
      <c r="A36" s="3302"/>
      <c r="B36" s="3311" t="s">
        <v>2057</v>
      </c>
      <c r="C36" s="3312"/>
      <c r="D36" s="1790"/>
      <c r="E36" s="3313"/>
      <c r="F36" s="3313"/>
      <c r="G36" s="1685" t="str">
        <f>IF(B35="场地未平整","估价结果处理","")</f>
        <v/>
      </c>
      <c r="H36" s="3314"/>
      <c r="I36" s="3314"/>
      <c r="J36" s="1692"/>
      <c r="K36" s="1773"/>
      <c r="L36" s="1721"/>
      <c r="M36" s="1721"/>
      <c r="N36" s="1692"/>
      <c r="O36" s="1693"/>
      <c r="P36" s="1692"/>
      <c r="Q36" s="1692"/>
      <c r="R36" s="1692"/>
      <c r="S36" s="1692"/>
      <c r="T36" s="1692"/>
      <c r="U36" s="1692"/>
    </row>
    <row r="37" spans="1:21" ht="28.5">
      <c r="A37" s="3302"/>
      <c r="B37" s="329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302"/>
      <c r="B38" s="3292"/>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303"/>
      <c r="B39" s="329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3018</v>
      </c>
      <c r="C40" s="1688" t="s">
        <v>3019</v>
      </c>
      <c r="D40" s="1688" t="s">
        <v>3020</v>
      </c>
      <c r="E40" s="1688" t="s">
        <v>3021</v>
      </c>
      <c r="F40" s="1688" t="s">
        <v>3022</v>
      </c>
      <c r="G40" s="1688" t="s">
        <v>3023</v>
      </c>
      <c r="H40" s="1688" t="s">
        <v>3024</v>
      </c>
      <c r="I40" s="1705"/>
      <c r="J40" s="1692"/>
      <c r="K40" s="1728">
        <f>COUNTIF(B40:H40,"——")</f>
        <v>0</v>
      </c>
      <c r="L40" s="1697" t="s">
        <v>1981</v>
      </c>
      <c r="M40" s="1694" t="s">
        <v>1982</v>
      </c>
      <c r="N40" s="1694" t="s">
        <v>1983</v>
      </c>
      <c r="O40" s="1694" t="s">
        <v>1984</v>
      </c>
      <c r="P40" s="1694" t="s">
        <v>1985</v>
      </c>
      <c r="Q40" s="1694" t="s">
        <v>1986</v>
      </c>
      <c r="R40" s="1694" t="s">
        <v>1987</v>
      </c>
      <c r="S40" s="3274" t="s">
        <v>1988</v>
      </c>
      <c r="T40" s="1729" t="str">
        <f>NUMBERSTRING(7-K40,1)&amp;"通"</f>
        <v>七通</v>
      </c>
      <c r="U40" s="1692"/>
    </row>
    <row r="41" spans="1:21">
      <c r="A41" s="1661"/>
      <c r="B41" s="3307" t="s">
        <v>1722</v>
      </c>
      <c r="C41" s="3307"/>
      <c r="D41" s="3307"/>
      <c r="E41" s="3307"/>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274"/>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3015</v>
      </c>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2">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2" t="s">
        <v>2993</v>
      </c>
      <c r="J9" s="49"/>
      <c r="K9" s="3042"/>
      <c r="L9" s="49"/>
      <c r="M9" s="3042"/>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2" t="s">
        <v>1678</v>
      </c>
      <c r="J10" s="49"/>
      <c r="K10" s="3044"/>
      <c r="L10" s="49"/>
      <c r="M10" s="3044"/>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3"/>
      <c r="J11" s="69"/>
      <c r="K11" s="3043"/>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7" t="s">
        <v>2992</v>
      </c>
      <c r="B13" s="3037"/>
      <c r="C13" s="3037"/>
      <c r="D13" s="3038" t="s">
        <v>1679</v>
      </c>
      <c r="E13" s="25">
        <f t="shared" ref="E13:E20" si="6">IF($C$3="是",ROUND($A$3*G13/$B$3,2),ROUND($A$3*(G13-AT13)/$B$3,2))</f>
        <v>2079.0700000000002</v>
      </c>
      <c r="F13" s="79">
        <v>2079.0700000000002</v>
      </c>
      <c r="G13" s="80">
        <f t="shared" ref="G13:G20" si="7">H13+AC13+AT13</f>
        <v>10000</v>
      </c>
      <c r="H13" s="31">
        <f t="shared" ref="H13:H20" si="8">SUMIF(I$12:AB$12,"总值",I13:AB13)</f>
        <v>10000</v>
      </c>
      <c r="I13" s="3041">
        <v>10000</v>
      </c>
      <c r="J13" s="3041"/>
      <c r="K13" s="3041"/>
      <c r="L13" s="3041"/>
      <c r="M13" s="3041"/>
      <c r="N13" s="81"/>
      <c r="O13" s="81"/>
      <c r="P13" s="81"/>
      <c r="Q13" s="81"/>
      <c r="R13" s="81"/>
      <c r="S13" s="81"/>
      <c r="T13" s="81"/>
      <c r="U13" s="81"/>
      <c r="V13" s="81"/>
      <c r="W13" s="81"/>
      <c r="X13" s="81"/>
      <c r="Y13" s="81"/>
      <c r="Z13" s="81"/>
      <c r="AA13" s="81"/>
      <c r="AB13" s="81"/>
      <c r="AC13" s="25">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7"/>
      <c r="B14" s="3037"/>
      <c r="C14" s="3039"/>
      <c r="D14" s="3038"/>
      <c r="E14" s="25">
        <f t="shared" si="6"/>
        <v>0</v>
      </c>
      <c r="F14" s="79"/>
      <c r="G14" s="80">
        <f t="shared" si="7"/>
        <v>0</v>
      </c>
      <c r="H14" s="31">
        <f t="shared" si="8"/>
        <v>0</v>
      </c>
      <c r="I14" s="3041"/>
      <c r="J14" s="3041"/>
      <c r="K14" s="3041"/>
      <c r="L14" s="3041"/>
      <c r="M14" s="3041"/>
      <c r="N14" s="81"/>
      <c r="O14" s="81"/>
      <c r="P14" s="81"/>
      <c r="Q14" s="81"/>
      <c r="R14" s="81"/>
      <c r="S14" s="81"/>
      <c r="T14" s="81"/>
      <c r="U14" s="81"/>
      <c r="V14" s="81"/>
      <c r="W14" s="81"/>
      <c r="X14" s="81"/>
      <c r="Y14" s="81"/>
      <c r="Z14" s="81"/>
      <c r="AA14" s="81"/>
      <c r="AB14" s="81"/>
      <c r="AC14" s="25">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7"/>
      <c r="B15" s="3037"/>
      <c r="C15" s="3039"/>
      <c r="D15" s="3038"/>
      <c r="E15" s="25">
        <f t="shared" si="6"/>
        <v>0</v>
      </c>
      <c r="F15" s="79"/>
      <c r="G15" s="80">
        <f t="shared" si="7"/>
        <v>0</v>
      </c>
      <c r="H15" s="31">
        <f t="shared" si="8"/>
        <v>0</v>
      </c>
      <c r="I15" s="3041"/>
      <c r="J15" s="3041"/>
      <c r="K15" s="3041"/>
      <c r="L15" s="3041"/>
      <c r="M15" s="3041"/>
      <c r="N15" s="81"/>
      <c r="O15" s="81"/>
      <c r="P15" s="81"/>
      <c r="Q15" s="81"/>
      <c r="R15" s="81"/>
      <c r="S15" s="81"/>
      <c r="T15" s="81"/>
      <c r="U15" s="81"/>
      <c r="V15" s="81"/>
      <c r="W15" s="81"/>
      <c r="X15" s="81"/>
      <c r="Y15" s="81"/>
      <c r="Z15" s="81"/>
      <c r="AA15" s="81"/>
      <c r="AB15" s="81"/>
      <c r="AC15" s="25">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7"/>
      <c r="B16" s="3037"/>
      <c r="C16" s="3039"/>
      <c r="D16" s="3038"/>
      <c r="E16" s="25">
        <f t="shared" si="6"/>
        <v>0</v>
      </c>
      <c r="F16" s="79"/>
      <c r="G16" s="80">
        <f t="shared" si="7"/>
        <v>0</v>
      </c>
      <c r="H16" s="31">
        <f t="shared" si="8"/>
        <v>0</v>
      </c>
      <c r="I16" s="3041"/>
      <c r="J16" s="3041"/>
      <c r="K16" s="3041"/>
      <c r="L16" s="3041"/>
      <c r="M16" s="3041"/>
      <c r="N16" s="81"/>
      <c r="O16" s="81"/>
      <c r="P16" s="81"/>
      <c r="Q16" s="81"/>
      <c r="R16" s="81"/>
      <c r="S16" s="81"/>
      <c r="T16" s="81"/>
      <c r="U16" s="81"/>
      <c r="V16" s="81"/>
      <c r="W16" s="81"/>
      <c r="X16" s="81"/>
      <c r="Y16" s="81"/>
      <c r="Z16" s="81"/>
      <c r="AA16" s="81"/>
      <c r="AB16" s="81"/>
      <c r="AC16" s="25">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7"/>
      <c r="B17" s="3037"/>
      <c r="C17" s="3039"/>
      <c r="D17" s="3038"/>
      <c r="E17" s="25">
        <f t="shared" si="6"/>
        <v>0</v>
      </c>
      <c r="F17" s="79"/>
      <c r="G17" s="80">
        <f t="shared" si="7"/>
        <v>0</v>
      </c>
      <c r="H17" s="31">
        <f t="shared" si="8"/>
        <v>0</v>
      </c>
      <c r="I17" s="3041"/>
      <c r="J17" s="3041"/>
      <c r="K17" s="3041"/>
      <c r="L17" s="3041"/>
      <c r="M17" s="3041"/>
      <c r="N17" s="81"/>
      <c r="O17" s="81"/>
      <c r="P17" s="81"/>
      <c r="Q17" s="81"/>
      <c r="R17" s="81"/>
      <c r="S17" s="81"/>
      <c r="T17" s="81"/>
      <c r="U17" s="81"/>
      <c r="V17" s="81"/>
      <c r="W17" s="81"/>
      <c r="X17" s="81"/>
      <c r="Y17" s="81"/>
      <c r="Z17" s="81"/>
      <c r="AA17" s="81"/>
      <c r="AB17" s="81"/>
      <c r="AC17" s="25">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40"/>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40</v>
      </c>
      <c r="E1" s="3316" t="s">
        <v>41</v>
      </c>
      <c r="F1" s="3316"/>
      <c r="G1" s="3316"/>
      <c r="H1" s="3316"/>
      <c r="I1" s="3316"/>
      <c r="J1" s="3316"/>
      <c r="K1" s="3316"/>
      <c r="L1" s="3316"/>
      <c r="M1" s="3316"/>
    </row>
    <row r="2" spans="1:13" ht="27" customHeight="1">
      <c r="A2" s="3315"/>
      <c r="B2" s="3315"/>
      <c r="C2" s="3315"/>
      <c r="D2" s="3316"/>
      <c r="E2" s="3316" t="s">
        <v>24</v>
      </c>
      <c r="F2" s="3316" t="s">
        <v>25</v>
      </c>
      <c r="G2" s="3316"/>
      <c r="H2" s="3316"/>
      <c r="I2" s="3316"/>
      <c r="J2" s="3316" t="s">
        <v>26</v>
      </c>
      <c r="K2" s="3316"/>
      <c r="L2" s="3316"/>
      <c r="M2" s="3316"/>
    </row>
    <row r="3" spans="1:13" ht="28.5">
      <c r="A3" s="3315"/>
      <c r="B3" s="3315"/>
      <c r="C3" s="3315"/>
      <c r="D3" s="3316"/>
      <c r="E3" s="33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6" t="s">
        <v>42</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1" sqref="M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26" t="s">
        <v>203</v>
      </c>
      <c r="B2" s="3326"/>
      <c r="C2" s="3326"/>
      <c r="D2" s="1974" t="s">
        <v>204</v>
      </c>
      <c r="E2" s="104" t="s">
        <v>205</v>
      </c>
      <c r="F2" s="1983"/>
      <c r="G2" s="1196"/>
      <c r="H2" s="1197"/>
      <c r="I2" s="1198" t="s">
        <v>857</v>
      </c>
      <c r="J2" s="1983"/>
      <c r="K2" s="1983"/>
      <c r="L2" s="1983"/>
    </row>
    <row r="3" spans="1:16" ht="15.75" thickBot="1">
      <c r="A3" s="3327" t="s">
        <v>206</v>
      </c>
      <c r="B3" s="3327"/>
      <c r="C3" s="3327"/>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28"/>
      <c r="B4" s="3329"/>
      <c r="C4" s="3330"/>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31" t="s">
        <v>230</v>
      </c>
      <c r="C5" s="3331"/>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31" t="s">
        <v>208</v>
      </c>
      <c r="C6" s="3331"/>
      <c r="D6" s="109">
        <f>ROUND($D$3*E6/$E$3,2)</f>
        <v>2079.0700000000002</v>
      </c>
      <c r="E6" s="110">
        <f>E3-E5</f>
        <v>10000</v>
      </c>
      <c r="F6" s="1983"/>
      <c r="G6" s="1199"/>
      <c r="H6" s="273" t="s">
        <v>860</v>
      </c>
      <c r="I6" s="1975">
        <f>ROUND(F31/D31,2)</f>
        <v>4.8099999999999996</v>
      </c>
      <c r="J6" s="1983"/>
      <c r="K6" s="1983"/>
      <c r="L6" s="1983"/>
    </row>
    <row r="7" spans="1:16" ht="15">
      <c r="A7" s="3323"/>
      <c r="B7" s="3324"/>
      <c r="C7" s="3325"/>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17" t="s">
        <v>2570</v>
      </c>
      <c r="L16" s="3318"/>
      <c r="M16" s="3318"/>
      <c r="N16" s="3318"/>
      <c r="O16" s="3318"/>
      <c r="P16" s="3319"/>
    </row>
    <row r="17" spans="1:19" ht="15">
      <c r="A17" s="119" t="s">
        <v>216</v>
      </c>
      <c r="B17" s="120" t="s">
        <v>217</v>
      </c>
      <c r="C17" s="2297" t="s">
        <v>2316</v>
      </c>
      <c r="D17" s="106" t="s">
        <v>204</v>
      </c>
      <c r="E17" s="122" t="s">
        <v>205</v>
      </c>
      <c r="F17" s="123"/>
      <c r="G17" s="1364"/>
      <c r="H17" s="968" t="s">
        <v>218</v>
      </c>
      <c r="I17" s="969" t="s">
        <v>2315</v>
      </c>
      <c r="J17" s="1983"/>
      <c r="K17" s="3320" t="s">
        <v>2571</v>
      </c>
      <c r="L17" s="3321"/>
      <c r="M17" s="3322"/>
      <c r="N17" s="3320" t="s">
        <v>2572</v>
      </c>
      <c r="O17" s="3321"/>
      <c r="P17" s="3322"/>
      <c r="R17" s="2298" t="s">
        <v>2314</v>
      </c>
      <c r="S17" s="142"/>
    </row>
    <row r="18" spans="1:19" ht="15">
      <c r="A18" s="115"/>
      <c r="B18" s="126"/>
      <c r="C18" s="127"/>
      <c r="D18" s="2665"/>
      <c r="E18" s="128" t="s">
        <v>220</v>
      </c>
      <c r="F18" s="129" t="s">
        <v>221</v>
      </c>
      <c r="G18" s="1365" t="s">
        <v>222</v>
      </c>
      <c r="H18" s="970" t="s">
        <v>223</v>
      </c>
      <c r="I18" s="971" t="s">
        <v>224</v>
      </c>
      <c r="J18" s="1983"/>
      <c r="K18" s="2628" t="s">
        <v>2573</v>
      </c>
      <c r="L18" s="2629" t="s">
        <v>2574</v>
      </c>
      <c r="M18" s="2630" t="s">
        <v>2575</v>
      </c>
      <c r="N18" s="2628" t="s">
        <v>2573</v>
      </c>
      <c r="O18" s="2629" t="s">
        <v>2574</v>
      </c>
      <c r="P18" s="2630" t="s">
        <v>2575</v>
      </c>
      <c r="R18" s="2299" t="s">
        <v>2312</v>
      </c>
      <c r="S18" s="2299" t="s">
        <v>2313</v>
      </c>
    </row>
    <row r="19" spans="1:19">
      <c r="A19" s="131"/>
      <c r="B19" s="113" t="s">
        <v>225</v>
      </c>
      <c r="C19" s="3048" t="s">
        <v>2994</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31">
        <f t="shared" ref="K19:K26" si="3">ROUND(E$28*E19/E$27,2)</f>
        <v>0</v>
      </c>
      <c r="L19" s="273">
        <f t="shared" ref="L19:L26" si="4">ROUND(IF(COUNTIF(C19,"*住宅*")&gt;0,E$29*E19/E$32,0),2)</f>
        <v>0</v>
      </c>
      <c r="M19" s="2632">
        <f>K19+L19</f>
        <v>0</v>
      </c>
      <c r="N19" s="2633"/>
      <c r="O19" s="2634"/>
      <c r="P19" s="2635">
        <f>N19+O19</f>
        <v>0</v>
      </c>
      <c r="R19" s="273">
        <f t="shared" ref="R19:S26" si="5">D19+H19</f>
        <v>2079.0700000000002</v>
      </c>
      <c r="S19" s="2300">
        <f t="shared" si="5"/>
        <v>10000</v>
      </c>
    </row>
    <row r="20" spans="1:19">
      <c r="A20" s="136"/>
      <c r="B20" s="113" t="s">
        <v>226</v>
      </c>
      <c r="C20" s="3048"/>
      <c r="D20" s="109">
        <f t="shared" si="1"/>
        <v>0</v>
      </c>
      <c r="E20" s="132">
        <f t="shared" si="2"/>
        <v>0</v>
      </c>
      <c r="F20" s="133"/>
      <c r="G20" s="1366"/>
      <c r="H20" s="972">
        <f t="shared" ref="H20:H26" si="6">ROUND($D$3*I20/$E$3,2)</f>
        <v>0</v>
      </c>
      <c r="I20" s="114">
        <f t="shared" ref="I20:I26" si="7">IF($I$17="自定义",P20,M20)</f>
        <v>0</v>
      </c>
      <c r="J20" s="1983"/>
      <c r="K20" s="2631">
        <f t="shared" si="3"/>
        <v>0</v>
      </c>
      <c r="L20" s="273">
        <f t="shared" si="4"/>
        <v>0</v>
      </c>
      <c r="M20" s="2632">
        <f t="shared" ref="M20:M26" si="8">K20+L20</f>
        <v>0</v>
      </c>
      <c r="N20" s="2633"/>
      <c r="O20" s="2634"/>
      <c r="P20" s="2635">
        <f t="shared" ref="P20:P26" si="9">N20+O20</f>
        <v>0</v>
      </c>
      <c r="R20" s="273">
        <f t="shared" si="5"/>
        <v>0</v>
      </c>
      <c r="S20" s="2300">
        <f t="shared" si="5"/>
        <v>0</v>
      </c>
    </row>
    <row r="21" spans="1:19">
      <c r="A21" s="136"/>
      <c r="B21" s="113" t="s">
        <v>226</v>
      </c>
      <c r="C21" s="3048"/>
      <c r="D21" s="109">
        <f t="shared" si="1"/>
        <v>0</v>
      </c>
      <c r="E21" s="132">
        <f t="shared" si="2"/>
        <v>0</v>
      </c>
      <c r="F21" s="133"/>
      <c r="G21" s="1366"/>
      <c r="H21" s="972">
        <f t="shared" si="6"/>
        <v>0</v>
      </c>
      <c r="I21" s="114">
        <f t="shared" si="7"/>
        <v>0</v>
      </c>
      <c r="J21" s="1983"/>
      <c r="K21" s="2631">
        <f t="shared" si="3"/>
        <v>0</v>
      </c>
      <c r="L21" s="273">
        <f t="shared" si="4"/>
        <v>0</v>
      </c>
      <c r="M21" s="2632">
        <f t="shared" si="8"/>
        <v>0</v>
      </c>
      <c r="N21" s="2633"/>
      <c r="O21" s="2634"/>
      <c r="P21" s="2635">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31">
        <f t="shared" si="3"/>
        <v>0</v>
      </c>
      <c r="L22" s="273">
        <f t="shared" si="4"/>
        <v>0</v>
      </c>
      <c r="M22" s="2632">
        <f t="shared" si="8"/>
        <v>0</v>
      </c>
      <c r="N22" s="2633"/>
      <c r="O22" s="2634"/>
      <c r="P22" s="2635">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31">
        <f t="shared" si="3"/>
        <v>0</v>
      </c>
      <c r="L23" s="273">
        <f t="shared" si="4"/>
        <v>0</v>
      </c>
      <c r="M23" s="2632">
        <f t="shared" si="8"/>
        <v>0</v>
      </c>
      <c r="N23" s="2633"/>
      <c r="O23" s="2634"/>
      <c r="P23" s="2635">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31">
        <f t="shared" si="3"/>
        <v>0</v>
      </c>
      <c r="L24" s="273">
        <f t="shared" si="4"/>
        <v>0</v>
      </c>
      <c r="M24" s="2632">
        <f t="shared" si="8"/>
        <v>0</v>
      </c>
      <c r="N24" s="2633"/>
      <c r="O24" s="2634"/>
      <c r="P24" s="2635">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31">
        <f t="shared" si="3"/>
        <v>0</v>
      </c>
      <c r="L25" s="273">
        <f t="shared" si="4"/>
        <v>0</v>
      </c>
      <c r="M25" s="2632">
        <f t="shared" si="8"/>
        <v>0</v>
      </c>
      <c r="N25" s="2633"/>
      <c r="O25" s="2634"/>
      <c r="P25" s="2635">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6">
        <f t="shared" si="3"/>
        <v>0</v>
      </c>
      <c r="L26" s="278">
        <f t="shared" si="4"/>
        <v>0</v>
      </c>
      <c r="M26" s="144">
        <f t="shared" si="8"/>
        <v>0</v>
      </c>
      <c r="N26" s="2637"/>
      <c r="O26" s="2638"/>
      <c r="P26" s="2639">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70"/>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2831</v>
      </c>
      <c r="O5" s="161" t="s">
        <v>246</v>
      </c>
      <c r="P5" s="163" t="s">
        <v>247</v>
      </c>
      <c r="Q5" s="164" t="s">
        <v>248</v>
      </c>
      <c r="R5" s="165" t="s">
        <v>249</v>
      </c>
      <c r="S5" s="2644"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57856</v>
      </c>
      <c r="F6" s="172">
        <f>SUMIF(项目基本情况!D$15:I$15,C6,项目基本情况!D$19:I$19)</f>
        <v>40.07</v>
      </c>
      <c r="G6" s="173">
        <f>IF(ISERROR(ROUND(POWER(1+H6,D6-F6)*(POWER(1+H6,F6)-1)/(POWER(1+H6,D6)-1),3)),0,ROUND(POWER(1+H6,D6-F6)*(POWER(1+H6,F6)-1)/(POWER(1+H6,D6)-1),3))</f>
        <v>0.92200000000000004</v>
      </c>
      <c r="H6" s="3049">
        <v>0.04</v>
      </c>
      <c r="I6" s="3049">
        <v>0.05</v>
      </c>
      <c r="J6" s="174">
        <v>0.08</v>
      </c>
      <c r="K6" s="177">
        <f>SUMIF('数据-汇总表'!C$19:C$33,'数据-取费表'!A6,'数据-汇总表'!E$19:E$33)</f>
        <v>10000</v>
      </c>
      <c r="L6" s="3183">
        <v>2300</v>
      </c>
      <c r="M6" s="175">
        <f t="shared" ref="M6:M14" si="0">ROUND(K6*L6/10000,0)</f>
        <v>2300</v>
      </c>
      <c r="N6" s="3051">
        <v>1</v>
      </c>
      <c r="O6" s="175">
        <f>IF($N$5="成新度","——",ROUND(M6*N6,0))</f>
        <v>2300</v>
      </c>
      <c r="P6" s="176">
        <f>IF($N$5="成新度","——",M6-O6)</f>
        <v>0</v>
      </c>
      <c r="Q6" s="3052">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3"/>
      <c r="AN6" s="2415"/>
      <c r="AO6" s="1999"/>
      <c r="AP6" s="1202">
        <f>ROUND(1-1/(1+H6)^F6,3)</f>
        <v>0.79200000000000004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3029</v>
      </c>
      <c r="D7" s="2307">
        <f>SUMIF(项目基本情况!D$15:I$15,C7,项目基本情况!D$18:I$18)</f>
        <v>50</v>
      </c>
      <c r="E7" s="2308" t="str">
        <f>IF(B7="","",SUMIF(项目基本情况!D$15:I$15,C7,项目基本情况!D$17:I$17))</f>
        <v/>
      </c>
      <c r="F7" s="172">
        <f>SUMIF(项目基本情况!D$15:I$15,C7,项目基本情况!D$19:I$19)</f>
        <v>40.07</v>
      </c>
      <c r="G7" s="173">
        <f t="shared" ref="G7:G11" si="2">IF(ISERROR(ROUND(POWER(1+H7,D7-F7)*(POWER(1+H7,F7)-1)/(POWER(1+H7,D7)-1),3)),0,ROUND(POWER(1+H7,D7-F7)*(POWER(1+H7,F7)-1)/(POWER(1+H7,D7)-1),3))</f>
        <v>0</v>
      </c>
      <c r="H7" s="3049"/>
      <c r="I7" s="3049"/>
      <c r="J7" s="174"/>
      <c r="K7" s="177">
        <f>SUMIF('数据-汇总表'!C$19:C$33,'数据-取费表'!A7,'数据-汇总表'!E$19:E$33)</f>
        <v>0</v>
      </c>
      <c r="L7" s="3050"/>
      <c r="M7" s="175">
        <f t="shared" si="0"/>
        <v>0</v>
      </c>
      <c r="N7" s="3051"/>
      <c r="O7" s="175">
        <f t="shared" ref="O7:O14" si="3">IF($N$5="成新度","——",ROUND(M7*N7,0))</f>
        <v>0</v>
      </c>
      <c r="P7" s="176">
        <f t="shared" ref="P7:P14" si="4">IF($N$5="成新度","——",M7-O7)</f>
        <v>0</v>
      </c>
      <c r="Q7" s="3052"/>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9"/>
      <c r="I8" s="3049"/>
      <c r="J8" s="174"/>
      <c r="K8" s="177">
        <f>SUMIF('数据-汇总表'!C$19:C$33,'数据-取费表'!A8,'数据-汇总表'!E$19:E$33)</f>
        <v>0</v>
      </c>
      <c r="L8" s="3050"/>
      <c r="M8" s="175">
        <f>ROUND(K8*L8/10000,0)</f>
        <v>0</v>
      </c>
      <c r="N8" s="3051"/>
      <c r="O8" s="175">
        <f t="shared" si="3"/>
        <v>0</v>
      </c>
      <c r="P8" s="176">
        <f t="shared" si="4"/>
        <v>0</v>
      </c>
      <c r="Q8" s="3052"/>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f t="shared" si="3"/>
        <v>0</v>
      </c>
      <c r="P14" s="176">
        <f t="shared" si="4"/>
        <v>0</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0.92200000000000004</v>
      </c>
      <c r="H16" s="201">
        <f>ROUND(SUMPRODUCT(H6:H13,K6:K13)/SUMPRODUCT((H6:H13&gt;0)*(K6:K13)),3)</f>
        <v>0.04</v>
      </c>
      <c r="I16" s="202"/>
      <c r="J16" s="202"/>
      <c r="K16" s="203">
        <f>SUM(K6:K15)</f>
        <v>10000</v>
      </c>
      <c r="L16" s="204">
        <f>ROUND(M16*10000/SUM(K6:K14),0)</f>
        <v>2300</v>
      </c>
      <c r="M16" s="204">
        <f>SUM(M6:M14)</f>
        <v>2300</v>
      </c>
      <c r="N16" s="205">
        <f>ROUND(SUMPRODUCT(M6:M14,N6:N14)/M16,3)</f>
        <v>1</v>
      </c>
      <c r="O16" s="204">
        <f>SUM(O6:O14)</f>
        <v>2300</v>
      </c>
      <c r="P16" s="204">
        <f>SUM(P6:P14)</f>
        <v>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0.79200000000000004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1.5</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1.5</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200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2899</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8"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9"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9"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100" t="s">
        <v>2907</v>
      </c>
      <c r="D53" s="3101"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2909</v>
      </c>
      <c r="B54" s="184"/>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2910</v>
      </c>
      <c r="B55" s="184"/>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2911</v>
      </c>
      <c r="B56" s="184"/>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2912</v>
      </c>
      <c r="B57" s="184"/>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2913</v>
      </c>
      <c r="B58" s="184"/>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2914</v>
      </c>
      <c r="B59" s="184"/>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2915</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2916</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2917</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2918</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32" t="s">
        <v>1664</v>
      </c>
      <c r="B1" s="3333"/>
      <c r="C1" s="3333"/>
      <c r="D1" s="3333"/>
      <c r="E1" s="3333"/>
      <c r="F1" s="3333"/>
      <c r="G1" s="3333"/>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c r="A3" s="1225" t="s">
        <v>1667</v>
      </c>
      <c r="B3" s="1226" t="s">
        <v>1654</v>
      </c>
      <c r="C3" s="3105" t="s">
        <v>2925</v>
      </c>
      <c r="D3" s="2008"/>
      <c r="E3" s="1227" t="s">
        <v>1667</v>
      </c>
      <c r="F3" s="1228" t="s">
        <v>1655</v>
      </c>
      <c r="G3" s="3109" t="s">
        <v>2924</v>
      </c>
      <c r="H3" s="2007"/>
      <c r="I3" s="2007"/>
      <c r="J3" s="2007"/>
      <c r="K3" s="2007"/>
      <c r="L3" s="2007"/>
      <c r="M3" s="2007"/>
      <c r="N3" s="2007"/>
      <c r="O3" s="2007"/>
      <c r="P3" s="2007"/>
      <c r="Q3" s="2007"/>
      <c r="R3" s="2007"/>
    </row>
    <row r="4" spans="1:18" ht="41.25">
      <c r="A4" s="1227"/>
      <c r="B4" s="1229" t="s">
        <v>1668</v>
      </c>
      <c r="C4" s="3106" t="s">
        <v>2926</v>
      </c>
      <c r="D4" s="2008"/>
      <c r="E4" s="1230"/>
      <c r="F4" s="1231" t="s">
        <v>1669</v>
      </c>
      <c r="G4" s="3107" t="s">
        <v>2921</v>
      </c>
      <c r="H4" s="2007"/>
      <c r="I4" s="2007"/>
      <c r="J4" s="2007"/>
      <c r="K4" s="2007"/>
      <c r="L4" s="2007"/>
      <c r="M4" s="2007"/>
      <c r="N4" s="2007"/>
      <c r="O4" s="2007"/>
      <c r="P4" s="2007"/>
      <c r="Q4" s="2007"/>
      <c r="R4" s="2007"/>
    </row>
    <row r="5" spans="1:18" ht="41.25">
      <c r="A5" s="1227"/>
      <c r="B5" s="1229" t="s">
        <v>1670</v>
      </c>
      <c r="C5" s="3106" t="s">
        <v>2927</v>
      </c>
      <c r="D5" s="2008"/>
      <c r="E5" s="1230"/>
      <c r="F5" s="1229" t="s">
        <v>2550</v>
      </c>
      <c r="G5" s="3107" t="s">
        <v>2922</v>
      </c>
      <c r="H5" s="2007"/>
      <c r="I5" s="2007"/>
      <c r="J5" s="2007"/>
      <c r="K5" s="2007"/>
      <c r="L5" s="2007"/>
      <c r="M5" s="2007"/>
      <c r="N5" s="2007"/>
      <c r="O5" s="2007"/>
      <c r="P5" s="2007"/>
      <c r="Q5" s="2007"/>
      <c r="R5" s="2007"/>
    </row>
    <row r="6" spans="1:18" ht="54">
      <c r="A6" s="1227"/>
      <c r="B6" s="1229" t="s">
        <v>1656</v>
      </c>
      <c r="C6" s="3197" t="s">
        <v>3034</v>
      </c>
      <c r="D6" s="2008"/>
      <c r="E6" s="1230"/>
      <c r="F6" s="1229" t="s">
        <v>2551</v>
      </c>
      <c r="G6" s="3107" t="s">
        <v>2919</v>
      </c>
      <c r="H6" s="2007"/>
      <c r="I6" s="2007"/>
      <c r="J6" s="2007"/>
      <c r="K6" s="2007"/>
      <c r="L6" s="2007"/>
      <c r="M6" s="2007"/>
      <c r="N6" s="2007"/>
      <c r="O6" s="2007"/>
      <c r="P6" s="2007"/>
      <c r="Q6" s="2007"/>
      <c r="R6" s="2007"/>
    </row>
    <row r="7" spans="1:18" ht="41.25" thickBot="1">
      <c r="A7" s="1227"/>
      <c r="B7" s="1229" t="s">
        <v>2550</v>
      </c>
      <c r="C7" s="3107" t="s">
        <v>2922</v>
      </c>
      <c r="D7" s="2009"/>
      <c r="E7" s="1232"/>
      <c r="F7" s="1233" t="s">
        <v>1671</v>
      </c>
      <c r="G7" s="3110" t="s">
        <v>2923</v>
      </c>
      <c r="H7" s="2007"/>
      <c r="I7" s="2007"/>
      <c r="J7" s="2007"/>
      <c r="K7" s="2007"/>
      <c r="L7" s="2007"/>
      <c r="M7" s="2007"/>
      <c r="N7" s="2007"/>
      <c r="O7" s="2007"/>
      <c r="P7" s="2007"/>
      <c r="Q7" s="2007"/>
      <c r="R7" s="2007"/>
    </row>
    <row r="8" spans="1:18" ht="27">
      <c r="A8" s="1227"/>
      <c r="B8" s="1229" t="s">
        <v>2551</v>
      </c>
      <c r="C8" s="3107" t="s">
        <v>2919</v>
      </c>
      <c r="D8" s="2009"/>
      <c r="E8" s="2009"/>
      <c r="F8" s="1552"/>
      <c r="G8" s="1552"/>
      <c r="H8" s="2007"/>
      <c r="I8" s="2007"/>
      <c r="J8" s="2007"/>
      <c r="K8" s="2007"/>
      <c r="L8" s="2007"/>
      <c r="M8" s="2007"/>
      <c r="N8" s="2007"/>
      <c r="O8" s="2007"/>
      <c r="P8" s="2007"/>
      <c r="Q8" s="2007"/>
      <c r="R8" s="2007"/>
    </row>
    <row r="9" spans="1:18" ht="40.5">
      <c r="A9" s="1227"/>
      <c r="B9" s="1229" t="s">
        <v>1657</v>
      </c>
      <c r="C9" s="3106" t="s">
        <v>2920</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54">
      <c r="A15" s="2611" t="s">
        <v>1658</v>
      </c>
      <c r="B15" s="1240" t="s">
        <v>1654</v>
      </c>
      <c r="C15" s="1241" t="str">
        <f>C3</f>
        <v>估价对象周边居住用地比例、居住小区规模和社区发展完善程度，综合评价居住社区成熟度一般</v>
      </c>
      <c r="D15" s="2008"/>
      <c r="E15" s="2608" t="s">
        <v>1659</v>
      </c>
      <c r="F15" s="1240" t="s">
        <v>1674</v>
      </c>
      <c r="G15" s="1242" t="str">
        <f>G3</f>
        <v>估价对象位于XX开发区，园区建设成熟度XX，产业集聚程度XX</v>
      </c>
    </row>
    <row r="16" spans="1:18" ht="40.5">
      <c r="A16" s="2612"/>
      <c r="B16" s="1243" t="s">
        <v>1668</v>
      </c>
      <c r="C16" s="1244" t="str">
        <f>C4</f>
        <v>估价对象位于XX商圈，周边商业氛围成熟，人流量大，商业繁华度好</v>
      </c>
      <c r="D16" s="2008"/>
      <c r="E16" s="2609"/>
      <c r="F16" s="1245" t="s">
        <v>1669</v>
      </c>
      <c r="G16" s="1003" t="str">
        <f>G4</f>
        <v>估价对象周边道路状况、公共交通通达情况、停车便捷程度，综合评价交通便捷度较好</v>
      </c>
    </row>
    <row r="17" spans="1:7" ht="40.5">
      <c r="A17" s="2612"/>
      <c r="B17" s="1243" t="s">
        <v>1670</v>
      </c>
      <c r="C17" s="1244" t="str">
        <f>C5</f>
        <v>估价对象位于XX商圈，周边办公楼项目较多，入驻率高，办公集聚程度较好</v>
      </c>
      <c r="D17" s="2009"/>
      <c r="E17" s="2609"/>
      <c r="F17" s="1245" t="s">
        <v>1675</v>
      </c>
      <c r="G17" s="2817"/>
    </row>
    <row r="18" spans="1:7" ht="54">
      <c r="A18" s="2612"/>
      <c r="B18" s="1245" t="s">
        <v>1656</v>
      </c>
      <c r="C18" s="1003" t="str">
        <f>C6</f>
        <v>估价对象周边道路状况、公共交通通达情况、停车便捷程度，综合评价交通便捷度好</v>
      </c>
      <c r="D18" s="2009"/>
      <c r="E18" s="2609"/>
      <c r="F18" s="1245" t="s">
        <v>1671</v>
      </c>
      <c r="G18" s="1003" t="str">
        <f>G7</f>
        <v>该园区内是否有污染型企业，绿化情况，卫生条件，整体环境状况判断</v>
      </c>
    </row>
    <row r="19" spans="1:7" ht="27">
      <c r="A19" s="2612"/>
      <c r="B19" s="1245" t="s">
        <v>1660</v>
      </c>
      <c r="C19" s="2817"/>
      <c r="D19" s="2008"/>
      <c r="E19" s="2609"/>
      <c r="F19" s="1229" t="s">
        <v>2550</v>
      </c>
      <c r="G19" s="1003" t="str">
        <f>G5</f>
        <v>估价对象所在区域公共配套设施齐备情况</v>
      </c>
    </row>
    <row r="20" spans="1:7" ht="40.5">
      <c r="A20" s="2612"/>
      <c r="B20" s="1245" t="s">
        <v>1661</v>
      </c>
      <c r="C20" s="1244" t="str">
        <f>C9</f>
        <v>区域自然环境：；人文环境；综合评价环境状况一般</v>
      </c>
      <c r="D20" s="2009"/>
      <c r="E20" s="2609"/>
      <c r="F20" s="1229" t="s">
        <v>2551</v>
      </c>
      <c r="G20" s="1003" t="str">
        <f>G6</f>
        <v>估价对象所在区域基础设施水平</v>
      </c>
    </row>
    <row r="21" spans="1:7" ht="27">
      <c r="A21" s="2612"/>
      <c r="B21" s="1229" t="s">
        <v>2550</v>
      </c>
      <c r="C21" s="1003" t="str">
        <f>C7</f>
        <v>估价对象所在区域公共配套设施齐备情况</v>
      </c>
      <c r="D21" s="2008"/>
      <c r="E21" s="2609"/>
      <c r="F21" s="1245" t="s">
        <v>1662</v>
      </c>
      <c r="G21" s="3111"/>
    </row>
    <row r="22" spans="1:7" ht="27">
      <c r="A22" s="2612"/>
      <c r="B22" s="1229" t="s">
        <v>2551</v>
      </c>
      <c r="C22" s="1003" t="str">
        <f>C8</f>
        <v>估价对象所在区域基础设施水平</v>
      </c>
      <c r="D22" s="2008"/>
      <c r="E22" s="2609"/>
      <c r="F22" s="1245" t="s">
        <v>1672</v>
      </c>
      <c r="G22" s="2817"/>
    </row>
    <row r="23" spans="1:7" ht="15" thickBot="1">
      <c r="A23" s="2612"/>
      <c r="B23" s="1245" t="s">
        <v>1662</v>
      </c>
      <c r="C23" s="3111"/>
      <c r="E23" s="2610"/>
      <c r="F23" s="1246" t="s">
        <v>1676</v>
      </c>
      <c r="G23" s="3112"/>
    </row>
    <row r="24" spans="1:7" ht="14.25" thickBot="1">
      <c r="A24" s="2613"/>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2847</v>
      </c>
      <c r="B1" s="3069">
        <f>SUM(B14:B23)</f>
        <v>10000</v>
      </c>
      <c r="C1" s="3070"/>
      <c r="D1" s="3070"/>
      <c r="E1" s="3070"/>
      <c r="F1" s="3070"/>
    </row>
    <row r="2" spans="1:9" ht="16.5">
      <c r="A2" s="3069" t="s">
        <v>2848</v>
      </c>
      <c r="B2" s="3069">
        <f>SUM(C14:C23)</f>
        <v>2079.0700000000002</v>
      </c>
      <c r="C2" s="3070"/>
      <c r="D2" s="3070"/>
      <c r="E2" s="3070"/>
      <c r="F2" s="3070"/>
    </row>
    <row r="3" spans="1:9" ht="16.5">
      <c r="A3" s="3069" t="s">
        <v>2849</v>
      </c>
      <c r="B3" s="3071">
        <f>项目基本情况!D3</f>
        <v>43230</v>
      </c>
      <c r="C3" s="3070"/>
      <c r="D3" s="3070"/>
      <c r="E3" s="3070"/>
      <c r="F3" s="3070"/>
    </row>
    <row r="4" spans="1:9" ht="33">
      <c r="A4" s="3069" t="s">
        <v>2850</v>
      </c>
      <c r="B4" s="3069" t="s">
        <v>2851</v>
      </c>
      <c r="C4" s="3069" t="s">
        <v>2852</v>
      </c>
      <c r="D4" s="3069" t="s">
        <v>2853</v>
      </c>
      <c r="E4" s="3070"/>
      <c r="F4" s="3070"/>
    </row>
    <row r="5" spans="1:9" ht="16.5">
      <c r="A5" s="3069" t="s">
        <v>2854</v>
      </c>
      <c r="B5" s="3069">
        <f ca="1">SUM(D14:D23)</f>
        <v>32144</v>
      </c>
      <c r="C5" s="3069">
        <f ca="1">ROUND(B5*10000/$B$1,0)</f>
        <v>32144</v>
      </c>
      <c r="D5" s="3069">
        <f ca="1">ROUND(B5*10000/$B$2,0)</f>
        <v>154608</v>
      </c>
      <c r="E5" s="3070"/>
      <c r="F5" s="3070"/>
    </row>
    <row r="6" spans="1:9" ht="16.5">
      <c r="A6" s="3069" t="s">
        <v>2855</v>
      </c>
      <c r="B6" s="3069">
        <f>SUM(G14:G23)</f>
        <v>0</v>
      </c>
      <c r="C6" s="3069">
        <f t="shared" ref="C6:C8" si="0">ROUND(B6*10000/$B$1,0)</f>
        <v>0</v>
      </c>
      <c r="D6" s="3069">
        <f t="shared" ref="D6:D8" si="1">ROUND(B6*10000/$B$2,0)</f>
        <v>0</v>
      </c>
      <c r="E6" s="3070"/>
      <c r="F6" s="3070"/>
    </row>
    <row r="7" spans="1:9" ht="16.5">
      <c r="A7" s="3069" t="s">
        <v>2856</v>
      </c>
      <c r="B7" s="3069">
        <f>SUM(H14:H23)</f>
        <v>0</v>
      </c>
      <c r="C7" s="3069">
        <f t="shared" si="0"/>
        <v>0</v>
      </c>
      <c r="D7" s="3069">
        <f t="shared" si="1"/>
        <v>0</v>
      </c>
      <c r="E7" s="3070"/>
      <c r="F7" s="3070"/>
    </row>
    <row r="8" spans="1:9" ht="16.5">
      <c r="A8" s="3069" t="s">
        <v>2857</v>
      </c>
      <c r="B8" s="3069">
        <f>SUM(I14:I23)</f>
        <v>0</v>
      </c>
      <c r="C8" s="3069">
        <f t="shared" si="0"/>
        <v>0</v>
      </c>
      <c r="D8" s="3069">
        <f t="shared" si="1"/>
        <v>0</v>
      </c>
      <c r="E8" s="3070"/>
      <c r="F8" s="3070"/>
    </row>
    <row r="9" spans="1:9" ht="16.5">
      <c r="A9" s="3069" t="s">
        <v>2858</v>
      </c>
      <c r="B9" s="3072"/>
      <c r="C9" s="3070"/>
      <c r="D9" s="3070"/>
      <c r="E9" s="3070"/>
      <c r="F9" s="3070"/>
    </row>
    <row r="10" spans="1:9" ht="16.5">
      <c r="A10" s="3069" t="s">
        <v>2859</v>
      </c>
      <c r="B10" s="3072"/>
      <c r="C10" s="3070"/>
      <c r="D10" s="3070"/>
      <c r="E10" s="3070"/>
      <c r="F10" s="3070"/>
    </row>
    <row r="11" spans="1:9" ht="16.5">
      <c r="A11" s="3069" t="s">
        <v>2876</v>
      </c>
      <c r="B11" s="3072"/>
      <c r="C11" s="3070"/>
      <c r="D11" s="3070"/>
      <c r="E11" s="3070"/>
      <c r="F11" s="3070"/>
    </row>
    <row r="12" spans="1:9" ht="16.5">
      <c r="A12" s="3070"/>
      <c r="B12" s="3070"/>
      <c r="C12" s="3070"/>
      <c r="D12" s="3070"/>
      <c r="E12" s="3070"/>
      <c r="F12" s="3070"/>
    </row>
    <row r="13" spans="1:9" ht="33">
      <c r="A13" s="3075" t="s">
        <v>2875</v>
      </c>
      <c r="B13" s="3073" t="s">
        <v>2847</v>
      </c>
      <c r="C13" s="3073" t="s">
        <v>2848</v>
      </c>
      <c r="D13" s="3073" t="s">
        <v>2860</v>
      </c>
      <c r="E13" s="3069" t="s">
        <v>2874</v>
      </c>
      <c r="F13" s="3069" t="s">
        <v>2853</v>
      </c>
      <c r="G13" s="3073" t="s">
        <v>2861</v>
      </c>
      <c r="H13" s="3073" t="s">
        <v>2862</v>
      </c>
      <c r="I13" s="3073" t="s">
        <v>2863</v>
      </c>
    </row>
    <row r="14" spans="1:9" ht="16.5">
      <c r="A14" s="3076" t="s">
        <v>2873</v>
      </c>
      <c r="B14" s="3073">
        <f>结果表!L38</f>
        <v>10000</v>
      </c>
      <c r="C14" s="3073">
        <f>结果表!K38</f>
        <v>2079.0700000000002</v>
      </c>
      <c r="D14" s="3073">
        <f ca="1">结果表!C42</f>
        <v>32144</v>
      </c>
      <c r="E14" s="3073">
        <f ca="1">ROUND(D14*10000/B14,0)</f>
        <v>32144</v>
      </c>
      <c r="F14" s="3073">
        <f ca="1">ROUND(D14*10000/C14,0)</f>
        <v>154608</v>
      </c>
      <c r="G14" s="3073" t="str">
        <f>结果表!C44</f>
        <v>——</v>
      </c>
      <c r="H14" s="3073" t="str">
        <f>结果表!C45</f>
        <v>——</v>
      </c>
      <c r="I14" s="3073" t="str">
        <f>结果表!C46</f>
        <v>——</v>
      </c>
    </row>
    <row r="15" spans="1:9" ht="16.5">
      <c r="A15" s="3076" t="s">
        <v>2864</v>
      </c>
      <c r="B15" s="3077"/>
      <c r="C15" s="3077"/>
      <c r="D15" s="3077"/>
      <c r="E15" s="3073" t="e">
        <f t="shared" ref="E15:E23" si="2">ROUND(D15*10000/B15,0)</f>
        <v>#DIV/0!</v>
      </c>
      <c r="F15" s="3073" t="e">
        <f t="shared" ref="F15:F23" si="3">ROUND(D15*10000/C15,0)</f>
        <v>#DIV/0!</v>
      </c>
      <c r="G15" s="3074"/>
      <c r="H15" s="3074"/>
      <c r="I15" s="3077"/>
    </row>
    <row r="16" spans="1:9" ht="16.5">
      <c r="A16" s="3076" t="s">
        <v>2865</v>
      </c>
      <c r="B16" s="3077"/>
      <c r="C16" s="3077"/>
      <c r="D16" s="3077"/>
      <c r="E16" s="3073" t="e">
        <f t="shared" si="2"/>
        <v>#DIV/0!</v>
      </c>
      <c r="F16" s="3073" t="e">
        <f t="shared" si="3"/>
        <v>#DIV/0!</v>
      </c>
      <c r="G16" s="3074"/>
      <c r="H16" s="3074"/>
      <c r="I16" s="3077"/>
    </row>
    <row r="17" spans="1:9" ht="16.5">
      <c r="A17" s="3076" t="s">
        <v>2866</v>
      </c>
      <c r="B17" s="3077"/>
      <c r="C17" s="3077"/>
      <c r="D17" s="3077"/>
      <c r="E17" s="3073" t="e">
        <f t="shared" si="2"/>
        <v>#DIV/0!</v>
      </c>
      <c r="F17" s="3073" t="e">
        <f t="shared" si="3"/>
        <v>#DIV/0!</v>
      </c>
      <c r="G17" s="3074"/>
      <c r="H17" s="3074"/>
      <c r="I17" s="3077"/>
    </row>
    <row r="18" spans="1:9" ht="16.5">
      <c r="A18" s="3076" t="s">
        <v>2867</v>
      </c>
      <c r="B18" s="3077"/>
      <c r="C18" s="3077"/>
      <c r="D18" s="3077"/>
      <c r="E18" s="3073" t="e">
        <f t="shared" si="2"/>
        <v>#DIV/0!</v>
      </c>
      <c r="F18" s="3073" t="e">
        <f t="shared" si="3"/>
        <v>#DIV/0!</v>
      </c>
      <c r="G18" s="3077"/>
      <c r="H18" s="3077"/>
      <c r="I18" s="3077"/>
    </row>
    <row r="19" spans="1:9" ht="16.5">
      <c r="A19" s="3076" t="s">
        <v>2868</v>
      </c>
      <c r="B19" s="3077"/>
      <c r="C19" s="3077"/>
      <c r="D19" s="3077"/>
      <c r="E19" s="3073" t="e">
        <f t="shared" si="2"/>
        <v>#DIV/0!</v>
      </c>
      <c r="F19" s="3073" t="e">
        <f t="shared" si="3"/>
        <v>#DIV/0!</v>
      </c>
      <c r="G19" s="3077"/>
      <c r="H19" s="3077"/>
      <c r="I19" s="3077"/>
    </row>
    <row r="20" spans="1:9" ht="16.5">
      <c r="A20" s="3076" t="s">
        <v>2869</v>
      </c>
      <c r="B20" s="3077"/>
      <c r="C20" s="3077"/>
      <c r="D20" s="3077"/>
      <c r="E20" s="3073" t="e">
        <f t="shared" si="2"/>
        <v>#DIV/0!</v>
      </c>
      <c r="F20" s="3073" t="e">
        <f t="shared" si="3"/>
        <v>#DIV/0!</v>
      </c>
      <c r="G20" s="3077"/>
      <c r="H20" s="3077"/>
      <c r="I20" s="3077"/>
    </row>
    <row r="21" spans="1:9" ht="16.5">
      <c r="A21" s="3076" t="s">
        <v>2870</v>
      </c>
      <c r="B21" s="3077"/>
      <c r="C21" s="3077"/>
      <c r="D21" s="3077"/>
      <c r="E21" s="3073" t="e">
        <f t="shared" si="2"/>
        <v>#DIV/0!</v>
      </c>
      <c r="F21" s="3073" t="e">
        <f t="shared" si="3"/>
        <v>#DIV/0!</v>
      </c>
      <c r="G21" s="3077"/>
      <c r="H21" s="3077"/>
      <c r="I21" s="3077"/>
    </row>
    <row r="22" spans="1:9" ht="16.5">
      <c r="A22" s="3076" t="s">
        <v>2871</v>
      </c>
      <c r="B22" s="3077"/>
      <c r="C22" s="3077"/>
      <c r="D22" s="3077"/>
      <c r="E22" s="3073" t="e">
        <f t="shared" si="2"/>
        <v>#DIV/0!</v>
      </c>
      <c r="F22" s="3073" t="e">
        <f t="shared" si="3"/>
        <v>#DIV/0!</v>
      </c>
      <c r="G22" s="3077"/>
      <c r="H22" s="3077"/>
      <c r="I22" s="3077"/>
    </row>
    <row r="23" spans="1:9" ht="16.5">
      <c r="A23" s="3076" t="s">
        <v>2872</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3067</v>
      </c>
      <c r="E1" s="1804" t="s">
        <v>2060</v>
      </c>
      <c r="F1" s="1806" t="s">
        <v>3068</v>
      </c>
      <c r="G1" s="309"/>
      <c r="H1" s="309"/>
      <c r="I1" s="309"/>
      <c r="J1" s="2028"/>
      <c r="K1" s="2028"/>
      <c r="L1" s="2028"/>
      <c r="M1" s="2028"/>
      <c r="N1" s="2028"/>
      <c r="O1" s="2028"/>
      <c r="P1" s="2028"/>
      <c r="Q1" s="2028"/>
      <c r="R1" s="2028"/>
      <c r="S1" s="2028"/>
      <c r="T1" s="2028"/>
      <c r="U1" s="2028"/>
      <c r="V1" s="2028"/>
    </row>
    <row r="2" spans="1:22" ht="21.75" customHeight="1" thickBot="1">
      <c r="A2" s="3379" t="str">
        <f>项目基本情况!K2</f>
        <v>北京市出让国有建设用地使用权</v>
      </c>
      <c r="B2" s="3380"/>
      <c r="C2" s="3381"/>
      <c r="D2" s="3381"/>
      <c r="E2" s="3381"/>
      <c r="F2" s="3381"/>
      <c r="G2" s="3380"/>
      <c r="H2" s="3380"/>
      <c r="I2" s="3382"/>
      <c r="J2" s="2029"/>
      <c r="K2" s="2028"/>
      <c r="L2" s="2028"/>
      <c r="M2" s="2028"/>
      <c r="N2" s="2028"/>
      <c r="O2" s="2028"/>
      <c r="P2" s="2028"/>
      <c r="Q2" s="2028"/>
      <c r="R2" s="2028"/>
      <c r="S2" s="2028"/>
      <c r="T2" s="2028"/>
      <c r="U2" s="2028"/>
      <c r="V2" s="2028"/>
    </row>
    <row r="3" spans="1:22" ht="14.25">
      <c r="A3" s="3390" t="s">
        <v>298</v>
      </c>
      <c r="B3" s="3391"/>
      <c r="C3" s="3391"/>
      <c r="D3" s="3391"/>
      <c r="E3" s="3391"/>
      <c r="F3" s="3391"/>
      <c r="G3" s="3391"/>
      <c r="H3" s="3391"/>
      <c r="I3" s="3391"/>
      <c r="J3" s="2029"/>
      <c r="K3" s="2028"/>
      <c r="L3" s="2028"/>
      <c r="M3" s="2028"/>
      <c r="N3" s="2028"/>
      <c r="O3" s="2028"/>
      <c r="P3" s="2028"/>
      <c r="Q3" s="2028"/>
      <c r="R3" s="2028"/>
      <c r="S3" s="2028"/>
      <c r="T3" s="2028"/>
      <c r="U3" s="2028"/>
      <c r="V3" s="2028"/>
    </row>
    <row r="4" spans="1:22" ht="14.25">
      <c r="A4" s="256" t="s">
        <v>299</v>
      </c>
      <c r="B4" s="257" t="s">
        <v>300</v>
      </c>
      <c r="C4" s="258" t="s">
        <v>3066</v>
      </c>
      <c r="D4" s="258" t="s">
        <v>2956</v>
      </c>
      <c r="E4" s="3354" t="s">
        <v>301</v>
      </c>
      <c r="F4" s="3396"/>
      <c r="G4" s="3396"/>
      <c r="H4" s="3396"/>
      <c r="I4" s="3355"/>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383" t="s">
        <v>302</v>
      </c>
      <c r="B5" s="3384">
        <v>25</v>
      </c>
      <c r="C5" s="3392">
        <v>4</v>
      </c>
      <c r="D5" s="3395">
        <f>10-C5</f>
        <v>6</v>
      </c>
      <c r="E5" s="259" t="s">
        <v>303</v>
      </c>
      <c r="F5" s="260"/>
      <c r="G5" s="260"/>
      <c r="H5" s="260"/>
      <c r="I5" s="261"/>
      <c r="J5" s="2029"/>
      <c r="K5" s="2028"/>
      <c r="L5" s="2028"/>
      <c r="M5" s="2028"/>
      <c r="N5" s="2028"/>
      <c r="O5" s="2028"/>
      <c r="P5" s="2028"/>
      <c r="Q5" s="2028"/>
      <c r="R5" s="2028"/>
      <c r="S5" s="2028"/>
      <c r="T5" s="2028"/>
      <c r="U5" s="2028"/>
      <c r="V5" s="2028"/>
    </row>
    <row r="6" spans="1:22" ht="14.25">
      <c r="A6" s="3383"/>
      <c r="B6" s="3384"/>
      <c r="C6" s="3393"/>
      <c r="D6" s="3395"/>
      <c r="E6" s="259" t="s">
        <v>304</v>
      </c>
      <c r="F6" s="260"/>
      <c r="G6" s="260"/>
      <c r="H6" s="260"/>
      <c r="I6" s="261"/>
      <c r="J6" s="2029"/>
      <c r="K6" s="2028"/>
      <c r="L6" s="2028"/>
      <c r="M6" s="2028"/>
      <c r="N6" s="2028"/>
      <c r="O6" s="2028"/>
      <c r="P6" s="2028"/>
      <c r="Q6" s="2028"/>
      <c r="R6" s="2028"/>
      <c r="S6" s="2028"/>
      <c r="T6" s="2028"/>
      <c r="U6" s="2028"/>
      <c r="V6" s="2028"/>
    </row>
    <row r="7" spans="1:22" ht="14.25">
      <c r="A7" s="3383"/>
      <c r="B7" s="3384"/>
      <c r="C7" s="3394"/>
      <c r="D7" s="3395"/>
      <c r="E7" s="259" t="s">
        <v>305</v>
      </c>
      <c r="F7" s="260"/>
      <c r="G7" s="260"/>
      <c r="H7" s="260"/>
      <c r="I7" s="261"/>
      <c r="J7" s="2029"/>
      <c r="K7" s="2028"/>
      <c r="L7" s="2028"/>
      <c r="M7" s="2028"/>
      <c r="N7" s="2028"/>
      <c r="O7" s="2028"/>
      <c r="P7" s="2028"/>
      <c r="Q7" s="2028"/>
      <c r="R7" s="2028"/>
      <c r="S7" s="2028"/>
      <c r="T7" s="2028"/>
      <c r="U7" s="2028"/>
      <c r="V7" s="2028"/>
    </row>
    <row r="8" spans="1:22" ht="14.25">
      <c r="A8" s="3383" t="s">
        <v>306</v>
      </c>
      <c r="B8" s="3384">
        <v>15</v>
      </c>
      <c r="C8" s="3392"/>
      <c r="D8" s="3395"/>
      <c r="E8" s="259" t="s">
        <v>307</v>
      </c>
      <c r="F8" s="260"/>
      <c r="G8" s="260"/>
      <c r="H8" s="260"/>
      <c r="I8" s="261"/>
      <c r="J8" s="2029"/>
      <c r="K8" s="2028"/>
      <c r="L8" s="2028"/>
      <c r="M8" s="2028"/>
      <c r="N8" s="2028"/>
      <c r="O8" s="2028"/>
      <c r="P8" s="2028"/>
      <c r="Q8" s="2028"/>
      <c r="R8" s="2028"/>
      <c r="S8" s="2028"/>
      <c r="T8" s="2028"/>
      <c r="U8" s="2028"/>
      <c r="V8" s="2028"/>
    </row>
    <row r="9" spans="1:22" ht="14.25">
      <c r="A9" s="3383"/>
      <c r="B9" s="3384"/>
      <c r="C9" s="3394"/>
      <c r="D9" s="3395"/>
      <c r="E9" s="259" t="s">
        <v>308</v>
      </c>
      <c r="F9" s="260"/>
      <c r="G9" s="260"/>
      <c r="H9" s="260"/>
      <c r="I9" s="261"/>
      <c r="J9" s="2029"/>
      <c r="K9" s="2028"/>
      <c r="L9" s="2028"/>
      <c r="M9" s="2028"/>
      <c r="N9" s="2028"/>
      <c r="O9" s="2028"/>
      <c r="P9" s="2028"/>
      <c r="Q9" s="2028"/>
      <c r="R9" s="2028"/>
      <c r="S9" s="2028"/>
      <c r="T9" s="2028"/>
      <c r="U9" s="2028"/>
      <c r="V9" s="2028"/>
    </row>
    <row r="10" spans="1:22" ht="14.25">
      <c r="A10" s="3383" t="s">
        <v>309</v>
      </c>
      <c r="B10" s="3384">
        <v>15</v>
      </c>
      <c r="C10" s="3392"/>
      <c r="D10" s="3395"/>
      <c r="E10" s="259" t="s">
        <v>310</v>
      </c>
      <c r="F10" s="260"/>
      <c r="G10" s="260"/>
      <c r="H10" s="260"/>
      <c r="I10" s="261"/>
      <c r="J10" s="2029"/>
      <c r="K10" s="2028"/>
      <c r="L10" s="2028"/>
      <c r="M10" s="2028"/>
      <c r="N10" s="2028"/>
      <c r="O10" s="2028"/>
      <c r="P10" s="2028"/>
      <c r="Q10" s="2028"/>
      <c r="R10" s="2028"/>
      <c r="S10" s="2028"/>
      <c r="T10" s="2028"/>
      <c r="U10" s="2028"/>
      <c r="V10" s="2028"/>
    </row>
    <row r="11" spans="1:22" ht="14.25">
      <c r="A11" s="3383"/>
      <c r="B11" s="3384"/>
      <c r="C11" s="3394"/>
      <c r="D11" s="3395"/>
      <c r="E11" s="259" t="s">
        <v>311</v>
      </c>
      <c r="F11" s="260"/>
      <c r="G11" s="260"/>
      <c r="H11" s="260"/>
      <c r="I11" s="261"/>
      <c r="J11" s="2029"/>
      <c r="K11" s="2028"/>
      <c r="L11" s="2028"/>
      <c r="M11" s="2028"/>
      <c r="N11" s="2028"/>
      <c r="O11" s="2028"/>
      <c r="P11" s="2028"/>
      <c r="Q11" s="2028"/>
      <c r="R11" s="2028"/>
      <c r="S11" s="2028"/>
      <c r="T11" s="2028"/>
      <c r="U11" s="2028"/>
      <c r="V11" s="2028"/>
    </row>
    <row r="12" spans="1:22" ht="14.25">
      <c r="A12" s="3383" t="s">
        <v>312</v>
      </c>
      <c r="B12" s="3384">
        <v>15</v>
      </c>
      <c r="C12" s="3392"/>
      <c r="D12" s="3395"/>
      <c r="E12" s="259" t="s">
        <v>313</v>
      </c>
      <c r="F12" s="260"/>
      <c r="G12" s="260"/>
      <c r="H12" s="260"/>
      <c r="I12" s="261"/>
      <c r="J12" s="2029"/>
      <c r="K12" s="2028"/>
      <c r="L12" s="2028"/>
      <c r="M12" s="2028"/>
      <c r="N12" s="2028"/>
      <c r="O12" s="2028"/>
      <c r="P12" s="2028"/>
      <c r="Q12" s="2028"/>
      <c r="R12" s="2028"/>
      <c r="S12" s="2028"/>
      <c r="T12" s="2028"/>
      <c r="U12" s="2028"/>
      <c r="V12" s="2028"/>
    </row>
    <row r="13" spans="1:22" ht="14.25">
      <c r="A13" s="3383"/>
      <c r="B13" s="3384"/>
      <c r="C13" s="3394"/>
      <c r="D13" s="3395"/>
      <c r="E13" s="259" t="s">
        <v>314</v>
      </c>
      <c r="F13" s="260"/>
      <c r="G13" s="260"/>
      <c r="H13" s="260"/>
      <c r="I13" s="261"/>
      <c r="J13" s="2029"/>
      <c r="K13" s="2028"/>
      <c r="L13" s="2028"/>
      <c r="M13" s="2028"/>
      <c r="N13" s="2028"/>
      <c r="O13" s="2028"/>
      <c r="P13" s="2028"/>
      <c r="Q13" s="2028"/>
      <c r="R13" s="2028"/>
      <c r="S13" s="2028"/>
      <c r="T13" s="2028"/>
      <c r="U13" s="2028"/>
      <c r="V13" s="2028"/>
    </row>
    <row r="14" spans="1:22" ht="14.25">
      <c r="A14" s="3383" t="s">
        <v>315</v>
      </c>
      <c r="B14" s="3384">
        <v>30</v>
      </c>
      <c r="C14" s="3392"/>
      <c r="D14" s="3395"/>
      <c r="E14" s="259" t="s">
        <v>316</v>
      </c>
      <c r="F14" s="260"/>
      <c r="G14" s="260"/>
      <c r="H14" s="260"/>
      <c r="I14" s="261"/>
      <c r="J14" s="2029"/>
      <c r="K14" s="2028"/>
      <c r="L14" s="2028"/>
      <c r="M14" s="2028"/>
      <c r="N14" s="2028"/>
      <c r="O14" s="2028"/>
      <c r="P14" s="2028"/>
      <c r="Q14" s="2028"/>
      <c r="R14" s="2028"/>
      <c r="S14" s="2028"/>
      <c r="T14" s="2028"/>
      <c r="U14" s="2028"/>
      <c r="V14" s="2028"/>
    </row>
    <row r="15" spans="1:22" ht="14.25">
      <c r="A15" s="3383"/>
      <c r="B15" s="3384"/>
      <c r="C15" s="3393"/>
      <c r="D15" s="3395"/>
      <c r="E15" s="259" t="s">
        <v>317</v>
      </c>
      <c r="F15" s="260"/>
      <c r="G15" s="260"/>
      <c r="H15" s="260"/>
      <c r="I15" s="261"/>
      <c r="J15" s="2029"/>
      <c r="K15" s="2028"/>
      <c r="L15" s="2028"/>
      <c r="M15" s="2028"/>
      <c r="N15" s="2028"/>
      <c r="O15" s="2028"/>
      <c r="P15" s="2028"/>
      <c r="Q15" s="2028"/>
      <c r="R15" s="2028"/>
      <c r="S15" s="2028"/>
      <c r="T15" s="2028"/>
      <c r="U15" s="2028"/>
      <c r="V15" s="2028"/>
    </row>
    <row r="16" spans="1:22" ht="14.25">
      <c r="A16" s="3383"/>
      <c r="B16" s="3384"/>
      <c r="C16" s="3394"/>
      <c r="D16" s="3395"/>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29536.55965321499</v>
      </c>
      <c r="D19" s="269">
        <f ca="1">SUMIF(INDIRECT("'"&amp;D4&amp;"'"&amp;"!A:A"),结果表!B19,INDIRECT("'"&amp;D4&amp;"'"&amp;"!B:B"))</f>
        <v>33882</v>
      </c>
      <c r="E19" s="266" t="s">
        <v>323</v>
      </c>
      <c r="F19" s="267" t="s">
        <v>322</v>
      </c>
      <c r="G19" s="270">
        <f ca="1">ROUND(C19*$C$18+D19*$D$18,0)</f>
        <v>32144</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29537</v>
      </c>
      <c r="D20" s="275">
        <f ca="1">SUMIF(INDIRECT("'"&amp;D4&amp;"'"&amp;"!A:A"),结果表!B20,INDIRECT("'"&amp;D4&amp;"'"&amp;"!B:B"))</f>
        <v>33882</v>
      </c>
      <c r="E20" s="272"/>
      <c r="F20" s="273" t="s">
        <v>325</v>
      </c>
      <c r="G20" s="276">
        <f ca="1">ROUND(C20*$C$18+D20*$D$18,0)</f>
        <v>32144</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142066</v>
      </c>
      <c r="D21" s="149">
        <f ca="1">SUMIF(INDIRECT("'"&amp;D4&amp;"'"&amp;"!A:A"),结果表!B21,INDIRECT("'"&amp;D4&amp;"'"&amp;"!B:B"))</f>
        <v>162967</v>
      </c>
      <c r="E21" s="272"/>
      <c r="F21" s="278" t="s">
        <v>327</v>
      </c>
      <c r="G21" s="280">
        <f ca="1">ROUND(C21*$C$18+D21*$D$18,0)</f>
        <v>154607</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0.14712073436460704</v>
      </c>
      <c r="E22" s="282"/>
      <c r="F22" s="283"/>
      <c r="G22" s="284">
        <f ca="1">ROUND(G19/('数据-汇总表'!D3/666.67),0)</f>
        <v>10307</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56"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98"/>
      <c r="B25" s="1319" t="s">
        <v>331</v>
      </c>
      <c r="C25" s="288">
        <f>IF(B30=0,0,C30)</f>
        <v>0</v>
      </c>
      <c r="D25" s="289"/>
      <c r="E25" s="309"/>
      <c r="F25" s="309"/>
      <c r="G25" s="309"/>
      <c r="H25" s="309"/>
      <c r="I25" s="309"/>
      <c r="J25" s="2028"/>
      <c r="K25" s="1253" t="str">
        <f ca="1">项目基本情况!B16&amp;"国有建设用地使用权价格："&amp;O38&amp;"万元"</f>
        <v>出让国有建设用地使用权价格：32144万元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大写金额：人民币叁亿贰仟壹佰肆拾肆万元整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单位面积地价：154608元/平方米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楼面地价：32144元/平方米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60" t="s">
        <v>336</v>
      </c>
      <c r="B30" s="307"/>
      <c r="C30" s="307"/>
      <c r="D30" s="308"/>
      <c r="E30" s="3161" t="s">
        <v>2973</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6" t="s">
        <v>337</v>
      </c>
      <c r="B32" s="1380" t="s">
        <v>1689</v>
      </c>
      <c r="C32" s="1381">
        <f ca="1">G19-C24</f>
        <v>32144</v>
      </c>
      <c r="D32" s="1382" t="s">
        <v>1690</v>
      </c>
      <c r="E32" s="309"/>
      <c r="F32" s="309"/>
      <c r="G32" s="309"/>
      <c r="H32" s="309"/>
      <c r="I32" s="309"/>
      <c r="J32" s="2028"/>
      <c r="K32" s="2487" t="e">
        <f>IF(K31="——","——","大写金额：人民币"&amp;NUMBERSTRING(INT(O40*10000),2)&amp;"元整")</f>
        <v>#VALUE!</v>
      </c>
      <c r="L32" s="2490"/>
      <c r="M32" s="2490"/>
      <c r="N32" s="2490"/>
      <c r="O32" s="2491"/>
      <c r="P32" s="2028"/>
      <c r="V32" s="2028"/>
    </row>
    <row r="33" spans="1:26" ht="18.75" thickBot="1">
      <c r="A33" s="296" t="s">
        <v>340</v>
      </c>
      <c r="B33" s="1383" t="s">
        <v>1691</v>
      </c>
      <c r="C33" s="262">
        <f ca="1">ROUND(C32*10000/'数据-汇总表'!E3,0)</f>
        <v>32144</v>
      </c>
      <c r="D33" s="1384" t="s">
        <v>1692</v>
      </c>
      <c r="E33" s="3356"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154608</v>
      </c>
      <c r="D34" s="1386" t="s">
        <v>1692</v>
      </c>
      <c r="E34" s="3357"/>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10307</v>
      </c>
      <c r="D35" s="1389" t="s">
        <v>1694</v>
      </c>
      <c r="E35" s="3358"/>
      <c r="F35" s="299" t="s">
        <v>342</v>
      </c>
      <c r="G35" s="980"/>
      <c r="H35" s="979" t="s">
        <v>343</v>
      </c>
      <c r="I35" s="309"/>
      <c r="J35" s="2028"/>
      <c r="K35" s="3362" t="s">
        <v>350</v>
      </c>
      <c r="L35" s="3362" t="s">
        <v>351</v>
      </c>
      <c r="M35" s="1262" t="s">
        <v>352</v>
      </c>
      <c r="N35" s="3362" t="s">
        <v>353</v>
      </c>
      <c r="O35" s="3362" t="s">
        <v>354</v>
      </c>
      <c r="P35" s="2028"/>
      <c r="V35" s="2028"/>
    </row>
    <row r="36" spans="1:26" ht="16.5" customHeight="1">
      <c r="A36" s="301" t="s">
        <v>344</v>
      </c>
      <c r="B36" s="302" t="s">
        <v>333</v>
      </c>
      <c r="C36" s="303" t="s">
        <v>345</v>
      </c>
      <c r="D36" s="303" t="s">
        <v>346</v>
      </c>
      <c r="E36" s="304" t="s">
        <v>347</v>
      </c>
      <c r="F36" s="309"/>
      <c r="G36" s="309"/>
      <c r="H36" s="309"/>
      <c r="I36" s="309"/>
      <c r="J36" s="2030"/>
      <c r="K36" s="3363"/>
      <c r="L36" s="3363"/>
      <c r="M36" s="1264" t="s">
        <v>355</v>
      </c>
      <c r="N36" s="3363"/>
      <c r="O36" s="3363"/>
      <c r="P36" s="2028"/>
      <c r="V36" s="2028"/>
    </row>
    <row r="37" spans="1:26" ht="16.5" customHeight="1" thickBot="1">
      <c r="A37" s="1258" t="s">
        <v>348</v>
      </c>
      <c r="B37" s="305"/>
      <c r="C37" s="292"/>
      <c r="D37" s="292"/>
      <c r="E37" s="293"/>
      <c r="F37" s="309"/>
      <c r="G37" s="309"/>
      <c r="H37" s="309"/>
      <c r="I37" s="309"/>
      <c r="J37" s="2030"/>
      <c r="K37" s="3364"/>
      <c r="L37" s="3364"/>
      <c r="M37" s="1265"/>
      <c r="N37" s="3364"/>
      <c r="O37" s="3364"/>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154608</v>
      </c>
      <c r="N38" s="1267">
        <f ca="1">C33</f>
        <v>32144</v>
      </c>
      <c r="O38" s="1268">
        <f ca="1">C32</f>
        <v>32144</v>
      </c>
      <c r="P38" s="2028"/>
      <c r="V38" s="2028"/>
    </row>
    <row r="39" spans="1:26" ht="16.5" customHeight="1" thickBot="1">
      <c r="A39" s="1263"/>
      <c r="B39" s="306"/>
      <c r="C39" s="307"/>
      <c r="D39" s="307"/>
      <c r="E39" s="308"/>
      <c r="F39" s="309"/>
      <c r="G39" s="309"/>
      <c r="H39" s="309"/>
      <c r="I39" s="309"/>
      <c r="J39" s="2030"/>
      <c r="K39" s="3339" t="str">
        <f>MID(A44,3,LEN(A44)-2)</f>
        <v/>
      </c>
      <c r="L39" s="3340"/>
      <c r="M39" s="3340"/>
      <c r="N39" s="3341"/>
      <c r="O39" s="1391" t="str">
        <f>C44</f>
        <v>——</v>
      </c>
      <c r="P39" s="2028"/>
      <c r="V39" s="2028"/>
    </row>
    <row r="40" spans="1:26" ht="19.5" thickBot="1">
      <c r="A40" s="102" t="s">
        <v>873</v>
      </c>
      <c r="B40" s="309"/>
      <c r="C40" s="309"/>
      <c r="D40" s="309"/>
      <c r="E40" s="309"/>
      <c r="F40" s="309"/>
      <c r="G40" s="309"/>
      <c r="H40" s="309"/>
      <c r="I40" s="309"/>
      <c r="J40" s="2030"/>
      <c r="K40" s="3339" t="str">
        <f t="shared" ref="K40:K41" si="0">MID(A45,3,LEN(A45)-2)</f>
        <v/>
      </c>
      <c r="L40" s="3340"/>
      <c r="M40" s="3340"/>
      <c r="N40" s="3341"/>
      <c r="O40" s="1391" t="str">
        <f>C45</f>
        <v>——</v>
      </c>
      <c r="P40" s="2028"/>
      <c r="V40" s="2028"/>
    </row>
    <row r="41" spans="1:26" ht="16.5" thickBot="1">
      <c r="A41" s="310" t="s">
        <v>356</v>
      </c>
      <c r="B41" s="311"/>
      <c r="C41" s="312" t="s">
        <v>357</v>
      </c>
      <c r="D41" s="313" t="s">
        <v>358</v>
      </c>
      <c r="E41" s="313" t="s">
        <v>359</v>
      </c>
      <c r="F41" s="314" t="s">
        <v>360</v>
      </c>
      <c r="G41" s="309"/>
      <c r="H41" s="309"/>
      <c r="I41" s="309"/>
      <c r="J41" s="2030"/>
      <c r="K41" s="3339" t="str">
        <f t="shared" si="0"/>
        <v/>
      </c>
      <c r="L41" s="3340"/>
      <c r="M41" s="3340"/>
      <c r="N41" s="3341"/>
      <c r="O41" s="1391" t="str">
        <f>C46</f>
        <v>——</v>
      </c>
      <c r="P41" s="2028"/>
      <c r="V41" s="2028"/>
    </row>
    <row r="42" spans="1:26" ht="29.25">
      <c r="A42" s="3399" t="s">
        <v>2070</v>
      </c>
      <c r="B42" s="3400"/>
      <c r="C42" s="262">
        <f ca="1">C32</f>
        <v>32144</v>
      </c>
      <c r="D42" s="315">
        <f ca="1">C33</f>
        <v>32144</v>
      </c>
      <c r="E42" s="315">
        <f ca="1">C34</f>
        <v>154608</v>
      </c>
      <c r="F42" s="316">
        <f ca="1">C35</f>
        <v>10307</v>
      </c>
      <c r="G42" s="309"/>
      <c r="H42" s="309"/>
      <c r="I42" s="317"/>
      <c r="J42" s="2030"/>
      <c r="K42" s="1269" t="s">
        <v>361</v>
      </c>
      <c r="L42" s="2047" t="s">
        <v>362</v>
      </c>
      <c r="M42" s="1270" t="s">
        <v>363</v>
      </c>
      <c r="N42" s="2048" t="s">
        <v>364</v>
      </c>
      <c r="O42" s="2049" t="s">
        <v>365</v>
      </c>
      <c r="P42" s="2028"/>
      <c r="V42" s="2028"/>
    </row>
    <row r="43" spans="1:26" ht="18">
      <c r="A43" s="3409" t="s">
        <v>2734</v>
      </c>
      <c r="B43" s="3410"/>
      <c r="C43" s="262">
        <f>IF(H33="正常操作",G33+G34+G35,G34+G35)</f>
        <v>0</v>
      </c>
      <c r="D43" s="315" t="s">
        <v>43</v>
      </c>
      <c r="E43" s="315" t="s">
        <v>44</v>
      </c>
      <c r="F43" s="316" t="s">
        <v>44</v>
      </c>
      <c r="G43" s="2890" t="s">
        <v>952</v>
      </c>
      <c r="H43" s="309"/>
      <c r="I43" s="317"/>
      <c r="J43" s="2030"/>
      <c r="K43" s="1271" t="str">
        <f>C4</f>
        <v>剩余法-现房</v>
      </c>
      <c r="L43" s="1272">
        <f ca="1">IF(L42="估价结果/万元",C19,C20)</f>
        <v>29536.55965321499</v>
      </c>
      <c r="M43" s="1273">
        <f>C18</f>
        <v>0.4</v>
      </c>
      <c r="N43" s="1274">
        <f ca="1">IF(N42="测算结果/万元",G19,G20)</f>
        <v>32144</v>
      </c>
      <c r="O43" s="1275">
        <f ca="1">IF(O42="最终结果/万元",C32,C33)</f>
        <v>32144</v>
      </c>
      <c r="P43" s="2028"/>
      <c r="V43" s="2028"/>
    </row>
    <row r="44" spans="1:26" ht="18.75" thickBot="1">
      <c r="A44" s="3399" t="str">
        <f>IF(OR(项目基本情况!E8="抵押价格",项目基本情况!E8="已注销及未注销"),"3.抵押价格","——")</f>
        <v>——</v>
      </c>
      <c r="B44" s="3400"/>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33882</v>
      </c>
      <c r="M44" s="1278">
        <f>D18</f>
        <v>0.6</v>
      </c>
      <c r="N44" s="1279"/>
      <c r="O44" s="1280"/>
      <c r="P44" s="2028"/>
      <c r="V44" s="2028"/>
    </row>
    <row r="45" spans="1:26" ht="15">
      <c r="A45" s="3404" t="str">
        <f>IF(项目基本情况!E8="已注销及未注销","4.抵押担保权已注销时的抵押价格",IF(项目基本情况!E8="已注销","3.抵押担保权已注销时的抵押价格","——"))</f>
        <v>——</v>
      </c>
      <c r="B45" s="3405"/>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401" t="str">
        <f>IF(项目基本情况!E9="抵押净值",IF(A45="——","4.抵押净值","5.抵押净值"),"——")</f>
        <v>——</v>
      </c>
      <c r="B46" s="3402"/>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7" t="s">
        <v>374</v>
      </c>
      <c r="B63" s="3368"/>
      <c r="C63" s="3369"/>
      <c r="D63" s="339">
        <f ca="1">ROUND(C42*F63,0)</f>
        <v>19286</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406" t="s">
        <v>378</v>
      </c>
      <c r="B64" s="3407"/>
      <c r="C64" s="3407"/>
      <c r="D64" s="3407"/>
      <c r="E64" s="3407"/>
      <c r="F64" s="3407"/>
      <c r="G64" s="3408"/>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403" t="s">
        <v>386</v>
      </c>
      <c r="B66" s="3374"/>
      <c r="C66" s="3374"/>
      <c r="D66" s="259">
        <f ca="1">IF(H66="情况1",0,IF(H66="情况2",D70,IF(H66="情况3",D71,IF(H66="情况4",D72))))</f>
        <v>1029</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343" t="s">
        <v>385</v>
      </c>
      <c r="M66" s="3344"/>
      <c r="N66" s="2482"/>
      <c r="O66" s="2483"/>
      <c r="P66" s="2484"/>
      <c r="Q66" s="2028"/>
      <c r="R66" s="2028"/>
      <c r="S66" s="2028"/>
      <c r="T66" s="2028"/>
      <c r="U66" s="2028"/>
      <c r="V66" s="2028"/>
    </row>
    <row r="67" spans="1:22" ht="25.5" customHeight="1">
      <c r="A67" s="350" t="s">
        <v>390</v>
      </c>
      <c r="B67" s="3386" t="s">
        <v>391</v>
      </c>
      <c r="C67" s="3386"/>
      <c r="D67" s="351">
        <v>0</v>
      </c>
      <c r="E67" s="39" t="s">
        <v>392</v>
      </c>
      <c r="F67" s="60" t="s">
        <v>21</v>
      </c>
      <c r="G67" s="3370"/>
      <c r="H67" s="309"/>
      <c r="I67" s="1290"/>
      <c r="J67" s="2035"/>
      <c r="K67" s="1976">
        <v>2</v>
      </c>
      <c r="L67" s="3342" t="s">
        <v>389</v>
      </c>
      <c r="M67" s="3342"/>
      <c r="N67" s="1323">
        <f>'数据-取费表'!B2</f>
        <v>43230</v>
      </c>
      <c r="O67" s="1323"/>
      <c r="P67" s="1323"/>
      <c r="Q67" s="2028"/>
      <c r="R67" s="2028"/>
      <c r="S67" s="2028"/>
      <c r="T67" s="2028"/>
      <c r="U67" s="2028"/>
      <c r="V67" s="2028"/>
    </row>
    <row r="68" spans="1:22" ht="25.5" customHeight="1">
      <c r="A68" s="352"/>
      <c r="B68" s="3386" t="s">
        <v>394</v>
      </c>
      <c r="C68" s="3386"/>
      <c r="D68" s="353"/>
      <c r="E68" s="75"/>
      <c r="F68" s="354"/>
      <c r="G68" s="3371"/>
      <c r="H68" s="309"/>
      <c r="I68" s="1290"/>
      <c r="J68" s="2035"/>
      <c r="K68" s="1976">
        <v>3</v>
      </c>
      <c r="L68" s="3342" t="s">
        <v>393</v>
      </c>
      <c r="M68" s="3342"/>
      <c r="N68" s="1291">
        <f ca="1">C42</f>
        <v>32144</v>
      </c>
      <c r="O68" s="1291"/>
      <c r="P68" s="1291"/>
      <c r="Q68" s="2028"/>
      <c r="R68" s="2028"/>
      <c r="S68" s="2028"/>
      <c r="T68" s="2028"/>
      <c r="U68" s="2028"/>
      <c r="V68" s="2028"/>
    </row>
    <row r="69" spans="1:22" ht="12" customHeight="1">
      <c r="A69" s="355"/>
      <c r="B69" s="3386" t="s">
        <v>395</v>
      </c>
      <c r="C69" s="3386"/>
      <c r="D69" s="356"/>
      <c r="E69" s="71"/>
      <c r="F69" s="354"/>
      <c r="G69" s="3372"/>
      <c r="H69" s="309"/>
      <c r="I69" s="1290"/>
      <c r="J69" s="2035"/>
      <c r="K69" s="1292">
        <v>4</v>
      </c>
      <c r="L69" s="3348" t="s">
        <v>2886</v>
      </c>
      <c r="M69" s="3349"/>
      <c r="N69" s="1293" t="str">
        <f>C44</f>
        <v>——</v>
      </c>
      <c r="O69" s="1293"/>
      <c r="P69" s="1293"/>
      <c r="Q69" s="2028"/>
      <c r="R69" s="2028"/>
      <c r="S69" s="2028"/>
      <c r="T69" s="2028"/>
      <c r="U69" s="2028"/>
      <c r="V69" s="2028"/>
    </row>
    <row r="70" spans="1:22" ht="24" customHeight="1">
      <c r="A70" s="357" t="s">
        <v>396</v>
      </c>
      <c r="B70" s="3386" t="s">
        <v>397</v>
      </c>
      <c r="C70" s="3386"/>
      <c r="D70" s="356">
        <f ca="1">ROUND(D63*'数据-取费表'!B41/(1+'数据-取费表'!C42),0)</f>
        <v>1029</v>
      </c>
      <c r="E70" s="16" t="s">
        <v>398</v>
      </c>
      <c r="F70" s="358">
        <f>'数据-取费表'!B41</f>
        <v>5.6000000000000001E-2</v>
      </c>
      <c r="G70" s="359"/>
      <c r="H70" s="309"/>
      <c r="I70" s="1290"/>
      <c r="J70" s="2035"/>
      <c r="K70" s="3086"/>
      <c r="L70" s="3087"/>
      <c r="M70" s="3087"/>
      <c r="N70" s="3088" t="s">
        <v>2891</v>
      </c>
      <c r="O70" s="3087"/>
      <c r="P70" s="3089"/>
      <c r="Q70" s="2028"/>
      <c r="R70" s="2028"/>
      <c r="S70" s="2028"/>
      <c r="T70" s="2028"/>
      <c r="U70" s="2028"/>
      <c r="V70" s="2028"/>
    </row>
    <row r="71" spans="1:22" ht="12" customHeight="1">
      <c r="A71" s="357" t="s">
        <v>404</v>
      </c>
      <c r="B71" s="3385" t="s">
        <v>405</v>
      </c>
      <c r="C71" s="3397"/>
      <c r="D71" s="356">
        <f ca="1">ROUND(D63*'数据-取费表'!B41/(1+'数据-取费表'!C42),0)</f>
        <v>1029</v>
      </c>
      <c r="E71" s="16" t="s">
        <v>398</v>
      </c>
      <c r="F71" s="358">
        <f>'数据-取费表'!B41</f>
        <v>5.6000000000000001E-2</v>
      </c>
      <c r="G71" s="359"/>
      <c r="H71" s="309"/>
      <c r="I71" s="1290"/>
      <c r="J71" s="2035"/>
      <c r="K71" s="3085" t="s">
        <v>399</v>
      </c>
      <c r="L71" s="3350" t="s">
        <v>400</v>
      </c>
      <c r="M71" s="3350"/>
      <c r="N71" s="3085" t="s">
        <v>401</v>
      </c>
      <c r="O71" s="3085" t="s">
        <v>402</v>
      </c>
      <c r="P71" s="3085" t="s">
        <v>403</v>
      </c>
      <c r="Q71" s="2028"/>
      <c r="R71" s="2028"/>
      <c r="S71" s="2028"/>
      <c r="T71" s="2028"/>
      <c r="U71" s="2028"/>
      <c r="V71" s="2028"/>
    </row>
    <row r="72" spans="1:22" ht="12" customHeight="1">
      <c r="A72" s="357" t="s">
        <v>407</v>
      </c>
      <c r="B72" s="3385" t="s">
        <v>408</v>
      </c>
      <c r="C72" s="3397"/>
      <c r="D72" s="356">
        <f ca="1">C86</f>
        <v>917</v>
      </c>
      <c r="E72" s="71" t="s">
        <v>409</v>
      </c>
      <c r="F72" s="358">
        <f>'数据-取费表'!B41</f>
        <v>5.6000000000000001E-2</v>
      </c>
      <c r="G72" s="359"/>
      <c r="H72" s="1296"/>
      <c r="I72" s="1290"/>
      <c r="J72" s="2035"/>
      <c r="K72" s="1976">
        <v>1</v>
      </c>
      <c r="L72" s="3347" t="s">
        <v>406</v>
      </c>
      <c r="M72" s="3347"/>
      <c r="N72" s="1294">
        <f ca="1">D66</f>
        <v>1029</v>
      </c>
      <c r="O72" s="1859" t="str">
        <f>E66</f>
        <v>销售额×税（费）率</v>
      </c>
      <c r="P72" s="1295">
        <f>F66</f>
        <v>5.6000000000000001E-2</v>
      </c>
      <c r="Q72" s="2028"/>
      <c r="R72" s="2028"/>
      <c r="S72" s="2028"/>
      <c r="T72" s="2028"/>
      <c r="U72" s="2028"/>
      <c r="V72" s="2028"/>
    </row>
    <row r="73" spans="1:22" ht="24" customHeight="1">
      <c r="A73" s="3373" t="s">
        <v>411</v>
      </c>
      <c r="B73" s="3374"/>
      <c r="C73" s="3374"/>
      <c r="D73" s="360">
        <f>IF(H73="个人住宅",0,ROUND(D63*I73,0))</f>
        <v>0</v>
      </c>
      <c r="E73" s="16" t="s">
        <v>412</v>
      </c>
      <c r="F73" s="358" t="str">
        <f>IF(H73="正常",I73,"免征")</f>
        <v>免征</v>
      </c>
      <c r="G73" s="359"/>
      <c r="H73" s="189" t="s">
        <v>2459</v>
      </c>
      <c r="I73" s="358">
        <f>'数据-取费表'!B49</f>
        <v>5.0000000000000001E-4</v>
      </c>
      <c r="J73" s="2035"/>
      <c r="K73" s="1976">
        <v>2</v>
      </c>
      <c r="L73" s="3347" t="s">
        <v>410</v>
      </c>
      <c r="M73" s="3347"/>
      <c r="N73" s="1294">
        <f t="shared" ref="N73:P74" si="1">D73</f>
        <v>0</v>
      </c>
      <c r="O73" s="1859" t="str">
        <f t="shared" si="1"/>
        <v>销售额×税（费）率</v>
      </c>
      <c r="P73" s="1295" t="str">
        <f t="shared" si="1"/>
        <v>免征</v>
      </c>
      <c r="Q73" s="2028"/>
      <c r="R73" s="2028"/>
      <c r="S73" s="2028"/>
      <c r="T73" s="2028"/>
      <c r="U73" s="2028"/>
      <c r="V73" s="2028"/>
    </row>
    <row r="74" spans="1:22" ht="24.75">
      <c r="A74" s="3373" t="s">
        <v>415</v>
      </c>
      <c r="B74" s="3374"/>
      <c r="C74" s="3374"/>
      <c r="D74" s="360">
        <f ca="1">IF(H74="个人住宅",D75,D76)</f>
        <v>10261</v>
      </c>
      <c r="E74" s="16" t="s">
        <v>416</v>
      </c>
      <c r="F74" s="358" t="str">
        <f>IF(H74="正常",F76,"免征")</f>
        <v>——</v>
      </c>
      <c r="G74" s="981" t="s">
        <v>417</v>
      </c>
      <c r="H74" s="361" t="s">
        <v>413</v>
      </c>
      <c r="I74" s="40"/>
      <c r="J74" s="2035"/>
      <c r="K74" s="1976">
        <v>3</v>
      </c>
      <c r="L74" s="3347" t="s">
        <v>414</v>
      </c>
      <c r="M74" s="3347"/>
      <c r="N74" s="1294">
        <f t="shared" ca="1" si="1"/>
        <v>10261</v>
      </c>
      <c r="O74" s="1859" t="str">
        <f t="shared" si="1"/>
        <v>增值额×税（费）率</v>
      </c>
      <c r="P74" s="1297" t="str">
        <f t="shared" si="1"/>
        <v>——</v>
      </c>
      <c r="Q74" s="2028"/>
      <c r="R74" s="2028"/>
      <c r="S74" s="2028"/>
      <c r="T74" s="2028"/>
      <c r="U74" s="2028"/>
      <c r="V74" s="2028"/>
    </row>
    <row r="75" spans="1:22" ht="24">
      <c r="A75" s="357" t="s">
        <v>418</v>
      </c>
      <c r="B75" s="3354" t="s">
        <v>419</v>
      </c>
      <c r="C75" s="3355"/>
      <c r="D75" s="362">
        <v>0</v>
      </c>
      <c r="E75" s="39" t="s">
        <v>420</v>
      </c>
      <c r="F75" s="363"/>
      <c r="G75" s="359"/>
      <c r="H75" s="40"/>
      <c r="I75" s="40"/>
      <c r="J75" s="2035"/>
      <c r="K75" s="3078">
        <f>IF(H77="非个人房产","",4)</f>
        <v>4</v>
      </c>
      <c r="L75" s="3347" t="str">
        <f>IF(H77="非个人房产","——","个人所得税")</f>
        <v>个人所得税</v>
      </c>
      <c r="M75" s="3347"/>
      <c r="N75" s="1298">
        <f ca="1">D77</f>
        <v>193</v>
      </c>
      <c r="O75" s="1872" t="str">
        <f>E77</f>
        <v>销售额×税（费）率</v>
      </c>
      <c r="P75" s="1299">
        <f>F77</f>
        <v>0.01</v>
      </c>
      <c r="Q75" s="2028"/>
      <c r="R75" s="2028"/>
      <c r="S75" s="2028"/>
      <c r="T75" s="2028"/>
      <c r="U75" s="2028"/>
      <c r="V75" s="2028"/>
    </row>
    <row r="76" spans="1:22" ht="24.75">
      <c r="A76" s="357" t="s">
        <v>396</v>
      </c>
      <c r="B76" s="3354" t="s">
        <v>422</v>
      </c>
      <c r="C76" s="3396"/>
      <c r="D76" s="360">
        <f ca="1">IF(H76="转让取得",C99,C115)</f>
        <v>10261</v>
      </c>
      <c r="E76" s="16" t="s">
        <v>423</v>
      </c>
      <c r="F76" s="51" t="s">
        <v>21</v>
      </c>
      <c r="G76" s="359"/>
      <c r="H76" s="361" t="s">
        <v>424</v>
      </c>
      <c r="I76" s="40"/>
      <c r="J76" s="2035"/>
      <c r="K76" s="3078" t="str">
        <f>IF(项目基本情况!K6="上海银行",IF(K75="",4,K75+1),"")</f>
        <v/>
      </c>
      <c r="L76" s="3335" t="str">
        <f>IF(项目基本情况!K6="上海银行","其他处置费用","")</f>
        <v/>
      </c>
      <c r="M76" s="3336"/>
      <c r="N76" s="1294" t="str">
        <f>IF(项目基本情况!K6="上海银行",N89,"")</f>
        <v/>
      </c>
      <c r="O76" s="3337" t="str">
        <f>IF(项目基本情况!K6="上海银行","包含处置中涉及的律师、诉讼、拍卖、评估等费用","")</f>
        <v/>
      </c>
      <c r="P76" s="3338"/>
      <c r="Q76" s="2028"/>
      <c r="R76" s="2028"/>
      <c r="S76" s="2028"/>
      <c r="T76" s="2028"/>
      <c r="U76" s="2028"/>
      <c r="V76" s="2028"/>
    </row>
    <row r="77" spans="1:22" ht="26.25" thickBot="1">
      <c r="A77" s="3365" t="s">
        <v>426</v>
      </c>
      <c r="B77" s="3366"/>
      <c r="C77" s="3366"/>
      <c r="D77" s="364">
        <f ca="1">IF(H77="非个人房产","——",IF(H77="个人住宅",0,ROUND(D63*I77,0)))</f>
        <v>193</v>
      </c>
      <c r="E77" s="365" t="str">
        <f>IF(H77="非个人房产","——","销售额×税（费）率")</f>
        <v>销售额×税（费）率</v>
      </c>
      <c r="F77" s="366">
        <f>IF(H77="非个人房产","——",IF(H77="个人住宅","免征",I77))</f>
        <v>0.01</v>
      </c>
      <c r="G77" s="982" t="s">
        <v>417</v>
      </c>
      <c r="H77" s="361" t="s">
        <v>2887</v>
      </c>
      <c r="I77" s="367">
        <v>0.01</v>
      </c>
      <c r="J77" s="2035"/>
      <c r="K77" s="3361">
        <f>IF(AND(K75="",K76=""),4,IF(项目基本情况!K6="上海银行",K76+1,K75+1))</f>
        <v>5</v>
      </c>
      <c r="L77" s="3347" t="s">
        <v>2888</v>
      </c>
      <c r="M77" s="3084" t="s">
        <v>421</v>
      </c>
      <c r="N77" s="1300"/>
      <c r="O77" s="1301">
        <f ca="1">SUMIF(N72:N76,"&lt;9e307")</f>
        <v>11483</v>
      </c>
      <c r="P77" s="1302"/>
      <c r="Q77" s="3082" t="e">
        <f ca="1">O77/N69</f>
        <v>#VALUE!</v>
      </c>
      <c r="R77" s="2028"/>
      <c r="S77" s="2028"/>
      <c r="T77" s="2028"/>
      <c r="U77" s="2028"/>
      <c r="V77" s="2028"/>
    </row>
    <row r="78" spans="1:22" ht="12" customHeight="1">
      <c r="A78" s="1303"/>
      <c r="B78" s="309"/>
      <c r="C78" s="309"/>
      <c r="D78" s="309"/>
      <c r="E78" s="40"/>
      <c r="F78" s="40"/>
      <c r="G78" s="40"/>
      <c r="H78" s="1001"/>
      <c r="I78" s="309"/>
      <c r="J78" s="2035"/>
      <c r="K78" s="3361"/>
      <c r="L78" s="3347"/>
      <c r="M78" s="3084" t="s">
        <v>425</v>
      </c>
      <c r="N78" s="1300"/>
      <c r="O78" s="1301" t="str">
        <f ca="1">NUMBERSTRING(INT(O77*10000),2)&amp;"元整"</f>
        <v>壹亿壹仟肆佰捌拾叁万元整</v>
      </c>
      <c r="P78" s="1302"/>
      <c r="Q78" s="2028"/>
      <c r="R78" s="2028"/>
      <c r="S78" s="2028"/>
      <c r="T78" s="2028"/>
      <c r="U78" s="2028"/>
      <c r="V78" s="2028"/>
    </row>
    <row r="79" spans="1:22" ht="13.5" thickBot="1">
      <c r="A79" s="3351" t="s">
        <v>427</v>
      </c>
      <c r="B79" s="3351"/>
      <c r="C79" s="3351"/>
      <c r="D79" s="3351"/>
      <c r="E79" s="3351"/>
      <c r="F79" s="40"/>
      <c r="G79" s="40"/>
      <c r="H79" s="1001"/>
      <c r="I79" s="309"/>
      <c r="J79" s="2035"/>
      <c r="K79" s="3345">
        <f>K77+1</f>
        <v>6</v>
      </c>
      <c r="L79" s="3347" t="s">
        <v>2889</v>
      </c>
      <c r="M79" s="3084" t="s">
        <v>421</v>
      </c>
      <c r="N79" s="1300"/>
      <c r="O79" s="1301" t="e">
        <f ca="1">N69-O77</f>
        <v>#VALUE!</v>
      </c>
      <c r="P79" s="1302"/>
      <c r="Q79" s="2028"/>
      <c r="R79" s="2028"/>
      <c r="S79" s="2028"/>
      <c r="T79" s="2028"/>
      <c r="U79" s="2028"/>
      <c r="V79" s="2028"/>
    </row>
    <row r="80" spans="1:22" ht="12.75">
      <c r="A80" s="3352" t="s">
        <v>428</v>
      </c>
      <c r="B80" s="3353"/>
      <c r="C80" s="992"/>
      <c r="D80" s="992" t="s">
        <v>429</v>
      </c>
      <c r="E80" s="368" t="s">
        <v>430</v>
      </c>
      <c r="F80" s="40"/>
      <c r="G80" s="40"/>
      <c r="H80" s="1001"/>
      <c r="I80" s="309"/>
      <c r="J80" s="2028"/>
      <c r="K80" s="3346"/>
      <c r="L80" s="3347"/>
      <c r="M80" s="3084"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18368</v>
      </c>
      <c r="D81" s="371"/>
      <c r="E81" s="372"/>
      <c r="F81" s="40"/>
      <c r="G81" s="40"/>
      <c r="H81" s="1001"/>
      <c r="I81" s="309"/>
      <c r="J81" s="2028"/>
      <c r="K81" s="3078">
        <f>K79+1</f>
        <v>7</v>
      </c>
      <c r="L81" s="3359" t="s">
        <v>2890</v>
      </c>
      <c r="M81" s="3360"/>
      <c r="N81" s="1304"/>
      <c r="O81" s="1305" t="e">
        <f ca="1">ROUND(O79*10000/'数据-汇总表'!E3,0)</f>
        <v>#VALUE!</v>
      </c>
      <c r="P81" s="1306"/>
      <c r="Q81" s="2028"/>
      <c r="R81" s="2028"/>
      <c r="S81" s="2028"/>
      <c r="T81" s="2028"/>
      <c r="U81" s="2028"/>
      <c r="V81" s="2028"/>
    </row>
    <row r="82" spans="1:26" ht="13.5" thickTop="1">
      <c r="A82" s="373" t="s">
        <v>1825</v>
      </c>
      <c r="B82" s="374" t="s">
        <v>432</v>
      </c>
      <c r="C82" s="375">
        <f ca="1">D63</f>
        <v>19286</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334" t="s">
        <v>2877</v>
      </c>
      <c r="L83" s="3090" t="s">
        <v>2878</v>
      </c>
      <c r="M83" s="3080" t="e">
        <f>IF(N69&gt;10000,N69*0.5%,IF(AND(N69&gt;1000,N69&lt;=10000),N69*1%,IF(AND(N69&gt;100,N69&lt;=1000),N69*3%,IF(AND(N69&gt;10,N69&lt;=100),N69*5%,N69*8%))))</f>
        <v>#VALUE!</v>
      </c>
      <c r="N83" s="51" t="e">
        <f>ROUND(M83,1)</f>
        <v>#VALUE!</v>
      </c>
      <c r="O83" s="3083"/>
      <c r="P83" s="2028"/>
      <c r="Q83" s="2028"/>
      <c r="R83" s="2028"/>
      <c r="S83" s="2028"/>
      <c r="T83" s="2028"/>
      <c r="U83" s="2028"/>
      <c r="V83" s="2028"/>
    </row>
    <row r="84" spans="1:26" ht="12.75">
      <c r="A84" s="379" t="s">
        <v>1827</v>
      </c>
      <c r="B84" s="380" t="s">
        <v>434</v>
      </c>
      <c r="C84" s="381">
        <v>2000</v>
      </c>
      <c r="D84" s="382" t="s">
        <v>19</v>
      </c>
      <c r="E84" s="3125" t="s">
        <v>2944</v>
      </c>
      <c r="F84" s="40"/>
      <c r="G84" s="40"/>
      <c r="H84" s="1001"/>
      <c r="I84" s="309"/>
      <c r="J84" s="2028"/>
      <c r="K84" s="3334"/>
      <c r="L84" s="3090" t="s">
        <v>2879</v>
      </c>
      <c r="M84" s="3080"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2880</v>
      </c>
      <c r="P84" s="2028"/>
      <c r="Q84" s="2028"/>
      <c r="R84" s="2028"/>
      <c r="S84" s="2028"/>
      <c r="T84" s="2028"/>
      <c r="U84" s="2028"/>
      <c r="V84" s="2028"/>
    </row>
    <row r="85" spans="1:26" ht="12.75">
      <c r="A85" s="379" t="s">
        <v>1828</v>
      </c>
      <c r="B85" s="380" t="s">
        <v>435</v>
      </c>
      <c r="C85" s="383">
        <f ca="1">C81-C84</f>
        <v>16368</v>
      </c>
      <c r="D85" s="376" t="s">
        <v>19</v>
      </c>
      <c r="E85" s="377"/>
      <c r="F85" s="40"/>
      <c r="G85" s="40"/>
      <c r="H85" s="1001"/>
      <c r="I85" s="309"/>
      <c r="J85" s="2028"/>
      <c r="K85" s="3334"/>
      <c r="L85" s="3090" t="s">
        <v>2881</v>
      </c>
      <c r="M85" s="3080" t="e">
        <f>IF(N69&gt;1000,N69*0.1%,IF(AND(N69&gt;500,N69&lt;=1000),N69*0.5%,IF(AND(N69&gt;50,N69&lt;=500),N69*1%,IF(AND(N69&gt;1,N69&lt;=50),N69*1.5%))))</f>
        <v>#VALUE!</v>
      </c>
      <c r="N85" s="51" t="e">
        <f t="shared" si="2"/>
        <v>#VALUE!</v>
      </c>
      <c r="O85" s="2028" t="s">
        <v>2880</v>
      </c>
      <c r="P85" s="2028"/>
      <c r="Q85" s="2028"/>
      <c r="R85" s="2028"/>
      <c r="S85" s="2028"/>
      <c r="T85" s="2028"/>
      <c r="U85" s="2028"/>
      <c r="V85" s="2028"/>
    </row>
    <row r="86" spans="1:26" ht="13.5" thickBot="1">
      <c r="A86" s="384" t="s">
        <v>1829</v>
      </c>
      <c r="B86" s="385" t="s">
        <v>436</v>
      </c>
      <c r="C86" s="386">
        <f ca="1">IF(C85&lt;=0,0,ROUND(C85*D86,0))</f>
        <v>917</v>
      </c>
      <c r="D86" s="387">
        <f>'数据-取费表'!B41</f>
        <v>5.6000000000000001E-2</v>
      </c>
      <c r="E86" s="388"/>
      <c r="F86" s="40"/>
      <c r="G86" s="40"/>
      <c r="H86" s="1001"/>
      <c r="I86" s="309"/>
      <c r="J86" s="2028"/>
      <c r="K86" s="3334"/>
      <c r="L86" s="3090" t="s">
        <v>2882</v>
      </c>
      <c r="M86" s="3080" t="e">
        <f>N69*0.5%</f>
        <v>#VALUE!</v>
      </c>
      <c r="N86" s="51" t="e">
        <f>IF(M86&gt;0.5,0.5,ROUND(M86,0))</f>
        <v>#VALUE!</v>
      </c>
      <c r="O86" s="2028" t="s">
        <v>2883</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334"/>
      <c r="L87" s="3090" t="s">
        <v>2884</v>
      </c>
      <c r="M87" s="3080"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3"/>
      <c r="P87" s="309"/>
      <c r="Q87" s="2028"/>
      <c r="R87" s="2028"/>
      <c r="S87" s="2028"/>
      <c r="T87" s="2028"/>
      <c r="U87" s="2028"/>
      <c r="V87" s="2028"/>
      <c r="W87" s="290"/>
      <c r="X87" s="290"/>
      <c r="Y87" s="290"/>
      <c r="Z87" s="290"/>
    </row>
    <row r="88" spans="1:26" s="1312" customFormat="1" ht="15" thickBot="1">
      <c r="A88" s="3388" t="s">
        <v>437</v>
      </c>
      <c r="B88" s="3389"/>
      <c r="C88" s="3389"/>
      <c r="D88" s="3389"/>
      <c r="E88" s="3389"/>
      <c r="F88" s="3389"/>
      <c r="G88" s="3389"/>
      <c r="H88" s="3389"/>
      <c r="I88" s="1313"/>
      <c r="J88" s="2036"/>
      <c r="K88" s="3334"/>
      <c r="L88" s="3090" t="s">
        <v>2885</v>
      </c>
      <c r="M88" s="3080" t="e">
        <f>IF(N69&gt;10000,N69*0.5%,IF(AND(N69&gt;5000,N69&lt;=10000),N69*1%,IF(AND(N69&gt;1000,N69&lt;=5000),N69*2%,IF(AND(N69&gt;200,N69&lt;=1000),N69*3%,N69*5%))))</f>
        <v>#VALUE!</v>
      </c>
      <c r="N88" s="51" t="e">
        <f>ROUND(M88,1)</f>
        <v>#VALUE!</v>
      </c>
      <c r="O88" s="3083"/>
      <c r="P88" s="11"/>
      <c r="Q88" s="2033"/>
      <c r="R88" s="2033"/>
      <c r="S88" s="2033"/>
      <c r="T88" s="2033"/>
      <c r="U88" s="2033"/>
      <c r="V88" s="2033"/>
      <c r="W88" s="2037"/>
      <c r="X88" s="2037"/>
      <c r="Y88" s="2037"/>
      <c r="Z88" s="2037"/>
    </row>
    <row r="89" spans="1:26" s="1312" customFormat="1" ht="14.25">
      <c r="A89" s="3352" t="s">
        <v>428</v>
      </c>
      <c r="B89" s="3353"/>
      <c r="C89" s="992"/>
      <c r="D89" s="992" t="s">
        <v>429</v>
      </c>
      <c r="E89" s="389" t="s">
        <v>438</v>
      </c>
      <c r="F89" s="390"/>
      <c r="G89" s="390"/>
      <c r="H89" s="391"/>
      <c r="I89" s="1314"/>
      <c r="J89" s="2038"/>
      <c r="K89" s="3334"/>
      <c r="L89" s="3090" t="s">
        <v>27</v>
      </c>
      <c r="M89" s="3081"/>
      <c r="N89" s="51" t="e">
        <f>ROUND(SUM(N83:N88),0)</f>
        <v>#VALUE!</v>
      </c>
      <c r="O89" s="3091"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18368</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2671</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85" t="s">
        <v>447</v>
      </c>
      <c r="F94" s="3386"/>
      <c r="G94" s="3386"/>
      <c r="H94" s="3387"/>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110</v>
      </c>
      <c r="D96" s="404">
        <f>'数据-取费表'!B43</f>
        <v>6.000000000000001E-3</v>
      </c>
      <c r="E96" s="3375" t="s">
        <v>2432</v>
      </c>
      <c r="F96" s="3376"/>
      <c r="G96" s="3376"/>
      <c r="H96" s="3377"/>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15697</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5.8768251591164358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8483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88" t="s">
        <v>454</v>
      </c>
      <c r="B101" s="3389"/>
      <c r="C101" s="3389"/>
      <c r="D101" s="3389"/>
      <c r="E101" s="3389"/>
      <c r="F101" s="3389"/>
      <c r="G101" s="3389"/>
      <c r="H101" s="3389"/>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52" t="s">
        <v>428</v>
      </c>
      <c r="B102" s="3353"/>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18368</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800</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78" t="s">
        <v>462</v>
      </c>
      <c r="F109" s="3376"/>
      <c r="G109" s="3376"/>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78" t="s">
        <v>464</v>
      </c>
      <c r="F110" s="3376"/>
      <c r="G110" s="3376"/>
      <c r="H110" s="3377"/>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110</v>
      </c>
      <c r="D111" s="404">
        <f>'数据-取费表'!B43</f>
        <v>6.000000000000001E-3</v>
      </c>
      <c r="E111" s="3375" t="s">
        <v>2432</v>
      </c>
      <c r="F111" s="3376"/>
      <c r="G111" s="3376"/>
      <c r="H111" s="3377"/>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78" t="s">
        <v>2457</v>
      </c>
      <c r="F112" s="3376"/>
      <c r="G112" s="3376"/>
      <c r="H112" s="3377"/>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17568</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21.96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10261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E12" sqref="E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0">
        <f>MATCH(B1,'数据-取费表'!A6:A16,0)+5</f>
        <v>7</v>
      </c>
    </row>
    <row r="2" spans="1:31" s="2041" customFormat="1" ht="18" customHeight="1">
      <c r="A2" s="2101" t="s">
        <v>467</v>
      </c>
      <c r="B2" s="2105">
        <f ca="1">C36</f>
        <v>-198</v>
      </c>
      <c r="C2" s="2104"/>
      <c r="D2" s="2104"/>
      <c r="E2" s="2104"/>
      <c r="F2" s="2104"/>
      <c r="G2" s="2104"/>
      <c r="H2" s="2104"/>
      <c r="I2" s="2104"/>
      <c r="J2" s="2104"/>
      <c r="K2" s="2104"/>
    </row>
    <row r="3" spans="1:31" s="2041" customFormat="1" ht="18" customHeight="1">
      <c r="A3" s="2106" t="s">
        <v>1685</v>
      </c>
      <c r="B3" s="2107">
        <f ca="1">ROUND(B2*10000/IF(B1="",'数据-汇总表'!E3,INDIRECT("'数据-取费表'!K"&amp;$K$1)),0)</f>
        <v>-198</v>
      </c>
      <c r="C3" s="2104"/>
      <c r="D3" s="2104"/>
      <c r="E3" s="2104"/>
      <c r="F3" s="2104"/>
      <c r="G3" s="2104"/>
      <c r="H3" s="2104"/>
      <c r="I3" s="2104"/>
      <c r="J3" s="2104"/>
      <c r="K3" s="2104"/>
    </row>
    <row r="4" spans="1:31" s="2041" customFormat="1" ht="18" customHeight="1">
      <c r="A4" s="424" t="s">
        <v>468</v>
      </c>
      <c r="B4" s="425">
        <f ca="1">ROUND(B2*10000/IF(B1="",'数据-汇总表'!D3,INDIRECT("'数据-取费表'!R"&amp;$K$1)),0)</f>
        <v>-952</v>
      </c>
      <c r="C4" s="426"/>
      <c r="D4" s="420"/>
      <c r="E4" s="420"/>
      <c r="F4" s="420"/>
      <c r="G4" s="420"/>
      <c r="H4" s="420"/>
      <c r="I4" s="420"/>
      <c r="J4" s="420"/>
      <c r="K4" s="420"/>
    </row>
    <row r="5" spans="1:31" s="2041" customFormat="1" ht="18" customHeight="1" thickBot="1">
      <c r="A5" s="427"/>
      <c r="B5" s="428">
        <f ca="1">ROUND(B2/(IF(B1="",'数据-汇总表'!D3,INDIRECT("'数据-取费表'!R"&amp;$K$1))/666.67),0)</f>
        <v>-63</v>
      </c>
      <c r="C5" s="429" t="s">
        <v>469</v>
      </c>
      <c r="D5" s="420"/>
      <c r="E5" s="420"/>
      <c r="F5" s="420"/>
      <c r="G5" s="420"/>
      <c r="H5" s="420"/>
      <c r="I5" s="420"/>
      <c r="J5" s="420"/>
      <c r="K5" s="420"/>
    </row>
    <row r="6" spans="1:31" s="2111" customFormat="1" ht="16.5" customHeight="1">
      <c r="A6" s="2852" t="s">
        <v>1843</v>
      </c>
      <c r="B6" s="2853"/>
      <c r="C6" s="2854">
        <f>SUM(C10:K10)</f>
        <v>0</v>
      </c>
      <c r="D6" s="2853"/>
      <c r="E6" s="2853"/>
      <c r="F6" s="2853"/>
      <c r="G6" s="2853"/>
      <c r="H6" s="2853"/>
      <c r="I6" s="2853"/>
      <c r="J6" s="2853"/>
      <c r="K6" s="2855"/>
    </row>
    <row r="7" spans="1:31" s="2113" customFormat="1" ht="15">
      <c r="A7" s="2856" t="s">
        <v>470</v>
      </c>
      <c r="B7" s="2857" t="s">
        <v>471</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8"/>
      <c r="D8" s="2858"/>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c r="D10" s="3053"/>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8">
        <f ca="1">IF(B1="",'数据-取费表'!P16,INDIRECT("'数据-取费表'!p"&amp;$K$1)+INDIRECT("'数据-取费表'!t"&amp;$K$1))</f>
        <v>0</v>
      </c>
      <c r="D13" s="2868"/>
      <c r="E13" s="2869"/>
      <c r="F13" s="2870"/>
      <c r="G13" s="2836"/>
      <c r="H13" s="2837"/>
      <c r="I13" s="2837"/>
      <c r="J13" s="2837"/>
      <c r="K13" s="2838"/>
    </row>
    <row r="14" spans="1:31" s="2116" customFormat="1" ht="13.5" customHeight="1">
      <c r="A14" s="2866" t="s">
        <v>1850</v>
      </c>
      <c r="B14" s="2867" t="s">
        <v>480</v>
      </c>
      <c r="C14" s="51">
        <f ca="1">ROUND(C13*F14,0)</f>
        <v>0</v>
      </c>
      <c r="D14" s="2868"/>
      <c r="E14" s="2869"/>
      <c r="F14" s="2871">
        <f>'数据-取费表'!B33</f>
        <v>0.03</v>
      </c>
      <c r="G14" s="2836" t="s">
        <v>481</v>
      </c>
      <c r="H14" s="2837"/>
      <c r="I14" s="2837"/>
      <c r="J14" s="2837"/>
      <c r="K14" s="2838"/>
    </row>
    <row r="15" spans="1:31" s="2116" customFormat="1" ht="13.5" customHeight="1">
      <c r="A15" s="2866" t="s">
        <v>1851</v>
      </c>
      <c r="B15" s="2867" t="s">
        <v>482</v>
      </c>
      <c r="C15" s="51">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7" customFormat="1" ht="13.5" customHeight="1">
      <c r="A16" s="2866" t="s">
        <v>1852</v>
      </c>
      <c r="B16" s="2867" t="s">
        <v>484</v>
      </c>
      <c r="C16" s="51">
        <f ca="1">ROUND(D16*E16/10000,0)</f>
        <v>200</v>
      </c>
      <c r="D16" s="2868">
        <f ca="1">IF(B1="",'数据-汇总表'!E3,INDIRECT("'数据-取费表'!K"&amp;$K$1)+INDIRECT("'数据-取费表'!S"&amp;$K$1))</f>
        <v>10000</v>
      </c>
      <c r="E16" s="51">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0</v>
      </c>
      <c r="D17" s="473"/>
      <c r="E17" s="2872"/>
      <c r="F17" s="2873">
        <f>'数据-取费表'!B36</f>
        <v>1.4999999999999999E-2</v>
      </c>
      <c r="G17" s="259" t="s">
        <v>486</v>
      </c>
      <c r="H17" s="2839"/>
      <c r="I17" s="2839"/>
      <c r="J17" s="2839"/>
      <c r="K17" s="277"/>
    </row>
    <row r="18" spans="1:14" s="2116" customFormat="1" ht="13.5" customHeight="1">
      <c r="A18" s="2874" t="s">
        <v>1854</v>
      </c>
      <c r="B18" s="2875" t="s">
        <v>487</v>
      </c>
      <c r="C18" s="2876">
        <f ca="1">SUM(C13:C17)</f>
        <v>200</v>
      </c>
      <c r="D18" s="2877"/>
      <c r="E18" s="466"/>
      <c r="F18" s="466"/>
      <c r="G18" s="2840" t="s">
        <v>2434</v>
      </c>
      <c r="H18" s="2841"/>
      <c r="I18" s="2841"/>
      <c r="J18" s="2841"/>
      <c r="K18" s="2842"/>
    </row>
    <row r="19" spans="1:14" s="2116" customFormat="1" ht="13.5" customHeight="1">
      <c r="A19" s="2874" t="s">
        <v>1855</v>
      </c>
      <c r="B19" s="2875" t="s">
        <v>488</v>
      </c>
      <c r="C19" s="2832">
        <f ca="1">ROUND(D19*E19/10000,0)</f>
        <v>0</v>
      </c>
      <c r="D19" s="2878">
        <f ca="1">D16</f>
        <v>10000</v>
      </c>
      <c r="E19" s="2832">
        <f>'数据-取费表'!B32</f>
        <v>0</v>
      </c>
      <c r="F19" s="466"/>
      <c r="G19" s="2836" t="s">
        <v>489</v>
      </c>
      <c r="H19" s="2837"/>
      <c r="I19" s="2841"/>
      <c r="J19" s="2841"/>
      <c r="K19" s="2842"/>
    </row>
    <row r="20" spans="1:14" s="2116" customFormat="1" ht="13.5" customHeight="1">
      <c r="A20" s="2874" t="s">
        <v>1856</v>
      </c>
      <c r="B20" s="2875" t="s">
        <v>490</v>
      </c>
      <c r="C20" s="2832">
        <f ca="1">C21+C22-IF(B1="",'数据-取费表'!B29,IF(G20="已全部缴纳",C21+C22,H20))</f>
        <v>0</v>
      </c>
      <c r="D20" s="2878"/>
      <c r="E20" s="2832"/>
      <c r="F20" s="2879"/>
      <c r="G20" s="3113"/>
      <c r="H20" s="2834"/>
      <c r="I20" s="2835" t="s">
        <v>2655</v>
      </c>
      <c r="J20" s="2841"/>
      <c r="K20" s="2842"/>
    </row>
    <row r="21" spans="1:14" s="2116" customFormat="1" ht="13.5" customHeight="1">
      <c r="A21" s="2866" t="s">
        <v>1857</v>
      </c>
      <c r="B21" s="2867" t="s">
        <v>491</v>
      </c>
      <c r="C21" s="51">
        <f ca="1">ROUND(D21*E21/10000,0)</f>
        <v>0</v>
      </c>
      <c r="D21" s="2868">
        <f ca="1">IF(B1="",'数据-汇总表'!E5,IF(INDIRECT("'数据-取费表'!c"&amp;$K$1)="住宅",INDIRECT("'数据-取费表'!k"&amp;$K$1),0))</f>
        <v>0</v>
      </c>
      <c r="E21" s="51">
        <f>'数据-取费表'!B27</f>
        <v>0</v>
      </c>
      <c r="F21" s="2871"/>
      <c r="G21" s="24"/>
      <c r="H21" s="49"/>
      <c r="I21" s="49"/>
      <c r="J21" s="49"/>
      <c r="K21" s="2843"/>
    </row>
    <row r="22" spans="1:14" s="2116" customFormat="1" ht="13.5" customHeight="1">
      <c r="A22" s="2866" t="s">
        <v>1858</v>
      </c>
      <c r="B22" s="2867" t="s">
        <v>492</v>
      </c>
      <c r="C22" s="51">
        <f ca="1">ROUND(D22*E22/10000,0)</f>
        <v>200</v>
      </c>
      <c r="D22" s="2868">
        <f ca="1">IF(B1="",'数据-汇总表'!E6,IF(INDIRECT("'数据-取费表'!c"&amp;$K$1)="住宅",INDIRECT("'数据-取费表'!s"&amp;$K$1),INDIRECT("'数据-取费表'!k"&amp;$K$1)+INDIRECT("'数据-取费表'!s"&amp;$K$1)))</f>
        <v>10000</v>
      </c>
      <c r="E22" s="51">
        <f>'数据-取费表'!B28</f>
        <v>200</v>
      </c>
      <c r="F22" s="2871"/>
      <c r="G22" s="24"/>
      <c r="H22" s="49"/>
      <c r="I22" s="49"/>
      <c r="J22" s="49"/>
      <c r="K22" s="2843"/>
    </row>
    <row r="23" spans="1:14" s="2116" customFormat="1" ht="13.5" customHeight="1">
      <c r="A23" s="2874" t="s">
        <v>1859</v>
      </c>
      <c r="B23" s="3059" t="s">
        <v>2837</v>
      </c>
      <c r="C23" s="2876">
        <f ca="1">ROUND((C18+C19+C20)*F23,0)</f>
        <v>4</v>
      </c>
      <c r="D23" s="466"/>
      <c r="E23" s="466"/>
      <c r="F23" s="2880">
        <f>'数据-取费表'!B37</f>
        <v>0.02</v>
      </c>
      <c r="G23" s="2836" t="s">
        <v>2435</v>
      </c>
      <c r="H23" s="2837"/>
      <c r="I23" s="2837"/>
      <c r="J23" s="2837"/>
      <c r="K23" s="2838"/>
      <c r="L23" s="2118"/>
      <c r="M23" s="2118"/>
      <c r="N23" s="2118"/>
    </row>
    <row r="24" spans="1:14" s="2116" customFormat="1" ht="13.5" customHeight="1">
      <c r="A24" s="2874" t="s">
        <v>1860</v>
      </c>
      <c r="B24" s="3059" t="s">
        <v>2840</v>
      </c>
      <c r="C24" s="2876">
        <f>ROUND(C6*F24,0)</f>
        <v>0</v>
      </c>
      <c r="D24" s="473"/>
      <c r="E24" s="471"/>
      <c r="F24" s="2880">
        <f>'数据-取费表'!B38</f>
        <v>0.02</v>
      </c>
      <c r="G24" s="2845" t="s">
        <v>499</v>
      </c>
      <c r="H24" s="2839"/>
      <c r="I24" s="2839"/>
      <c r="J24" s="2839"/>
      <c r="K24" s="277"/>
      <c r="L24" s="2118"/>
      <c r="M24" s="2118"/>
      <c r="N24" s="2118"/>
    </row>
    <row r="25" spans="1:14" s="2119" customFormat="1" ht="13.5" customHeight="1">
      <c r="A25" s="2874" t="s">
        <v>1861</v>
      </c>
      <c r="B25" s="3059" t="s">
        <v>2838</v>
      </c>
      <c r="C25" s="465">
        <f>ROUND(F25/(1+'数据-取费表'!C42),4)</f>
        <v>2.9000000000000001E-2</v>
      </c>
      <c r="D25" s="460" t="s">
        <v>2832</v>
      </c>
      <c r="E25" s="467"/>
      <c r="F25" s="2880">
        <f>'数据-取费表'!B48+'数据-取费表'!B49</f>
        <v>3.0499999999999999E-2</v>
      </c>
      <c r="G25" s="2844" t="s">
        <v>2292</v>
      </c>
      <c r="H25" s="2837"/>
      <c r="I25" s="2837"/>
      <c r="J25" s="2837"/>
      <c r="K25" s="2838"/>
    </row>
    <row r="26" spans="1:14" s="2118" customFormat="1" ht="13.5" customHeight="1">
      <c r="A26" s="2874" t="s">
        <v>1862</v>
      </c>
      <c r="B26" s="3060" t="s">
        <v>2839</v>
      </c>
      <c r="C26" s="2881">
        <f ca="1">C28</f>
        <v>0</v>
      </c>
      <c r="D26" s="465">
        <f ca="1">C27</f>
        <v>0</v>
      </c>
      <c r="E26" s="467" t="s">
        <v>495</v>
      </c>
      <c r="F26" s="469">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1" t="s">
        <v>1857</v>
      </c>
      <c r="B27" s="2882" t="s">
        <v>496</v>
      </c>
      <c r="C27" s="2883">
        <f ca="1">ROUND(IF('数据-取费表'!B22&lt;=1,(1+C25)*F26*'数据-取费表'!B24,(1+C25)*(POWER((1+F26),'数据-取费表'!B24)-1)),4)</f>
        <v>0</v>
      </c>
      <c r="D27" s="470"/>
      <c r="E27" s="471"/>
      <c r="F27" s="472"/>
      <c r="G27" s="2596" t="str">
        <f>IF('数据-取费表'!B22&lt;=1,"（1+取得税费率/(1+5%)）×年利率×建设期","（1+取得税费率）/(1+5%)×((1+年利率)^建设期-1)")</f>
        <v>（1+取得税费率）/(1+5%)×((1+年利率)^建设期-1)</v>
      </c>
      <c r="H27" s="2839"/>
      <c r="I27" s="2839"/>
      <c r="J27" s="2839"/>
      <c r="K27" s="277"/>
    </row>
    <row r="28" spans="1:14" s="2120" customFormat="1" ht="13.5" customHeight="1">
      <c r="A28" s="801" t="s">
        <v>1858</v>
      </c>
      <c r="B28" s="2882" t="s">
        <v>2841</v>
      </c>
      <c r="C28" s="2884">
        <f ca="1">ROUND(IF('数据-取费表'!B22&lt;=1,(C18+C19+C20+C23+C24)*F26*'数据-取费表'!B24/2,(C18+C19+C20+C23+C24)*(POWER((1+F26),'数据-取费表'!B24/2)-1)),0)</f>
        <v>0</v>
      </c>
      <c r="D28" s="470"/>
      <c r="E28" s="471"/>
      <c r="F28" s="472"/>
      <c r="G28" s="2596" t="str">
        <f>IF('数据-取费表'!B22&lt;=1,"（1）-（4）项×年利率×建设期÷2","（1）-（4）项×((1+年利率)^(建设期÷2)-1)")</f>
        <v>（1）-（4）项×((1+年利率)^(建设期÷2)-1)</v>
      </c>
      <c r="H28" s="2839"/>
      <c r="I28" s="2839"/>
      <c r="J28" s="2839"/>
      <c r="K28" s="277"/>
    </row>
    <row r="29" spans="1:14" s="2120" customFormat="1" ht="13.5" customHeight="1">
      <c r="A29" s="2885" t="s">
        <v>1863</v>
      </c>
      <c r="B29" s="2875" t="s">
        <v>497</v>
      </c>
      <c r="C29" s="2876">
        <f>ROUND(C6*F29/(1+'数据-取费表'!C42),0)</f>
        <v>0</v>
      </c>
      <c r="D29" s="466"/>
      <c r="E29" s="466"/>
      <c r="F29" s="3061">
        <f>'数据-取费表'!B41</f>
        <v>5.6000000000000001E-2</v>
      </c>
      <c r="G29" s="2845" t="s">
        <v>498</v>
      </c>
      <c r="H29" s="2837"/>
      <c r="I29" s="2837"/>
      <c r="J29" s="2837"/>
      <c r="K29" s="2838"/>
    </row>
    <row r="30" spans="1:14" s="2121" customFormat="1" ht="13.5" customHeight="1">
      <c r="A30" s="1634" t="s">
        <v>1864</v>
      </c>
      <c r="B30" s="2886" t="s">
        <v>500</v>
      </c>
      <c r="C30" s="2881">
        <f ca="1">C31</f>
        <v>204</v>
      </c>
      <c r="D30" s="475">
        <f ca="1">C32</f>
        <v>2.9000000000000001E-2</v>
      </c>
      <c r="E30" s="467" t="s">
        <v>495</v>
      </c>
      <c r="F30" s="469"/>
      <c r="G30" s="2844" t="s">
        <v>2977</v>
      </c>
      <c r="H30" s="2837"/>
      <c r="I30" s="2837"/>
      <c r="J30" s="2837"/>
      <c r="K30" s="2838"/>
    </row>
    <row r="31" spans="1:14" s="2120" customFormat="1" ht="13.5" customHeight="1">
      <c r="A31" s="801" t="s">
        <v>1857</v>
      </c>
      <c r="B31" s="2882"/>
      <c r="C31" s="448">
        <f ca="1">C18+C19+C20+C23+C24+C26+C29</f>
        <v>204</v>
      </c>
      <c r="D31" s="470"/>
      <c r="E31" s="471"/>
      <c r="F31" s="472"/>
      <c r="G31" s="259"/>
      <c r="H31" s="2839"/>
      <c r="I31" s="2839"/>
      <c r="J31" s="2839"/>
      <c r="K31" s="277"/>
    </row>
    <row r="32" spans="1:14" s="2120" customFormat="1" ht="13.5" customHeight="1">
      <c r="A32" s="801" t="s">
        <v>1858</v>
      </c>
      <c r="B32" s="2882"/>
      <c r="C32" s="51">
        <f ca="1">ROUND(C25+D26,4)</f>
        <v>2.9000000000000001E-2</v>
      </c>
      <c r="D32" s="470"/>
      <c r="E32" s="471"/>
      <c r="F32" s="472"/>
      <c r="G32" s="259"/>
      <c r="H32" s="2839"/>
      <c r="I32" s="2839"/>
      <c r="J32" s="2839"/>
      <c r="K32" s="277"/>
    </row>
    <row r="33" spans="1:11" s="2122" customFormat="1" ht="13.5" customHeight="1">
      <c r="A33" s="3058" t="s">
        <v>2836</v>
      </c>
      <c r="B33" s="3056" t="s">
        <v>2834</v>
      </c>
      <c r="C33" s="476">
        <f ca="1">C35</f>
        <v>51</v>
      </c>
      <c r="D33" s="465">
        <f ca="1">C34</f>
        <v>0.25729999999999997</v>
      </c>
      <c r="E33" s="467" t="s">
        <v>495</v>
      </c>
      <c r="F33" s="477">
        <f ca="1">IF(B1="",'数据-取费表'!Q16,INDIRECT("'数据-取费表'!q"&amp;$K$1))</f>
        <v>0.25</v>
      </c>
      <c r="G33" s="2840"/>
      <c r="H33" s="2841"/>
      <c r="I33" s="2841"/>
      <c r="J33" s="2841"/>
      <c r="K33" s="2842"/>
    </row>
    <row r="34" spans="1:11" s="2123" customFormat="1" ht="13.5" customHeight="1">
      <c r="A34" s="373" t="s">
        <v>1857</v>
      </c>
      <c r="B34" s="2887" t="s">
        <v>501</v>
      </c>
      <c r="C34" s="470">
        <f ca="1">ROUND((1+C25)*F33,4)</f>
        <v>0.25729999999999997</v>
      </c>
      <c r="D34" s="470"/>
      <c r="E34" s="471"/>
      <c r="F34" s="478"/>
      <c r="G34" s="259" t="s">
        <v>2293</v>
      </c>
      <c r="H34" s="2839"/>
      <c r="I34" s="2839"/>
      <c r="J34" s="2839"/>
      <c r="K34" s="277"/>
    </row>
    <row r="35" spans="1:11" s="2123" customFormat="1" ht="13.5" customHeight="1" thickBot="1">
      <c r="A35" s="1635" t="s">
        <v>1858</v>
      </c>
      <c r="B35" s="3057" t="s">
        <v>2842</v>
      </c>
      <c r="C35" s="1627">
        <f ca="1">ROUND((C18+C19+C20+C23+C24)*F33,0)</f>
        <v>51</v>
      </c>
      <c r="D35" s="1628"/>
      <c r="E35" s="2888"/>
      <c r="F35" s="1629"/>
      <c r="G35" s="2846"/>
      <c r="H35" s="2847"/>
      <c r="I35" s="2847"/>
      <c r="J35" s="2847"/>
      <c r="K35" s="2848"/>
    </row>
    <row r="36" spans="1:11" s="2085" customFormat="1" ht="13.5" customHeight="1" thickBot="1">
      <c r="A36" s="282" t="s">
        <v>1845</v>
      </c>
      <c r="B36" s="2850"/>
      <c r="C36" s="2889">
        <f ca="1">ROUND((C6-C30-C33)/(1+D30+D33),0)</f>
        <v>-198</v>
      </c>
      <c r="D36" s="2850"/>
      <c r="E36" s="2850"/>
      <c r="F36" s="2850"/>
      <c r="G36" s="2849" t="s">
        <v>2843</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tabSelected="1" topLeftCell="E16" workbookViewId="0">
      <selection activeCell="E23" sqref="E21:E24"/>
    </sheetView>
  </sheetViews>
  <sheetFormatPr defaultRowHeight="13.5"/>
  <cols>
    <col min="1" max="1" width="13.125" customWidth="1"/>
    <col min="2" max="2" width="13.375" customWidth="1"/>
    <col min="3" max="3" width="11.625" customWidth="1"/>
    <col min="4" max="4" width="10.125" customWidth="1"/>
    <col min="5" max="5" width="10.5" customWidth="1"/>
    <col min="8" max="8" width="10.5" bestFit="1" customWidth="1"/>
    <col min="11" max="11" width="9.875" customWidth="1"/>
    <col min="12" max="12" width="12.625" bestFit="1" customWidth="1"/>
    <col min="19" max="19" width="11.375" bestFit="1" customWidth="1"/>
  </cols>
  <sheetData>
    <row r="1" spans="1:16" s="3184" customFormat="1">
      <c r="A1" s="3188" t="s">
        <v>2997</v>
      </c>
      <c r="B1" s="3188" t="s">
        <v>2995</v>
      </c>
      <c r="C1" s="3188" t="s">
        <v>2996</v>
      </c>
      <c r="D1" s="3188" t="s">
        <v>2998</v>
      </c>
    </row>
    <row r="2" spans="1:16" s="3184" customFormat="1">
      <c r="A2" s="3190" t="s">
        <v>2999</v>
      </c>
      <c r="B2" s="3185">
        <v>1280</v>
      </c>
      <c r="C2" s="3185">
        <v>1291.48</v>
      </c>
      <c r="D2" s="3185">
        <f>C2-B2</f>
        <v>11.480000000000018</v>
      </c>
    </row>
    <row r="3" spans="1:16" s="3184" customFormat="1">
      <c r="A3" s="3189" t="s">
        <v>3000</v>
      </c>
      <c r="B3" s="3187">
        <v>1313</v>
      </c>
      <c r="C3" s="3187">
        <v>1176.78</v>
      </c>
      <c r="D3" s="3187">
        <f>C3-B3</f>
        <v>-136.22000000000003</v>
      </c>
      <c r="E3" s="3184">
        <v>136.22</v>
      </c>
    </row>
    <row r="4" spans="1:16" s="3184" customFormat="1">
      <c r="A4" s="3207"/>
      <c r="B4" s="3208"/>
      <c r="C4" s="3208"/>
      <c r="D4" s="3208"/>
    </row>
    <row r="5" spans="1:16" ht="15" customHeight="1"/>
    <row r="6" spans="1:16" ht="15" customHeight="1"/>
    <row r="8" spans="1:16" ht="38.25" customHeight="1">
      <c r="A8" s="3415" t="s">
        <v>3013</v>
      </c>
      <c r="B8" s="3415"/>
      <c r="C8" s="3415"/>
      <c r="D8" s="3415"/>
      <c r="E8" s="3415"/>
      <c r="F8" s="3415"/>
      <c r="G8" s="3415"/>
      <c r="H8" s="3415"/>
      <c r="I8" s="3415"/>
      <c r="J8" s="3415"/>
      <c r="K8" s="3233"/>
    </row>
    <row r="9" spans="1:16" ht="57">
      <c r="A9" s="3195" t="s">
        <v>3001</v>
      </c>
      <c r="B9" s="3195" t="s">
        <v>3002</v>
      </c>
      <c r="C9" s="3195" t="s">
        <v>3003</v>
      </c>
      <c r="D9" s="3195" t="s">
        <v>3004</v>
      </c>
      <c r="E9" s="3195" t="s">
        <v>3005</v>
      </c>
      <c r="F9" s="3195" t="s">
        <v>3098</v>
      </c>
      <c r="G9" s="3195" t="s">
        <v>3006</v>
      </c>
      <c r="H9" s="3195" t="s">
        <v>3007</v>
      </c>
      <c r="I9" s="3195" t="s">
        <v>3008</v>
      </c>
      <c r="J9" s="3195"/>
      <c r="K9" s="3195" t="s">
        <v>3006</v>
      </c>
      <c r="L9" s="2"/>
      <c r="M9" s="2"/>
      <c r="N9" s="2"/>
      <c r="O9" s="2"/>
      <c r="P9" s="2"/>
    </row>
    <row r="10" spans="1:16" s="2" customFormat="1" ht="54" customHeight="1">
      <c r="A10" s="3411" t="s">
        <v>3009</v>
      </c>
      <c r="B10" s="3193" t="s">
        <v>3011</v>
      </c>
      <c r="C10" s="3194">
        <f ca="1">结果表!D20</f>
        <v>33882</v>
      </c>
      <c r="D10" s="3194">
        <f>结果表!D18</f>
        <v>0.6</v>
      </c>
      <c r="E10" s="3416">
        <f ca="1">ROUND(C10*D10+C11*D11,0)</f>
        <v>32144</v>
      </c>
      <c r="F10" s="3416"/>
      <c r="G10" s="3416">
        <f ca="1">ROUND(E10*0.25,)</f>
        <v>8036</v>
      </c>
      <c r="H10" s="3416">
        <f ca="1">G10*D2</f>
        <v>92253.280000000144</v>
      </c>
      <c r="I10" s="3194"/>
      <c r="J10" s="3194"/>
      <c r="K10" s="3230"/>
    </row>
    <row r="11" spans="1:16" s="2" customFormat="1" ht="45.75" customHeight="1">
      <c r="A11" s="3412"/>
      <c r="B11" s="3193" t="s">
        <v>3012</v>
      </c>
      <c r="C11" s="3194">
        <f ca="1">结果表!C20</f>
        <v>29537</v>
      </c>
      <c r="D11" s="3194">
        <f>结果表!C18</f>
        <v>0.4</v>
      </c>
      <c r="E11" s="3417"/>
      <c r="F11" s="3417"/>
      <c r="G11" s="3417"/>
      <c r="H11" s="3417"/>
      <c r="I11" s="3194"/>
      <c r="J11" s="3194"/>
      <c r="K11" s="3230"/>
    </row>
    <row r="12" spans="1:16" s="2" customFormat="1" ht="44.25" customHeight="1">
      <c r="A12" s="3413" t="s">
        <v>3010</v>
      </c>
      <c r="B12" s="3191" t="s">
        <v>3011</v>
      </c>
      <c r="C12" s="3192">
        <f ca="1">ROUND(基准地价!C6*基准地价!C19*基准地价!C20*基准地价!C24*基准地价!F38,0)</f>
        <v>10165</v>
      </c>
      <c r="D12" s="3192">
        <f>D10</f>
        <v>0.6</v>
      </c>
      <c r="E12" s="3418">
        <f ca="1">C12*D12+C13*D13</f>
        <v>9643.4</v>
      </c>
      <c r="F12" s="3418"/>
      <c r="G12" s="3418">
        <f ca="1">ROUND(E12*0.25,0)</f>
        <v>2411</v>
      </c>
      <c r="H12" s="3418">
        <f ca="1">G12*E3</f>
        <v>328426.42</v>
      </c>
      <c r="I12" s="3192"/>
      <c r="J12" s="3192"/>
      <c r="K12" s="3231"/>
    </row>
    <row r="13" spans="1:16" ht="45.75" customHeight="1">
      <c r="A13" s="3414"/>
      <c r="B13" s="3191" t="s">
        <v>3012</v>
      </c>
      <c r="C13" s="3186">
        <f ca="1">ROUND(结果表!C20*0.3,0)</f>
        <v>8861</v>
      </c>
      <c r="D13" s="3186">
        <f>D11</f>
        <v>0.4</v>
      </c>
      <c r="E13" s="3419"/>
      <c r="F13" s="3419"/>
      <c r="G13" s="3419"/>
      <c r="H13" s="3419"/>
      <c r="I13" s="3186"/>
      <c r="J13" s="3186"/>
      <c r="K13" s="3232"/>
    </row>
    <row r="17" spans="1:21" ht="19.5" thickBot="1">
      <c r="A17" s="3220" t="s">
        <v>3088</v>
      </c>
      <c r="H17" s="2899" t="s">
        <v>3087</v>
      </c>
      <c r="N17" s="3225" t="s">
        <v>3090</v>
      </c>
    </row>
    <row r="18" spans="1:21" ht="54" customHeight="1" thickBot="1">
      <c r="A18" s="3428" t="s">
        <v>3069</v>
      </c>
      <c r="B18" s="3428" t="s">
        <v>3070</v>
      </c>
      <c r="C18" s="3209" t="s">
        <v>3071</v>
      </c>
      <c r="D18" s="3209" t="s">
        <v>3074</v>
      </c>
      <c r="E18" s="3209" t="s">
        <v>3077</v>
      </c>
      <c r="F18" s="3209" t="s">
        <v>3079</v>
      </c>
      <c r="H18" s="3428" t="s">
        <v>3069</v>
      </c>
      <c r="I18" s="3428" t="s">
        <v>3070</v>
      </c>
      <c r="J18" s="3209" t="s">
        <v>3082</v>
      </c>
      <c r="K18" s="3209" t="s">
        <v>3083</v>
      </c>
      <c r="L18" s="3428" t="s">
        <v>3084</v>
      </c>
      <c r="M18" s="3218"/>
      <c r="N18" s="3444" t="s">
        <v>3069</v>
      </c>
      <c r="O18" s="3447" t="s">
        <v>3070</v>
      </c>
      <c r="P18" s="3448"/>
      <c r="Q18" s="3221" t="s">
        <v>3082</v>
      </c>
      <c r="R18" s="3222" t="s">
        <v>3089</v>
      </c>
      <c r="S18" s="3222" t="s">
        <v>3090</v>
      </c>
      <c r="T18" s="3222" t="s">
        <v>3079</v>
      </c>
    </row>
    <row r="19" spans="1:21" ht="15" customHeight="1" thickBot="1">
      <c r="A19" s="3464"/>
      <c r="B19" s="3464"/>
      <c r="C19" s="3210" t="s">
        <v>3072</v>
      </c>
      <c r="D19" s="3210" t="s">
        <v>3075</v>
      </c>
      <c r="E19" s="3210" t="s">
        <v>3078</v>
      </c>
      <c r="F19" s="3210" t="s">
        <v>3076</v>
      </c>
      <c r="H19" s="3429"/>
      <c r="I19" s="3430"/>
      <c r="J19" s="3211" t="s">
        <v>3085</v>
      </c>
      <c r="K19" s="3211" t="s">
        <v>3086</v>
      </c>
      <c r="L19" s="3430"/>
      <c r="M19" s="3218"/>
      <c r="N19" s="3445"/>
      <c r="O19" s="3449"/>
      <c r="P19" s="3450"/>
      <c r="Q19" s="3426" t="s">
        <v>3091</v>
      </c>
      <c r="R19" s="3426" t="s">
        <v>3092</v>
      </c>
      <c r="S19" s="3223" t="s">
        <v>3077</v>
      </c>
      <c r="T19" s="3426" t="s">
        <v>3092</v>
      </c>
    </row>
    <row r="20" spans="1:21" ht="16.5" customHeight="1" thickBot="1">
      <c r="A20" s="3429"/>
      <c r="B20" s="3429"/>
      <c r="C20" s="3211" t="s">
        <v>3073</v>
      </c>
      <c r="D20" s="3211" t="s">
        <v>3076</v>
      </c>
      <c r="E20" s="3212"/>
      <c r="F20" s="3212"/>
      <c r="H20" s="3424" t="s">
        <v>2993</v>
      </c>
      <c r="I20" s="3431" t="s">
        <v>3096</v>
      </c>
      <c r="J20" s="3214">
        <v>11.48</v>
      </c>
      <c r="K20" s="3420">
        <f ca="1">G10</f>
        <v>8036</v>
      </c>
      <c r="L20" s="3434">
        <f ca="1">ROUND(K20*J20/10000,2)</f>
        <v>9.23</v>
      </c>
      <c r="M20" s="3455"/>
      <c r="N20" s="3446"/>
      <c r="O20" s="3451"/>
      <c r="P20" s="3452"/>
      <c r="Q20" s="3427"/>
      <c r="R20" s="3427"/>
      <c r="S20" s="3224" t="s">
        <v>3078</v>
      </c>
      <c r="T20" s="3427"/>
    </row>
    <row r="21" spans="1:21" ht="15.75" customHeight="1" thickBot="1">
      <c r="A21" s="3424" t="s">
        <v>2993</v>
      </c>
      <c r="B21" s="3424" t="s">
        <v>3096</v>
      </c>
      <c r="C21" s="3422">
        <v>11.48</v>
      </c>
      <c r="D21" s="3420">
        <f ca="1">E10</f>
        <v>32144</v>
      </c>
      <c r="E21" s="3420">
        <f ca="1">ROUND(D21*D2/10000,2)</f>
        <v>36.9</v>
      </c>
      <c r="F21" s="3422" t="s">
        <v>2821</v>
      </c>
      <c r="H21" s="3425"/>
      <c r="I21" s="3432"/>
      <c r="J21" s="3215" t="s">
        <v>3080</v>
      </c>
      <c r="K21" s="3433"/>
      <c r="L21" s="3433"/>
      <c r="M21" s="3455"/>
      <c r="N21" s="3217" t="s">
        <v>2993</v>
      </c>
      <c r="O21" s="3215" t="s">
        <v>3095</v>
      </c>
      <c r="P21" s="3215" t="s">
        <v>3096</v>
      </c>
      <c r="Q21" s="3216">
        <v>11.48</v>
      </c>
      <c r="R21" s="3227">
        <f ca="1">E10</f>
        <v>32144</v>
      </c>
      <c r="S21" s="3227">
        <f ca="1">E21</f>
        <v>36.9</v>
      </c>
      <c r="T21" s="3216" t="s">
        <v>2821</v>
      </c>
    </row>
    <row r="22" spans="1:21" ht="16.5" customHeight="1" thickBot="1">
      <c r="A22" s="3425"/>
      <c r="B22" s="3425"/>
      <c r="C22" s="3423"/>
      <c r="D22" s="3421"/>
      <c r="E22" s="3421"/>
      <c r="F22" s="3423"/>
      <c r="H22" s="3424" t="s">
        <v>3081</v>
      </c>
      <c r="I22" s="3431" t="s">
        <v>2991</v>
      </c>
      <c r="J22" s="3214">
        <v>136.22</v>
      </c>
      <c r="K22" s="3235">
        <f ca="1">G12</f>
        <v>2411</v>
      </c>
      <c r="L22" s="3235">
        <f ca="1">ROUND(K22*J22/10000,2)</f>
        <v>32.840000000000003</v>
      </c>
      <c r="M22" s="3218"/>
      <c r="N22" s="3435" t="s">
        <v>27</v>
      </c>
      <c r="O22" s="3436"/>
      <c r="P22" s="3437"/>
      <c r="Q22" s="3219">
        <v>11.48</v>
      </c>
      <c r="R22" s="3216" t="s">
        <v>2821</v>
      </c>
      <c r="S22" s="3228">
        <f ca="1">S21</f>
        <v>36.9</v>
      </c>
      <c r="T22" s="3216" t="s">
        <v>2821</v>
      </c>
    </row>
    <row r="23" spans="1:21" ht="22.5" customHeight="1" thickBot="1">
      <c r="A23" s="3424" t="s">
        <v>3081</v>
      </c>
      <c r="B23" s="3424" t="s">
        <v>2991</v>
      </c>
      <c r="C23" s="3422">
        <v>136.22</v>
      </c>
      <c r="D23" s="3420">
        <f ca="1">E12</f>
        <v>9643.4</v>
      </c>
      <c r="E23" s="3420">
        <f ca="1">ROUND(E12*E3/10000,2)</f>
        <v>131.36000000000001</v>
      </c>
      <c r="F23" s="3422" t="s">
        <v>2821</v>
      </c>
      <c r="H23" s="3456"/>
      <c r="I23" s="3456"/>
      <c r="J23" s="3213" t="s">
        <v>3097</v>
      </c>
      <c r="K23" s="3238" t="s">
        <v>3101</v>
      </c>
      <c r="L23" s="3236"/>
      <c r="M23" s="3218"/>
      <c r="N23" s="3444" t="s">
        <v>3069</v>
      </c>
      <c r="O23" s="3438" t="s">
        <v>3070</v>
      </c>
      <c r="P23" s="3440"/>
      <c r="Q23" s="3211" t="s">
        <v>3082</v>
      </c>
      <c r="R23" s="3211" t="s">
        <v>3093</v>
      </c>
      <c r="S23" s="3211" t="s">
        <v>3090</v>
      </c>
      <c r="T23" s="3211" t="s">
        <v>3094</v>
      </c>
    </row>
    <row r="24" spans="1:21" ht="19.5" customHeight="1" thickBot="1">
      <c r="A24" s="3425"/>
      <c r="B24" s="3425"/>
      <c r="C24" s="3423"/>
      <c r="D24" s="3421"/>
      <c r="E24" s="3421"/>
      <c r="F24" s="3423"/>
      <c r="H24" s="3425"/>
      <c r="I24" s="3432"/>
      <c r="J24" s="3226"/>
      <c r="K24" s="3237"/>
      <c r="L24" s="3237"/>
      <c r="M24" s="3218"/>
      <c r="N24" s="3446"/>
      <c r="O24" s="3441"/>
      <c r="P24" s="3443"/>
      <c r="Q24" s="3211" t="s">
        <v>3085</v>
      </c>
      <c r="R24" s="3211" t="s">
        <v>3086</v>
      </c>
      <c r="S24" s="3211" t="s">
        <v>3084</v>
      </c>
      <c r="T24" s="3211" t="s">
        <v>3086</v>
      </c>
    </row>
    <row r="25" spans="1:21" ht="24.75" customHeight="1" thickBot="1">
      <c r="A25" s="3453" t="s">
        <v>24</v>
      </c>
      <c r="B25" s="3454"/>
      <c r="C25" s="3216">
        <f>C21+C23</f>
        <v>147.69999999999999</v>
      </c>
      <c r="D25" s="3216" t="s">
        <v>2821</v>
      </c>
      <c r="E25" s="3216">
        <f ca="1">E21+E23</f>
        <v>168.26000000000002</v>
      </c>
      <c r="F25" s="3216" t="s">
        <v>2821</v>
      </c>
      <c r="H25" s="3457" t="s">
        <v>24</v>
      </c>
      <c r="I25" s="3458"/>
      <c r="J25" s="3465">
        <v>124.74</v>
      </c>
      <c r="K25" s="3434"/>
      <c r="L25" s="3462">
        <f ca="1">L22-L20</f>
        <v>23.610000000000003</v>
      </c>
      <c r="M25" s="3455"/>
      <c r="N25" s="3471" t="s">
        <v>3081</v>
      </c>
      <c r="O25" s="3469" t="s">
        <v>3095</v>
      </c>
      <c r="P25" s="3467" t="s">
        <v>2991</v>
      </c>
      <c r="Q25" s="3422">
        <f>E3</f>
        <v>136.22</v>
      </c>
      <c r="R25" s="3422">
        <f ca="1">D23</f>
        <v>9643.4</v>
      </c>
      <c r="S25" s="3227">
        <f ca="1">L22</f>
        <v>32.840000000000003</v>
      </c>
      <c r="T25" s="3216" t="s">
        <v>2821</v>
      </c>
    </row>
    <row r="26" spans="1:21" ht="24" customHeight="1" thickBot="1">
      <c r="A26" s="3240"/>
      <c r="B26" s="3240"/>
      <c r="C26" s="3241"/>
      <c r="D26" s="3241"/>
      <c r="E26" s="3241"/>
      <c r="F26" s="3241"/>
      <c r="H26" s="3457"/>
      <c r="I26" s="3458"/>
      <c r="J26" s="3466"/>
      <c r="K26" s="3461"/>
      <c r="L26" s="3463"/>
      <c r="M26" s="3455"/>
      <c r="N26" s="3459"/>
      <c r="O26" s="3470"/>
      <c r="P26" s="3468"/>
      <c r="Q26" s="3423"/>
      <c r="R26" s="3423"/>
      <c r="S26" s="3242" t="s">
        <v>3100</v>
      </c>
      <c r="T26" s="3216"/>
    </row>
    <row r="27" spans="1:21" ht="25.5" customHeight="1" thickBot="1">
      <c r="H27" s="3459"/>
      <c r="I27" s="3460"/>
      <c r="J27" s="3215" t="s">
        <v>3097</v>
      </c>
      <c r="K27" s="3234"/>
      <c r="L27" s="3239" t="s">
        <v>3099</v>
      </c>
      <c r="M27" s="3455"/>
      <c r="N27" s="3435" t="s">
        <v>27</v>
      </c>
      <c r="O27" s="3436"/>
      <c r="P27" s="3437"/>
      <c r="Q27" s="3219">
        <v>136.22</v>
      </c>
      <c r="R27" s="3219" t="s">
        <v>2821</v>
      </c>
      <c r="S27" s="3228">
        <f ca="1">S21-S25</f>
        <v>4.0599999999999952</v>
      </c>
      <c r="T27" s="3216" t="s">
        <v>2821</v>
      </c>
      <c r="U27" s="3243" t="s">
        <v>3102</v>
      </c>
    </row>
    <row r="28" spans="1:21" ht="31.5" customHeight="1">
      <c r="N28" s="3438" t="s">
        <v>24</v>
      </c>
      <c r="O28" s="3439"/>
      <c r="P28" s="3440"/>
      <c r="Q28" s="3229">
        <v>124.74</v>
      </c>
      <c r="R28" s="3422" t="s">
        <v>2821</v>
      </c>
      <c r="S28" s="3244">
        <f ca="1">S27</f>
        <v>4.0599999999999952</v>
      </c>
      <c r="T28" s="3422" t="s">
        <v>2821</v>
      </c>
    </row>
    <row r="29" spans="1:21" ht="22.5" customHeight="1" thickBot="1">
      <c r="N29" s="3441"/>
      <c r="O29" s="3442"/>
      <c r="P29" s="3443"/>
      <c r="Q29" s="3211" t="s">
        <v>3097</v>
      </c>
      <c r="R29" s="3423"/>
      <c r="S29" s="3245" t="s">
        <v>3080</v>
      </c>
      <c r="T29" s="3423"/>
    </row>
    <row r="30" spans="1:21" ht="16.5" hidden="1" customHeight="1" thickBot="1"/>
    <row r="31" spans="1:21" ht="23.25" customHeight="1"/>
  </sheetData>
  <mergeCells count="58">
    <mergeCell ref="T28:T29"/>
    <mergeCell ref="F10:F11"/>
    <mergeCell ref="F12:F13"/>
    <mergeCell ref="G12:G13"/>
    <mergeCell ref="G10:G11"/>
    <mergeCell ref="H10:H11"/>
    <mergeCell ref="H12:H13"/>
    <mergeCell ref="J25:J26"/>
    <mergeCell ref="R25:R26"/>
    <mergeCell ref="Q25:Q26"/>
    <mergeCell ref="P25:P26"/>
    <mergeCell ref="O25:O26"/>
    <mergeCell ref="N25:N26"/>
    <mergeCell ref="N22:P22"/>
    <mergeCell ref="N23:N24"/>
    <mergeCell ref="O23:P24"/>
    <mergeCell ref="A21:A22"/>
    <mergeCell ref="A23:A24"/>
    <mergeCell ref="A25:B25"/>
    <mergeCell ref="H20:H21"/>
    <mergeCell ref="M20:M21"/>
    <mergeCell ref="H22:H24"/>
    <mergeCell ref="I22:I24"/>
    <mergeCell ref="H25:I27"/>
    <mergeCell ref="K25:K26"/>
    <mergeCell ref="L25:L26"/>
    <mergeCell ref="M25:M27"/>
    <mergeCell ref="C21:C22"/>
    <mergeCell ref="A18:A20"/>
    <mergeCell ref="B18:B20"/>
    <mergeCell ref="B21:B22"/>
    <mergeCell ref="D21:D22"/>
    <mergeCell ref="N27:P27"/>
    <mergeCell ref="N28:P29"/>
    <mergeCell ref="R28:R29"/>
    <mergeCell ref="N18:N20"/>
    <mergeCell ref="O18:P20"/>
    <mergeCell ref="Q19:Q20"/>
    <mergeCell ref="R19:R20"/>
    <mergeCell ref="T19:T20"/>
    <mergeCell ref="H18:H19"/>
    <mergeCell ref="I18:I19"/>
    <mergeCell ref="L18:L19"/>
    <mergeCell ref="I20:I21"/>
    <mergeCell ref="K20:K21"/>
    <mergeCell ref="L20:L21"/>
    <mergeCell ref="E21:E22"/>
    <mergeCell ref="F21:F22"/>
    <mergeCell ref="B23:B24"/>
    <mergeCell ref="D23:D24"/>
    <mergeCell ref="E23:E24"/>
    <mergeCell ref="F23:F24"/>
    <mergeCell ref="C23:C24"/>
    <mergeCell ref="A10:A11"/>
    <mergeCell ref="A12:A13"/>
    <mergeCell ref="A8:J8"/>
    <mergeCell ref="E10:E11"/>
    <mergeCell ref="E12:E13"/>
  </mergeCells>
  <phoneticPr fontId="2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46" t="str">
        <f>项目基本情况!B1</f>
        <v>北京市出让国有建设用地使用权市场价格预评估</v>
      </c>
      <c r="C37" s="3246"/>
      <c r="D37" s="3246"/>
      <c r="E37" s="3246"/>
      <c r="F37" s="3246"/>
      <c r="G37" s="3246"/>
      <c r="H37" s="3246"/>
      <c r="I37" s="3246"/>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13" workbookViewId="0">
      <selection activeCell="C32" sqref="C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3" t="s">
        <v>1678</v>
      </c>
      <c r="C1" s="2104"/>
      <c r="D1" s="2104"/>
      <c r="E1" s="2104"/>
      <c r="F1" s="2104"/>
      <c r="G1" s="2104"/>
      <c r="H1" s="2104"/>
      <c r="I1" s="2104"/>
      <c r="J1" s="2104"/>
      <c r="K1" s="420">
        <f>MATCH(B1,'数据-取费表'!A6:A16,0)+5</f>
        <v>6</v>
      </c>
    </row>
    <row r="2" spans="1:41" s="2041" customFormat="1" ht="18" customHeight="1">
      <c r="A2" s="421" t="s">
        <v>467</v>
      </c>
      <c r="B2" s="422">
        <f ca="1">C32</f>
        <v>29536.55965321499</v>
      </c>
      <c r="C2" s="2104"/>
      <c r="D2" s="2104"/>
      <c r="E2" s="2104"/>
      <c r="F2" s="2104"/>
      <c r="G2" s="2104"/>
      <c r="H2" s="2104"/>
      <c r="I2" s="2104"/>
      <c r="J2" s="2104"/>
      <c r="K2" s="2104"/>
    </row>
    <row r="3" spans="1:41" s="2041" customFormat="1" ht="18" customHeight="1">
      <c r="A3" s="1378" t="s">
        <v>1685</v>
      </c>
      <c r="B3" s="423">
        <f ca="1">ROUND(B2*10000/IF(B1="",'数据-汇总表'!E3,INDIRECT("'数据-取费表'!K"&amp;$K$1)),0)</f>
        <v>29537</v>
      </c>
      <c r="C3" s="2104"/>
      <c r="D3" s="2104"/>
      <c r="E3" s="2104"/>
      <c r="F3" s="2104"/>
      <c r="G3" s="2104"/>
      <c r="H3" s="2104"/>
      <c r="I3" s="2104"/>
      <c r="J3" s="2104"/>
      <c r="K3" s="2104"/>
    </row>
    <row r="4" spans="1:41" s="2041" customFormat="1" ht="18" customHeight="1">
      <c r="A4" s="424" t="s">
        <v>468</v>
      </c>
      <c r="B4" s="425">
        <f ca="1">ROUND(B2*10000/IF(B1="",'数据-汇总表'!D3,INDIRECT("'数据-取费表'!R"&amp;$K$1)),0)</f>
        <v>142066</v>
      </c>
      <c r="C4" s="2061"/>
      <c r="D4" s="2104"/>
      <c r="E4" s="2104"/>
      <c r="F4" s="2104"/>
      <c r="G4" s="2104"/>
      <c r="H4" s="2104"/>
      <c r="I4" s="2104"/>
      <c r="J4" s="2104"/>
      <c r="K4" s="2104"/>
    </row>
    <row r="5" spans="1:41" s="2041" customFormat="1" ht="18" customHeight="1" thickBot="1">
      <c r="A5" s="427"/>
      <c r="B5" s="428">
        <f ca="1">ROUND(B2/(IF(B1="",'数据-汇总表'!D3,INDIRECT("'数据-取费表'!R"&amp;$K$1))/666.67),0)</f>
        <v>9471</v>
      </c>
      <c r="C5" s="429" t="s">
        <v>469</v>
      </c>
      <c r="D5" s="2104"/>
      <c r="E5" s="2104"/>
      <c r="F5" s="2104"/>
      <c r="G5" s="2104"/>
      <c r="H5" s="2104"/>
      <c r="I5" s="2104"/>
      <c r="J5" s="2104"/>
      <c r="K5" s="2104"/>
    </row>
    <row r="6" spans="1:41" s="2111" customFormat="1" ht="16.5" customHeight="1">
      <c r="A6" s="430" t="s">
        <v>2656</v>
      </c>
      <c r="B6" s="431"/>
      <c r="C6" s="1622">
        <f>SUM(C10:K10)</f>
        <v>46424</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46424</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46424</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2300</v>
      </c>
      <c r="D13" s="449"/>
      <c r="E13" s="363"/>
      <c r="F13" s="450"/>
      <c r="G13" s="442"/>
      <c r="H13" s="445"/>
      <c r="I13" s="445"/>
      <c r="J13" s="445"/>
      <c r="K13" s="446"/>
    </row>
    <row r="14" spans="1:41" s="2116" customFormat="1" ht="13.5" customHeight="1">
      <c r="A14" s="1632" t="s">
        <v>1850</v>
      </c>
      <c r="B14" s="447" t="s">
        <v>480</v>
      </c>
      <c r="C14" s="51">
        <f ca="1">ROUND(C13*F14,0)</f>
        <v>69</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35</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2604</v>
      </c>
      <c r="D18" s="459"/>
      <c r="E18" s="460"/>
      <c r="F18" s="460"/>
      <c r="G18" s="1325" t="s">
        <v>2436</v>
      </c>
      <c r="H18" s="445"/>
      <c r="I18" s="445"/>
      <c r="J18" s="445"/>
      <c r="K18" s="446"/>
    </row>
    <row r="19" spans="1:14" s="2119" customFormat="1" ht="13.5" customHeight="1">
      <c r="A19" s="1633" t="s">
        <v>1855</v>
      </c>
      <c r="B19" s="457" t="s">
        <v>493</v>
      </c>
      <c r="C19" s="458">
        <f ca="1">ROUND(C18*F19,0)</f>
        <v>52</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4">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94</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94</v>
      </c>
      <c r="D22" s="470"/>
      <c r="E22" s="471"/>
      <c r="F22" s="472"/>
      <c r="G22" s="2591"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91"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6" t="s">
        <v>2835</v>
      </c>
      <c r="C24" s="476">
        <f ca="1">C25</f>
        <v>664</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664</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5">
        <f>ROUND(F27/(1+'数据-取费表'!C42),4)</f>
        <v>5.33E-2</v>
      </c>
      <c r="D27" s="460" t="s">
        <v>2833</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3707</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1</v>
      </c>
      <c r="D29" s="491"/>
      <c r="E29" s="492"/>
      <c r="F29" s="493"/>
      <c r="G29" s="442"/>
      <c r="H29" s="445"/>
      <c r="I29" s="445"/>
      <c r="J29" s="445"/>
      <c r="K29" s="446"/>
    </row>
    <row r="30" spans="1:14" s="2121" customFormat="1" ht="13.5" customHeight="1">
      <c r="A30" s="441">
        <v>2</v>
      </c>
      <c r="B30" s="474" t="s">
        <v>514</v>
      </c>
      <c r="C30" s="495">
        <f ca="1">ROUND(C28*C29,0)</f>
        <v>3707</v>
      </c>
      <c r="D30" s="491"/>
      <c r="E30" s="496"/>
      <c r="F30" s="497"/>
      <c r="G30" s="1327" t="s">
        <v>515</v>
      </c>
      <c r="H30" s="494"/>
      <c r="I30" s="494"/>
      <c r="J30" s="445"/>
      <c r="K30" s="446"/>
    </row>
    <row r="31" spans="1:14" s="2126" customFormat="1" ht="13.5" customHeight="1">
      <c r="A31" s="2506" t="s">
        <v>1866</v>
      </c>
      <c r="B31" s="1328"/>
      <c r="C31" s="498">
        <f>ROUND(C6*F31/(1+'数据-取费表'!C42),0)</f>
        <v>2476</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29536.55965321499</v>
      </c>
      <c r="D32" s="481"/>
      <c r="E32" s="481"/>
      <c r="F32" s="481"/>
      <c r="G32" s="2507" t="s">
        <v>2978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494" t="s">
        <v>522</v>
      </c>
      <c r="D6" s="3495"/>
      <c r="E6" s="3494" t="s">
        <v>523</v>
      </c>
      <c r="F6" s="3495"/>
      <c r="G6" s="3494" t="s">
        <v>524</v>
      </c>
      <c r="H6" s="3495"/>
      <c r="I6" s="3494" t="s">
        <v>525</v>
      </c>
      <c r="J6" s="3495"/>
      <c r="K6" s="512" t="s">
        <v>526</v>
      </c>
      <c r="L6" s="2133"/>
      <c r="M6" s="2132"/>
      <c r="N6" s="2132"/>
      <c r="O6" s="2134"/>
      <c r="P6" s="3496" t="s">
        <v>527</v>
      </c>
      <c r="Q6" s="3497"/>
      <c r="R6" s="3482" t="s">
        <v>523</v>
      </c>
      <c r="S6" s="3483"/>
      <c r="T6" s="3482" t="s">
        <v>524</v>
      </c>
      <c r="U6" s="3483"/>
      <c r="V6" s="3502" t="s">
        <v>525</v>
      </c>
      <c r="W6" s="3502"/>
      <c r="X6" s="1566"/>
      <c r="Y6" s="3482" t="s">
        <v>527</v>
      </c>
      <c r="Z6" s="3483"/>
      <c r="AA6" s="3477" t="s">
        <v>523</v>
      </c>
      <c r="AB6" s="3478" t="s">
        <v>524</v>
      </c>
      <c r="AC6" s="3477" t="s">
        <v>525</v>
      </c>
    </row>
    <row r="7" spans="1:30" ht="20.25">
      <c r="A7" s="513"/>
      <c r="B7" s="514"/>
      <c r="C7" s="3505" t="s">
        <v>2933</v>
      </c>
      <c r="D7" s="3506"/>
      <c r="E7" s="3505" t="s">
        <v>2934</v>
      </c>
      <c r="F7" s="3506"/>
      <c r="G7" s="3505" t="s">
        <v>2935</v>
      </c>
      <c r="H7" s="3506"/>
      <c r="I7" s="3505" t="s">
        <v>2936</v>
      </c>
      <c r="J7" s="3506"/>
      <c r="K7" s="512"/>
      <c r="L7" s="2133"/>
      <c r="M7" s="2132"/>
      <c r="N7" s="2132"/>
      <c r="O7" s="2134"/>
      <c r="P7" s="3498"/>
      <c r="Q7" s="3499"/>
      <c r="R7" s="3484"/>
      <c r="S7" s="3485"/>
      <c r="T7" s="3484"/>
      <c r="U7" s="3485"/>
      <c r="V7" s="3502"/>
      <c r="W7" s="3502"/>
      <c r="X7" s="1566"/>
      <c r="Y7" s="3484"/>
      <c r="Z7" s="3485"/>
      <c r="AA7" s="3478"/>
      <c r="AB7" s="3478"/>
      <c r="AC7" s="3478"/>
    </row>
    <row r="8" spans="1:30" ht="21" thickBot="1">
      <c r="A8" s="513"/>
      <c r="B8" s="514"/>
      <c r="C8" s="3507" t="s">
        <v>2937</v>
      </c>
      <c r="D8" s="3508"/>
      <c r="E8" s="3507" t="s">
        <v>2937</v>
      </c>
      <c r="F8" s="3508"/>
      <c r="G8" s="3503" t="s">
        <v>2937</v>
      </c>
      <c r="H8" s="3504"/>
      <c r="I8" s="3503" t="s">
        <v>2937</v>
      </c>
      <c r="J8" s="3504"/>
      <c r="K8" s="512" t="s">
        <v>528</v>
      </c>
      <c r="L8" s="2133"/>
      <c r="M8" s="2132"/>
      <c r="N8" s="2132"/>
      <c r="O8" s="2134"/>
      <c r="P8" s="3500"/>
      <c r="Q8" s="3501"/>
      <c r="R8" s="3484"/>
      <c r="S8" s="3485"/>
      <c r="T8" s="3486"/>
      <c r="U8" s="3487"/>
      <c r="V8" s="3502"/>
      <c r="W8" s="3502"/>
      <c r="X8" s="1566"/>
      <c r="Y8" s="3486"/>
      <c r="Z8" s="3487"/>
      <c r="AA8" s="3479"/>
      <c r="AB8" s="3479"/>
      <c r="AC8" s="3479"/>
    </row>
    <row r="9" spans="1:30" s="1218" customFormat="1" ht="21" thickBot="1">
      <c r="A9" s="2936"/>
      <c r="B9" s="2943" t="s">
        <v>529</v>
      </c>
      <c r="C9" s="2935">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480" t="s">
        <v>530</v>
      </c>
      <c r="Q9" s="3489"/>
      <c r="R9" s="1567" t="s">
        <v>8</v>
      </c>
      <c r="S9" s="1568">
        <f t="shared" ref="S9:S17" si="0">F9</f>
        <v>0</v>
      </c>
      <c r="T9" s="1567" t="s">
        <v>8</v>
      </c>
      <c r="U9" s="1568">
        <f t="shared" ref="U9:U17" si="1">H9</f>
        <v>0</v>
      </c>
      <c r="V9" s="1567" t="s">
        <v>8</v>
      </c>
      <c r="W9" s="1568">
        <f t="shared" ref="W9:W17" si="2">J9</f>
        <v>0</v>
      </c>
      <c r="X9" s="1569"/>
      <c r="Y9" s="3480" t="s">
        <v>530</v>
      </c>
      <c r="Z9" s="3481"/>
      <c r="AA9" s="1570" t="e">
        <f>D9/F9</f>
        <v>#DIV/0!</v>
      </c>
      <c r="AB9" s="1570" t="e">
        <f>D9/H9</f>
        <v>#DIV/0!</v>
      </c>
      <c r="AC9" s="1570" t="e">
        <f>D9/J9</f>
        <v>#DIV/0!</v>
      </c>
    </row>
    <row r="10" spans="1:30" s="1218" customFormat="1" ht="21" thickBot="1">
      <c r="A10" s="2937"/>
      <c r="B10" s="2944"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480" t="s">
        <v>533</v>
      </c>
      <c r="Q10" s="3481"/>
      <c r="R10" s="1567" t="s">
        <v>8</v>
      </c>
      <c r="S10" s="1568">
        <f t="shared" si="0"/>
        <v>0</v>
      </c>
      <c r="T10" s="1567" t="s">
        <v>8</v>
      </c>
      <c r="U10" s="1568">
        <f t="shared" si="1"/>
        <v>0</v>
      </c>
      <c r="V10" s="1567" t="s">
        <v>8</v>
      </c>
      <c r="W10" s="1568">
        <f t="shared" si="2"/>
        <v>0</v>
      </c>
      <c r="X10" s="1569"/>
      <c r="Y10" s="3480" t="s">
        <v>533</v>
      </c>
      <c r="Z10" s="3481"/>
      <c r="AA10" s="1570" t="e">
        <f t="shared" ref="AA10:AA47" si="3">D10/F10</f>
        <v>#DIV/0!</v>
      </c>
      <c r="AB10" s="1570" t="e">
        <f t="shared" ref="AB10:AB47" si="4">D10/H10</f>
        <v>#DIV/0!</v>
      </c>
      <c r="AC10" s="1570" t="e">
        <f t="shared" ref="AC10:AC47" si="5">D10/J10</f>
        <v>#DIV/0!</v>
      </c>
    </row>
    <row r="11" spans="1:30" s="1218" customFormat="1" ht="20.25">
      <c r="A11" s="2938"/>
      <c r="B11" s="2945" t="s">
        <v>2760</v>
      </c>
      <c r="C11" s="2932"/>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488" t="s">
        <v>535</v>
      </c>
      <c r="Q11" s="1149" t="str">
        <f t="shared" ref="Q11:Q17" si="6">B11</f>
        <v>用途</v>
      </c>
      <c r="R11" s="1567" t="s">
        <v>8</v>
      </c>
      <c r="S11" s="1568">
        <f t="shared" si="0"/>
        <v>100</v>
      </c>
      <c r="T11" s="1567" t="s">
        <v>8</v>
      </c>
      <c r="U11" s="1568">
        <f t="shared" si="1"/>
        <v>100</v>
      </c>
      <c r="V11" s="1567" t="s">
        <v>8</v>
      </c>
      <c r="W11" s="1568">
        <f t="shared" si="2"/>
        <v>100</v>
      </c>
      <c r="X11" s="1569"/>
      <c r="Y11" s="3384" t="s">
        <v>536</v>
      </c>
      <c r="Z11" s="1148" t="str">
        <f t="shared" ref="Z11:Z17" si="7">Q11</f>
        <v>用途</v>
      </c>
      <c r="AA11" s="1570">
        <f t="shared" si="3"/>
        <v>1</v>
      </c>
      <c r="AB11" s="1570">
        <f t="shared" si="4"/>
        <v>1</v>
      </c>
      <c r="AC11" s="1570">
        <f t="shared" si="5"/>
        <v>1</v>
      </c>
    </row>
    <row r="12" spans="1:30" s="1336" customFormat="1" ht="27">
      <c r="A12" s="2939"/>
      <c r="B12" s="2944" t="s">
        <v>2761</v>
      </c>
      <c r="C12" s="908"/>
      <c r="D12" s="253">
        <v>100</v>
      </c>
      <c r="E12" s="527"/>
      <c r="F12" s="253">
        <f>ROUND(100/'数据-取费表'!G16,0)</f>
        <v>108</v>
      </c>
      <c r="G12" s="528"/>
      <c r="H12" s="253">
        <f>ROUND(100/'数据-取费表'!G16,0)</f>
        <v>108</v>
      </c>
      <c r="I12" s="528"/>
      <c r="J12" s="253">
        <f>ROUND(100/'数据-取费表'!G16,0)</f>
        <v>108</v>
      </c>
      <c r="K12" s="529"/>
      <c r="L12" s="2138"/>
      <c r="M12" s="2132"/>
      <c r="N12" s="2132"/>
      <c r="O12" s="2139"/>
      <c r="P12" s="3488"/>
      <c r="Q12" s="1149" t="str">
        <f t="shared" si="6"/>
        <v>土地使用年限（年）</v>
      </c>
      <c r="R12" s="1567" t="s">
        <v>8</v>
      </c>
      <c r="S12" s="1568">
        <f t="shared" si="0"/>
        <v>108</v>
      </c>
      <c r="T12" s="1567" t="s">
        <v>8</v>
      </c>
      <c r="U12" s="1568">
        <f t="shared" si="1"/>
        <v>108</v>
      </c>
      <c r="V12" s="1567" t="s">
        <v>8</v>
      </c>
      <c r="W12" s="1568">
        <f t="shared" si="2"/>
        <v>108</v>
      </c>
      <c r="X12" s="1569"/>
      <c r="Y12" s="3384"/>
      <c r="Z12" s="1148" t="str">
        <f t="shared" si="7"/>
        <v>土地使用年限（年）</v>
      </c>
      <c r="AA12" s="1570">
        <f t="shared" si="3"/>
        <v>0.92592592592592593</v>
      </c>
      <c r="AB12" s="1570">
        <f t="shared" si="4"/>
        <v>0.92592592592592593</v>
      </c>
      <c r="AC12" s="1570">
        <f t="shared" si="5"/>
        <v>0.92592592592592593</v>
      </c>
    </row>
    <row r="13" spans="1:30" ht="20.25">
      <c r="A13" s="2940"/>
      <c r="B13" s="2944"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488"/>
      <c r="Q13" s="1149" t="str">
        <f t="shared" si="6"/>
        <v>容积率</v>
      </c>
      <c r="R13" s="1567" t="s">
        <v>8</v>
      </c>
      <c r="S13" s="1568" t="e">
        <f t="shared" si="0"/>
        <v>#N/A</v>
      </c>
      <c r="T13" s="1567" t="s">
        <v>8</v>
      </c>
      <c r="U13" s="1568" t="e">
        <f t="shared" si="1"/>
        <v>#N/A</v>
      </c>
      <c r="V13" s="1567" t="s">
        <v>8</v>
      </c>
      <c r="W13" s="1568" t="e">
        <f t="shared" si="2"/>
        <v>#N/A</v>
      </c>
      <c r="X13" s="1569"/>
      <c r="Y13" s="3384"/>
      <c r="Z13" s="1148" t="str">
        <f t="shared" si="7"/>
        <v>容积率</v>
      </c>
      <c r="AA13" s="1570" t="e">
        <f t="shared" si="3"/>
        <v>#N/A</v>
      </c>
      <c r="AB13" s="1570" t="e">
        <f t="shared" si="4"/>
        <v>#N/A</v>
      </c>
      <c r="AC13" s="1570" t="e">
        <f t="shared" si="5"/>
        <v>#N/A</v>
      </c>
    </row>
    <row r="14" spans="1:30" s="1218" customFormat="1" ht="20.25">
      <c r="A14" s="2937"/>
      <c r="B14" s="2946" t="s">
        <v>2763</v>
      </c>
      <c r="C14" s="2933"/>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488"/>
      <c r="Q14" s="1149" t="str">
        <f t="shared" si="6"/>
        <v>配建</v>
      </c>
      <c r="R14" s="1567" t="s">
        <v>8</v>
      </c>
      <c r="S14" s="1568">
        <f t="shared" si="0"/>
        <v>100</v>
      </c>
      <c r="T14" s="1567" t="s">
        <v>8</v>
      </c>
      <c r="U14" s="1568">
        <f t="shared" si="1"/>
        <v>100</v>
      </c>
      <c r="V14" s="1567" t="s">
        <v>8</v>
      </c>
      <c r="W14" s="1568">
        <f t="shared" si="2"/>
        <v>100</v>
      </c>
      <c r="X14" s="1569"/>
      <c r="Y14" s="3384"/>
      <c r="Z14" s="1148" t="str">
        <f t="shared" si="7"/>
        <v>配建</v>
      </c>
      <c r="AA14" s="1570">
        <f>D14/F14</f>
        <v>1</v>
      </c>
      <c r="AB14" s="1570">
        <f>D14/H14</f>
        <v>1</v>
      </c>
      <c r="AC14" s="1570">
        <f>D14/J14</f>
        <v>1</v>
      </c>
    </row>
    <row r="15" spans="1:30" ht="20.25">
      <c r="A15" s="2941"/>
      <c r="B15" s="2947">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488"/>
      <c r="Q15" s="1149">
        <f t="shared" si="6"/>
        <v>111</v>
      </c>
      <c r="R15" s="1567" t="s">
        <v>8</v>
      </c>
      <c r="S15" s="1568">
        <f t="shared" si="0"/>
        <v>100</v>
      </c>
      <c r="T15" s="1567" t="s">
        <v>8</v>
      </c>
      <c r="U15" s="1568">
        <f t="shared" si="1"/>
        <v>100</v>
      </c>
      <c r="V15" s="1567" t="s">
        <v>8</v>
      </c>
      <c r="W15" s="1568">
        <f t="shared" si="2"/>
        <v>100</v>
      </c>
      <c r="X15" s="1569"/>
      <c r="Y15" s="3384"/>
      <c r="Z15" s="1148">
        <f t="shared" si="7"/>
        <v>111</v>
      </c>
      <c r="AA15" s="1570">
        <f>D15/F15</f>
        <v>1</v>
      </c>
      <c r="AB15" s="1570">
        <f>D15/H15</f>
        <v>1</v>
      </c>
      <c r="AC15" s="1570">
        <f>D15/J15</f>
        <v>1</v>
      </c>
    </row>
    <row r="16" spans="1:30" ht="21" thickBot="1">
      <c r="A16" s="2942"/>
      <c r="B16" s="2948">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488"/>
      <c r="Q16" s="1149">
        <f t="shared" si="6"/>
        <v>111</v>
      </c>
      <c r="R16" s="1567" t="s">
        <v>8</v>
      </c>
      <c r="S16" s="1568">
        <f t="shared" si="0"/>
        <v>100</v>
      </c>
      <c r="T16" s="1567" t="s">
        <v>8</v>
      </c>
      <c r="U16" s="1568">
        <f t="shared" si="1"/>
        <v>100</v>
      </c>
      <c r="V16" s="1567" t="s">
        <v>8</v>
      </c>
      <c r="W16" s="1568">
        <f t="shared" si="2"/>
        <v>100</v>
      </c>
      <c r="X16" s="1569"/>
      <c r="Y16" s="3384"/>
      <c r="Z16" s="1148">
        <f t="shared" si="7"/>
        <v>111</v>
      </c>
      <c r="AA16" s="1570">
        <f>D16/F16</f>
        <v>1</v>
      </c>
      <c r="AB16" s="1570">
        <f>D16/H16</f>
        <v>1</v>
      </c>
      <c r="AC16" s="1570">
        <f>D16/J16</f>
        <v>1</v>
      </c>
    </row>
    <row r="17" spans="1:29" ht="99.75">
      <c r="A17" s="2934"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490" t="s">
        <v>540</v>
      </c>
      <c r="Q17" s="1571" t="str">
        <f t="shared" si="6"/>
        <v>居住社区成熟度</v>
      </c>
      <c r="R17" s="1572" t="s">
        <v>8</v>
      </c>
      <c r="S17" s="1573">
        <f t="shared" si="0"/>
        <v>100</v>
      </c>
      <c r="T17" s="1572" t="s">
        <v>8</v>
      </c>
      <c r="U17" s="1573">
        <f t="shared" si="1"/>
        <v>100</v>
      </c>
      <c r="V17" s="1572" t="s">
        <v>8</v>
      </c>
      <c r="W17" s="1573">
        <f t="shared" si="2"/>
        <v>100</v>
      </c>
      <c r="X17" s="1566"/>
      <c r="Y17" s="3490"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491"/>
      <c r="Q18" s="1571"/>
      <c r="R18" s="1572"/>
      <c r="S18" s="1573"/>
      <c r="T18" s="1572"/>
      <c r="U18" s="1573"/>
      <c r="V18" s="1572"/>
      <c r="W18" s="1573"/>
      <c r="X18" s="1566"/>
      <c r="Y18" s="3491"/>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491"/>
      <c r="Q19" s="1571" t="str">
        <f>B19</f>
        <v>商业繁华度</v>
      </c>
      <c r="R19" s="1572" t="s">
        <v>8</v>
      </c>
      <c r="S19" s="1573">
        <f>F19</f>
        <v>100</v>
      </c>
      <c r="T19" s="1572" t="s">
        <v>8</v>
      </c>
      <c r="U19" s="1573">
        <f>H19</f>
        <v>100</v>
      </c>
      <c r="V19" s="1572" t="s">
        <v>8</v>
      </c>
      <c r="W19" s="1573">
        <f>J19</f>
        <v>100</v>
      </c>
      <c r="X19" s="1566"/>
      <c r="Y19" s="3491"/>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491"/>
      <c r="Q20" s="1571"/>
      <c r="R20" s="1572"/>
      <c r="S20" s="1573"/>
      <c r="T20" s="1572"/>
      <c r="U20" s="1573"/>
      <c r="V20" s="1572"/>
      <c r="W20" s="1573"/>
      <c r="X20" s="1566"/>
      <c r="Y20" s="3491"/>
      <c r="Z20" s="1574"/>
      <c r="AA20" s="1575">
        <v>1</v>
      </c>
      <c r="AB20" s="1575">
        <v>1</v>
      </c>
      <c r="AC20" s="1575">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491"/>
      <c r="Q21" s="1571" t="str">
        <f>B21</f>
        <v>办公集聚程度</v>
      </c>
      <c r="R21" s="1572" t="s">
        <v>8</v>
      </c>
      <c r="S21" s="1573">
        <f>F21</f>
        <v>100</v>
      </c>
      <c r="T21" s="1572" t="s">
        <v>8</v>
      </c>
      <c r="U21" s="1573">
        <f>H21</f>
        <v>100</v>
      </c>
      <c r="V21" s="1572" t="s">
        <v>8</v>
      </c>
      <c r="W21" s="1573">
        <f>J21</f>
        <v>100</v>
      </c>
      <c r="X21" s="1566"/>
      <c r="Y21" s="3491"/>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491"/>
      <c r="Q22" s="1571"/>
      <c r="R22" s="1572"/>
      <c r="S22" s="1573"/>
      <c r="T22" s="1572"/>
      <c r="U22" s="1573"/>
      <c r="V22" s="1572"/>
      <c r="W22" s="1573"/>
      <c r="X22" s="1566"/>
      <c r="Y22" s="3491"/>
      <c r="Z22" s="1574"/>
      <c r="AA22" s="1575">
        <v>1</v>
      </c>
      <c r="AB22" s="1575">
        <v>1</v>
      </c>
      <c r="AC22" s="1575">
        <v>1</v>
      </c>
    </row>
    <row r="23" spans="1:29" ht="85.5">
      <c r="A23" s="530"/>
      <c r="B23" s="558" t="s">
        <v>543</v>
      </c>
      <c r="C23" s="571" t="str">
        <f>估价对象房地状况!C18</f>
        <v>估价对象周边道路状况、公共交通通达情况、停车便捷程度，综合评价交通便捷度好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491"/>
      <c r="Q23" s="1571" t="str">
        <f>B23</f>
        <v>交通便捷度</v>
      </c>
      <c r="R23" s="1572" t="s">
        <v>8</v>
      </c>
      <c r="S23" s="1573">
        <f>F23</f>
        <v>100</v>
      </c>
      <c r="T23" s="1572" t="s">
        <v>8</v>
      </c>
      <c r="U23" s="1573">
        <f>H23</f>
        <v>100</v>
      </c>
      <c r="V23" s="1572" t="s">
        <v>8</v>
      </c>
      <c r="W23" s="1573">
        <f>J23</f>
        <v>100</v>
      </c>
      <c r="X23" s="1566"/>
      <c r="Y23" s="3491"/>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491"/>
      <c r="Q24" s="1571"/>
      <c r="R24" s="1572"/>
      <c r="S24" s="1573"/>
      <c r="T24" s="1572"/>
      <c r="U24" s="1573"/>
      <c r="V24" s="1572"/>
      <c r="W24" s="1573"/>
      <c r="X24" s="1566"/>
      <c r="Y24" s="3491"/>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491"/>
      <c r="Q25" s="1571" t="str">
        <f t="shared" ref="Q25:Q39" si="8">B25</f>
        <v>区域土地利用方向</v>
      </c>
      <c r="R25" s="1572" t="s">
        <v>8</v>
      </c>
      <c r="S25" s="1573">
        <f>F25</f>
        <v>100</v>
      </c>
      <c r="T25" s="1572" t="s">
        <v>8</v>
      </c>
      <c r="U25" s="1573">
        <f>H25</f>
        <v>100</v>
      </c>
      <c r="V25" s="1572" t="s">
        <v>8</v>
      </c>
      <c r="W25" s="1573">
        <f>J25</f>
        <v>100</v>
      </c>
      <c r="X25" s="1566"/>
      <c r="Y25" s="3491"/>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491"/>
      <c r="Q26" s="1571"/>
      <c r="R26" s="1572"/>
      <c r="S26" s="1573"/>
      <c r="T26" s="1572"/>
      <c r="U26" s="1573"/>
      <c r="V26" s="1572"/>
      <c r="W26" s="1573"/>
      <c r="X26" s="1566"/>
      <c r="Y26" s="3491"/>
      <c r="Z26" s="1574"/>
      <c r="AA26" s="1575"/>
      <c r="AB26" s="1575"/>
      <c r="AC26" s="1575"/>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491"/>
      <c r="Q27" s="1571" t="str">
        <f t="shared" si="8"/>
        <v>自然及人文环境状况</v>
      </c>
      <c r="R27" s="1572" t="s">
        <v>8</v>
      </c>
      <c r="S27" s="1573">
        <f>F27</f>
        <v>100</v>
      </c>
      <c r="T27" s="1572" t="s">
        <v>8</v>
      </c>
      <c r="U27" s="1573">
        <f>H27</f>
        <v>100</v>
      </c>
      <c r="V27" s="1572" t="s">
        <v>8</v>
      </c>
      <c r="W27" s="1573">
        <f>J27</f>
        <v>100</v>
      </c>
      <c r="X27" s="1566"/>
      <c r="Y27" s="3491"/>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491"/>
      <c r="Q28" s="1571"/>
      <c r="R28" s="1572"/>
      <c r="S28" s="1573"/>
      <c r="T28" s="1572"/>
      <c r="U28" s="1573"/>
      <c r="V28" s="1572"/>
      <c r="W28" s="1573"/>
      <c r="X28" s="1566"/>
      <c r="Y28" s="3491"/>
      <c r="Z28" s="1574"/>
      <c r="AA28" s="1575">
        <v>1</v>
      </c>
      <c r="AB28" s="1575">
        <v>1</v>
      </c>
      <c r="AC28" s="1575">
        <v>1</v>
      </c>
    </row>
    <row r="29" spans="1:29" s="1218" customFormat="1" ht="42.75">
      <c r="A29" s="575"/>
      <c r="B29" s="2615" t="s">
        <v>2552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491"/>
      <c r="Q29" s="1149" t="str">
        <f t="shared" si="8"/>
        <v>公共配套设施</v>
      </c>
      <c r="R29" s="1567" t="s">
        <v>8</v>
      </c>
      <c r="S29" s="1568">
        <f>F29</f>
        <v>100</v>
      </c>
      <c r="T29" s="1567" t="s">
        <v>8</v>
      </c>
      <c r="U29" s="1568">
        <f>H29</f>
        <v>100</v>
      </c>
      <c r="V29" s="1567" t="s">
        <v>8</v>
      </c>
      <c r="W29" s="1568">
        <f>J29</f>
        <v>100</v>
      </c>
      <c r="X29" s="1569"/>
      <c r="Y29" s="3491"/>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491"/>
      <c r="Q30" s="1149"/>
      <c r="R30" s="1567"/>
      <c r="S30" s="1568"/>
      <c r="T30" s="1567"/>
      <c r="U30" s="1568"/>
      <c r="V30" s="1567"/>
      <c r="W30" s="1568"/>
      <c r="X30" s="1569"/>
      <c r="Y30" s="3491"/>
      <c r="Z30" s="1148"/>
      <c r="AA30" s="1575">
        <v>1</v>
      </c>
      <c r="AB30" s="1575">
        <v>1</v>
      </c>
      <c r="AC30" s="1575">
        <v>1</v>
      </c>
    </row>
    <row r="31" spans="1:29" s="1218" customFormat="1" ht="28.5">
      <c r="A31" s="575"/>
      <c r="B31" s="2615" t="s">
        <v>2553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491"/>
      <c r="Q31" s="2602" t="str">
        <f t="shared" ref="Q31" si="9">B31</f>
        <v>基础设施水平</v>
      </c>
      <c r="R31" s="1567" t="s">
        <v>8</v>
      </c>
      <c r="S31" s="1568">
        <f>F31</f>
        <v>100</v>
      </c>
      <c r="T31" s="1567" t="s">
        <v>8</v>
      </c>
      <c r="U31" s="1568">
        <f>H31</f>
        <v>100</v>
      </c>
      <c r="V31" s="1567" t="s">
        <v>8</v>
      </c>
      <c r="W31" s="1568">
        <f>J31</f>
        <v>100</v>
      </c>
      <c r="X31" s="1569"/>
      <c r="Y31" s="3491"/>
      <c r="Z31" s="2599" t="str">
        <f>Q31</f>
        <v>基础设施水平</v>
      </c>
      <c r="AA31" s="1575">
        <f>D31/F31</f>
        <v>1</v>
      </c>
      <c r="AB31" s="1575">
        <f>D31/H31</f>
        <v>1</v>
      </c>
      <c r="AC31" s="1575">
        <f>D31/J31</f>
        <v>1</v>
      </c>
    </row>
    <row r="32" spans="1:29" s="1218" customFormat="1" ht="20.25">
      <c r="A32" s="575"/>
      <c r="B32" s="564"/>
      <c r="C32" s="577"/>
      <c r="D32" s="555"/>
      <c r="E32" s="2616"/>
      <c r="F32" s="553"/>
      <c r="G32" s="577"/>
      <c r="H32" s="553"/>
      <c r="I32" s="577"/>
      <c r="J32" s="553"/>
      <c r="K32" s="529"/>
      <c r="L32" s="2135"/>
      <c r="M32" s="2132"/>
      <c r="N32" s="2132"/>
      <c r="O32" s="2137"/>
      <c r="P32" s="3491"/>
      <c r="Q32" s="2602"/>
      <c r="R32" s="1567"/>
      <c r="S32" s="1568"/>
      <c r="T32" s="1567"/>
      <c r="U32" s="1568"/>
      <c r="V32" s="1567"/>
      <c r="W32" s="1568"/>
      <c r="X32" s="1569"/>
      <c r="Y32" s="3491"/>
      <c r="Z32" s="2599"/>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49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91"/>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491"/>
      <c r="Q34" s="1571" t="str">
        <f t="shared" si="8"/>
        <v>毗邻道路的类型与等级</v>
      </c>
      <c r="R34" s="1572" t="s">
        <v>8</v>
      </c>
      <c r="S34" s="1573">
        <f t="shared" si="10"/>
        <v>100</v>
      </c>
      <c r="T34" s="1572" t="s">
        <v>8</v>
      </c>
      <c r="U34" s="1573">
        <f t="shared" si="11"/>
        <v>100</v>
      </c>
      <c r="V34" s="1572" t="s">
        <v>8</v>
      </c>
      <c r="W34" s="1573">
        <f t="shared" si="12"/>
        <v>100</v>
      </c>
      <c r="X34" s="1566"/>
      <c r="Y34" s="3491"/>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491"/>
      <c r="Q35" s="1571"/>
      <c r="R35" s="1572"/>
      <c r="S35" s="1573"/>
      <c r="T35" s="1572"/>
      <c r="U35" s="1573"/>
      <c r="V35" s="1572"/>
      <c r="W35" s="1573"/>
      <c r="X35" s="1566"/>
      <c r="Y35" s="3491"/>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491"/>
      <c r="Q36" s="1571" t="str">
        <f t="shared" si="8"/>
        <v>土地级别</v>
      </c>
      <c r="R36" s="1572" t="s">
        <v>8</v>
      </c>
      <c r="S36" s="1573">
        <f t="shared" si="10"/>
        <v>100</v>
      </c>
      <c r="T36" s="1572" t="s">
        <v>8</v>
      </c>
      <c r="U36" s="1573">
        <f t="shared" si="11"/>
        <v>100</v>
      </c>
      <c r="V36" s="1572" t="s">
        <v>8</v>
      </c>
      <c r="W36" s="1573">
        <f t="shared" si="12"/>
        <v>100</v>
      </c>
      <c r="X36" s="1566"/>
      <c r="Y36" s="3491"/>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491"/>
      <c r="Q37" s="1571">
        <f t="shared" si="8"/>
        <v>111</v>
      </c>
      <c r="R37" s="1572" t="s">
        <v>8</v>
      </c>
      <c r="S37" s="1573">
        <f t="shared" si="10"/>
        <v>100</v>
      </c>
      <c r="T37" s="1572" t="s">
        <v>8</v>
      </c>
      <c r="U37" s="1573">
        <f t="shared" si="11"/>
        <v>100</v>
      </c>
      <c r="V37" s="1572" t="s">
        <v>8</v>
      </c>
      <c r="W37" s="1573">
        <f t="shared" si="12"/>
        <v>100</v>
      </c>
      <c r="X37" s="1566"/>
      <c r="Y37" s="3491"/>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492" t="s">
        <v>550</v>
      </c>
      <c r="Q38" s="1571">
        <f t="shared" si="8"/>
        <v>111</v>
      </c>
      <c r="R38" s="1572" t="s">
        <v>8</v>
      </c>
      <c r="S38" s="1573">
        <f t="shared" si="10"/>
        <v>100</v>
      </c>
      <c r="T38" s="1572" t="s">
        <v>8</v>
      </c>
      <c r="U38" s="1573">
        <f t="shared" si="11"/>
        <v>100</v>
      </c>
      <c r="V38" s="1572" t="s">
        <v>8</v>
      </c>
      <c r="W38" s="1573">
        <f t="shared" si="12"/>
        <v>100</v>
      </c>
      <c r="X38" s="1566"/>
      <c r="Y38" s="3493"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493"/>
      <c r="Q39" s="1571">
        <f t="shared" si="8"/>
        <v>111</v>
      </c>
      <c r="R39" s="1576" t="s">
        <v>8</v>
      </c>
      <c r="S39" s="1577">
        <f t="shared" si="10"/>
        <v>100</v>
      </c>
      <c r="T39" s="1576" t="s">
        <v>8</v>
      </c>
      <c r="U39" s="1577">
        <f t="shared" si="11"/>
        <v>100</v>
      </c>
      <c r="V39" s="1576" t="s">
        <v>8</v>
      </c>
      <c r="W39" s="1577">
        <f t="shared" si="12"/>
        <v>100</v>
      </c>
      <c r="X39" s="1578"/>
      <c r="Y39" s="3493"/>
      <c r="Z39" s="1579">
        <f t="shared" si="13"/>
        <v>111</v>
      </c>
      <c r="AA39" s="1575">
        <f t="shared" si="3"/>
        <v>1</v>
      </c>
      <c r="AB39" s="1575">
        <f t="shared" si="4"/>
        <v>1</v>
      </c>
      <c r="AC39" s="1575">
        <f t="shared" si="5"/>
        <v>1</v>
      </c>
    </row>
    <row r="40" spans="1:29" ht="20.25">
      <c r="A40" s="2931"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493"/>
      <c r="Q40" s="1571" t="str">
        <f>B40</f>
        <v>宗地面积</v>
      </c>
      <c r="R40" s="1572" t="s">
        <v>8</v>
      </c>
      <c r="S40" s="1573" t="e">
        <f t="shared" si="10"/>
        <v>#N/A</v>
      </c>
      <c r="T40" s="1572" t="s">
        <v>8</v>
      </c>
      <c r="U40" s="1573" t="e">
        <f t="shared" si="11"/>
        <v>#N/A</v>
      </c>
      <c r="V40" s="1572" t="s">
        <v>8</v>
      </c>
      <c r="W40" s="1573" t="e">
        <f t="shared" si="12"/>
        <v>#N/A</v>
      </c>
      <c r="X40" s="1566"/>
      <c r="Y40" s="3493"/>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493"/>
      <c r="Q41" s="1571" t="str">
        <f t="shared" ref="Q41:Q47" si="14">B41</f>
        <v>宗地形状</v>
      </c>
      <c r="R41" s="1572" t="s">
        <v>8</v>
      </c>
      <c r="S41" s="1573">
        <f t="shared" si="10"/>
        <v>100</v>
      </c>
      <c r="T41" s="1572" t="s">
        <v>8</v>
      </c>
      <c r="U41" s="1573">
        <f t="shared" si="11"/>
        <v>100</v>
      </c>
      <c r="V41" s="1572" t="s">
        <v>8</v>
      </c>
      <c r="W41" s="1573">
        <f t="shared" si="12"/>
        <v>100</v>
      </c>
      <c r="X41" s="1566"/>
      <c r="Y41" s="3493"/>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493"/>
      <c r="Q42" s="1571" t="str">
        <f t="shared" si="14"/>
        <v>临街宽度及深度</v>
      </c>
      <c r="R42" s="1572" t="s">
        <v>8</v>
      </c>
      <c r="S42" s="1573">
        <f t="shared" si="10"/>
        <v>100</v>
      </c>
      <c r="T42" s="1572" t="s">
        <v>8</v>
      </c>
      <c r="U42" s="1573">
        <f t="shared" si="11"/>
        <v>100</v>
      </c>
      <c r="V42" s="1572" t="s">
        <v>8</v>
      </c>
      <c r="W42" s="1573">
        <f t="shared" si="12"/>
        <v>100</v>
      </c>
      <c r="X42" s="1566"/>
      <c r="Y42" s="3493"/>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493"/>
      <c r="Q43" s="1571" t="str">
        <f t="shared" si="14"/>
        <v>宗地开发程度</v>
      </c>
      <c r="R43" s="1567" t="s">
        <v>8</v>
      </c>
      <c r="S43" s="1568">
        <f t="shared" si="10"/>
        <v>100</v>
      </c>
      <c r="T43" s="1567" t="s">
        <v>8</v>
      </c>
      <c r="U43" s="1568">
        <f t="shared" si="11"/>
        <v>100</v>
      </c>
      <c r="V43" s="1567" t="s">
        <v>8</v>
      </c>
      <c r="W43" s="1568">
        <f t="shared" si="12"/>
        <v>100</v>
      </c>
      <c r="X43" s="1569"/>
      <c r="Y43" s="3493"/>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493" t="s">
        <v>550</v>
      </c>
      <c r="Q44" s="1571" t="str">
        <f t="shared" si="14"/>
        <v>工程地质条件</v>
      </c>
      <c r="R44" s="1572" t="s">
        <v>8</v>
      </c>
      <c r="S44" s="1573">
        <f t="shared" si="10"/>
        <v>100</v>
      </c>
      <c r="T44" s="1572" t="s">
        <v>8</v>
      </c>
      <c r="U44" s="1573">
        <f t="shared" si="11"/>
        <v>100</v>
      </c>
      <c r="V44" s="1572" t="s">
        <v>8</v>
      </c>
      <c r="W44" s="1573">
        <f t="shared" si="12"/>
        <v>100</v>
      </c>
      <c r="X44" s="1566"/>
      <c r="Y44" s="3493"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493"/>
      <c r="Q45" s="1571">
        <f t="shared" si="14"/>
        <v>111</v>
      </c>
      <c r="R45" s="1572" t="s">
        <v>8</v>
      </c>
      <c r="S45" s="1573">
        <f t="shared" si="10"/>
        <v>100</v>
      </c>
      <c r="T45" s="1572" t="s">
        <v>8</v>
      </c>
      <c r="U45" s="1573">
        <f t="shared" si="11"/>
        <v>100</v>
      </c>
      <c r="V45" s="1572" t="s">
        <v>8</v>
      </c>
      <c r="W45" s="1573">
        <f t="shared" si="12"/>
        <v>100</v>
      </c>
      <c r="X45" s="1566"/>
      <c r="Y45" s="3493"/>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493"/>
      <c r="Q46" s="1571">
        <f t="shared" si="14"/>
        <v>111</v>
      </c>
      <c r="R46" s="1572" t="s">
        <v>8</v>
      </c>
      <c r="S46" s="1573">
        <f t="shared" si="10"/>
        <v>100</v>
      </c>
      <c r="T46" s="1572" t="s">
        <v>8</v>
      </c>
      <c r="U46" s="1573">
        <f t="shared" si="11"/>
        <v>100</v>
      </c>
      <c r="V46" s="1572" t="s">
        <v>8</v>
      </c>
      <c r="W46" s="1573">
        <f t="shared" si="12"/>
        <v>100</v>
      </c>
      <c r="X46" s="1566"/>
      <c r="Y46" s="3493"/>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493"/>
      <c r="Q47" s="1571">
        <f t="shared" si="14"/>
        <v>111</v>
      </c>
      <c r="R47" s="1576" t="s">
        <v>8</v>
      </c>
      <c r="S47" s="1577">
        <f t="shared" si="10"/>
        <v>100</v>
      </c>
      <c r="T47" s="1576" t="s">
        <v>8</v>
      </c>
      <c r="U47" s="1577">
        <f t="shared" si="11"/>
        <v>100</v>
      </c>
      <c r="V47" s="1576" t="s">
        <v>8</v>
      </c>
      <c r="W47" s="1577">
        <f t="shared" si="12"/>
        <v>100</v>
      </c>
      <c r="X47" s="1578"/>
      <c r="Y47" s="3493"/>
      <c r="Z47" s="1579">
        <f t="shared" si="13"/>
        <v>111</v>
      </c>
      <c r="AA47" s="1575">
        <f t="shared" si="3"/>
        <v>1</v>
      </c>
      <c r="AB47" s="1575">
        <f t="shared" si="4"/>
        <v>1</v>
      </c>
      <c r="AC47" s="1575">
        <f t="shared" si="5"/>
        <v>1</v>
      </c>
    </row>
    <row r="48" spans="1:29" ht="20.25">
      <c r="A48" s="605" t="s">
        <v>556</v>
      </c>
      <c r="B48" s="606" t="s">
        <v>2938</v>
      </c>
      <c r="C48" s="607" t="s">
        <v>1</v>
      </c>
      <c r="D48" s="608"/>
      <c r="E48" s="609"/>
      <c r="F48" s="610"/>
      <c r="G48" s="611"/>
      <c r="H48" s="612"/>
      <c r="I48" s="609"/>
      <c r="J48" s="612"/>
      <c r="K48" s="1338"/>
      <c r="L48" s="2144"/>
      <c r="M48" s="2132"/>
      <c r="N48" s="2132"/>
      <c r="O48" s="2145"/>
      <c r="P48" s="3488" t="str">
        <f>A48</f>
        <v>成交单价</v>
      </c>
      <c r="Q48" s="3488"/>
      <c r="R48" s="3502">
        <f>E48</f>
        <v>0</v>
      </c>
      <c r="S48" s="3502"/>
      <c r="T48" s="3502">
        <f>G48</f>
        <v>0</v>
      </c>
      <c r="U48" s="3502"/>
      <c r="V48" s="3502">
        <f>I48</f>
        <v>0</v>
      </c>
      <c r="W48" s="3502"/>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488" t="str">
        <f>A49</f>
        <v>比较价格（元/平方米）</v>
      </c>
      <c r="Q49" s="3488"/>
      <c r="R49" s="3512" t="e">
        <f>ROUND(PRODUCT(R48,AA9:AA47),0)</f>
        <v>#DIV/0!</v>
      </c>
      <c r="S49" s="3512"/>
      <c r="T49" s="3512" t="e">
        <f>ROUND(PRODUCT(T48,AB9:AB47),0)</f>
        <v>#DIV/0!</v>
      </c>
      <c r="U49" s="3512"/>
      <c r="V49" s="3512" t="e">
        <f>ROUND(PRODUCT(V48,AC9:AC47),0)</f>
        <v>#DIV/0!</v>
      </c>
      <c r="W49" s="3512"/>
      <c r="X49" s="1558"/>
      <c r="Y49" s="1558"/>
      <c r="Z49" s="1558"/>
      <c r="AA49" s="1558"/>
      <c r="AB49" s="1558"/>
      <c r="AC49" s="1558"/>
    </row>
    <row r="50" spans="1:29" ht="21" thickBot="1">
      <c r="A50" s="619" t="s">
        <v>2939</v>
      </c>
      <c r="B50" s="620"/>
      <c r="C50" s="621" t="e">
        <f>R50</f>
        <v>#DIV/0!</v>
      </c>
      <c r="D50" s="621"/>
      <c r="E50" s="621"/>
      <c r="F50" s="621"/>
      <c r="G50" s="621"/>
      <c r="H50" s="621"/>
      <c r="I50" s="621"/>
      <c r="J50" s="621"/>
      <c r="K50" s="1340"/>
      <c r="L50" s="2144"/>
      <c r="M50" s="2132"/>
      <c r="N50" s="2132"/>
      <c r="O50" s="2145"/>
      <c r="P50" s="3509" t="str">
        <f>A50</f>
        <v>估价对象XX用房的比较价格（楼面单价，元/平方米）</v>
      </c>
      <c r="Q50" s="3510"/>
      <c r="R50" s="3511" t="e">
        <f>ROUND(AVERAGE(R49:V49),0)</f>
        <v>#DIV/0!</v>
      </c>
      <c r="S50" s="3511"/>
      <c r="T50" s="3511"/>
      <c r="U50" s="3511"/>
      <c r="V50" s="3511"/>
      <c r="W50" s="351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472" t="s">
        <v>2284</v>
      </c>
      <c r="H57" s="3473"/>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474"/>
      <c r="H58" s="347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476"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47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47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47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2536</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30"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6"/>
      <c r="N73" s="2817"/>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21" t="s">
        <v>2554</v>
      </c>
      <c r="C104" s="2622" t="s">
        <v>2555</v>
      </c>
      <c r="D104" s="2622" t="s">
        <v>2556</v>
      </c>
      <c r="E104" s="2622" t="s">
        <v>2557</v>
      </c>
      <c r="F104" s="2622" t="s">
        <v>2558</v>
      </c>
      <c r="G104" s="2622"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494" t="s">
        <v>522</v>
      </c>
      <c r="D6" s="3495"/>
      <c r="E6" s="3518" t="s">
        <v>523</v>
      </c>
      <c r="F6" s="3519"/>
      <c r="G6" s="3494" t="s">
        <v>524</v>
      </c>
      <c r="H6" s="3495"/>
      <c r="I6" s="3494" t="s">
        <v>525</v>
      </c>
      <c r="J6" s="3495"/>
      <c r="K6" s="512" t="s">
        <v>526</v>
      </c>
      <c r="L6" s="2133"/>
      <c r="M6" s="2134"/>
      <c r="N6" s="2134"/>
      <c r="O6" s="2134"/>
      <c r="P6" s="3496" t="s">
        <v>527</v>
      </c>
      <c r="Q6" s="3497"/>
      <c r="R6" s="3482" t="s">
        <v>523</v>
      </c>
      <c r="S6" s="3483"/>
      <c r="T6" s="3482" t="s">
        <v>524</v>
      </c>
      <c r="U6" s="3483"/>
      <c r="V6" s="3502" t="s">
        <v>525</v>
      </c>
      <c r="W6" s="3502"/>
      <c r="X6" s="1566"/>
      <c r="Y6" s="3482" t="s">
        <v>527</v>
      </c>
      <c r="Z6" s="3483"/>
      <c r="AA6" s="3477" t="s">
        <v>523</v>
      </c>
      <c r="AB6" s="3478" t="s">
        <v>524</v>
      </c>
      <c r="AC6" s="3477" t="s">
        <v>525</v>
      </c>
    </row>
    <row r="7" spans="1:29" ht="15">
      <c r="A7" s="513"/>
      <c r="B7" s="514"/>
      <c r="C7" s="3505" t="s">
        <v>2933</v>
      </c>
      <c r="D7" s="3506"/>
      <c r="E7" s="3520" t="s">
        <v>2934</v>
      </c>
      <c r="F7" s="3521"/>
      <c r="G7" s="3505" t="s">
        <v>2935</v>
      </c>
      <c r="H7" s="3506"/>
      <c r="I7" s="3505" t="s">
        <v>2936</v>
      </c>
      <c r="J7" s="3506"/>
      <c r="K7" s="512"/>
      <c r="L7" s="2133"/>
      <c r="M7" s="2134"/>
      <c r="N7" s="2134"/>
      <c r="O7" s="2134"/>
      <c r="P7" s="3498"/>
      <c r="Q7" s="3499"/>
      <c r="R7" s="3484"/>
      <c r="S7" s="3485"/>
      <c r="T7" s="3484"/>
      <c r="U7" s="3485"/>
      <c r="V7" s="3502"/>
      <c r="W7" s="3502"/>
      <c r="X7" s="1566"/>
      <c r="Y7" s="3484"/>
      <c r="Z7" s="3485"/>
      <c r="AA7" s="3478"/>
      <c r="AB7" s="3478"/>
      <c r="AC7" s="3478"/>
    </row>
    <row r="8" spans="1:29" ht="15.75" thickBot="1">
      <c r="A8" s="515"/>
      <c r="B8" s="516"/>
      <c r="C8" s="3503" t="s">
        <v>2937</v>
      </c>
      <c r="D8" s="3504"/>
      <c r="E8" s="3522" t="s">
        <v>2937</v>
      </c>
      <c r="F8" s="3523"/>
      <c r="G8" s="3503" t="s">
        <v>2937</v>
      </c>
      <c r="H8" s="3504"/>
      <c r="I8" s="3503" t="s">
        <v>2937</v>
      </c>
      <c r="J8" s="3504"/>
      <c r="K8" s="512" t="s">
        <v>528</v>
      </c>
      <c r="L8" s="2133"/>
      <c r="M8" s="2134"/>
      <c r="N8" s="2134"/>
      <c r="O8" s="2134"/>
      <c r="P8" s="3500"/>
      <c r="Q8" s="3501"/>
      <c r="R8" s="3484"/>
      <c r="S8" s="3485"/>
      <c r="T8" s="3486"/>
      <c r="U8" s="3487"/>
      <c r="V8" s="3502"/>
      <c r="W8" s="3502"/>
      <c r="X8" s="1566"/>
      <c r="Y8" s="3486"/>
      <c r="Z8" s="3487"/>
      <c r="AA8" s="3479"/>
      <c r="AB8" s="3479"/>
      <c r="AC8" s="3479"/>
    </row>
    <row r="9" spans="1:29" s="1218" customFormat="1" ht="15.75" thickBot="1">
      <c r="A9" s="2936"/>
      <c r="B9" s="2943"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480" t="s">
        <v>530</v>
      </c>
      <c r="Q9" s="3489"/>
      <c r="R9" s="1567" t="s">
        <v>8</v>
      </c>
      <c r="S9" s="1568">
        <f t="shared" ref="S9:S17" si="0">F9</f>
        <v>0</v>
      </c>
      <c r="T9" s="1567" t="s">
        <v>8</v>
      </c>
      <c r="U9" s="1568">
        <f t="shared" ref="U9:U17" si="1">H9</f>
        <v>0</v>
      </c>
      <c r="V9" s="1567" t="s">
        <v>8</v>
      </c>
      <c r="W9" s="1568">
        <f t="shared" ref="W9:W17" si="2">J9</f>
        <v>0</v>
      </c>
      <c r="X9" s="1569"/>
      <c r="Y9" s="3480" t="s">
        <v>530</v>
      </c>
      <c r="Z9" s="3481"/>
      <c r="AA9" s="1570" t="e">
        <f>D9/F9</f>
        <v>#DIV/0!</v>
      </c>
      <c r="AB9" s="1570" t="e">
        <f>D9/H9</f>
        <v>#DIV/0!</v>
      </c>
      <c r="AC9" s="1570" t="e">
        <f>D9/J9</f>
        <v>#DIV/0!</v>
      </c>
    </row>
    <row r="10" spans="1:29" s="1218" customFormat="1" ht="15.75" thickBot="1">
      <c r="A10" s="2937"/>
      <c r="B10" s="294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480" t="s">
        <v>533</v>
      </c>
      <c r="Q10" s="3481"/>
      <c r="R10" s="1567" t="s">
        <v>8</v>
      </c>
      <c r="S10" s="1568">
        <f t="shared" si="0"/>
        <v>0</v>
      </c>
      <c r="T10" s="1567" t="s">
        <v>8</v>
      </c>
      <c r="U10" s="1568">
        <f t="shared" si="1"/>
        <v>0</v>
      </c>
      <c r="V10" s="1567" t="s">
        <v>8</v>
      </c>
      <c r="W10" s="1568">
        <f t="shared" si="2"/>
        <v>0</v>
      </c>
      <c r="X10" s="1569"/>
      <c r="Y10" s="3480" t="s">
        <v>533</v>
      </c>
      <c r="Z10" s="3481"/>
      <c r="AA10" s="1570" t="e">
        <f t="shared" ref="AA10:AA42" si="3">D10/F10</f>
        <v>#DIV/0!</v>
      </c>
      <c r="AB10" s="1570" t="e">
        <f t="shared" ref="AB10:AB42" si="4">D10/H10</f>
        <v>#DIV/0!</v>
      </c>
      <c r="AC10" s="1570" t="e">
        <f t="shared" ref="AC10:AC42" si="5">D10/J10</f>
        <v>#DIV/0!</v>
      </c>
    </row>
    <row r="11" spans="1:29" s="1218" customFormat="1" ht="15">
      <c r="A11" s="2938"/>
      <c r="B11" s="2945"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488" t="s">
        <v>535</v>
      </c>
      <c r="Q11" s="1149" t="str">
        <f t="shared" ref="Q11:Q17" si="6">B11</f>
        <v>用途</v>
      </c>
      <c r="R11" s="1567" t="s">
        <v>8</v>
      </c>
      <c r="S11" s="1568">
        <f t="shared" si="0"/>
        <v>100</v>
      </c>
      <c r="T11" s="1567" t="s">
        <v>8</v>
      </c>
      <c r="U11" s="1568">
        <f t="shared" si="1"/>
        <v>100</v>
      </c>
      <c r="V11" s="1567" t="s">
        <v>8</v>
      </c>
      <c r="W11" s="1568">
        <f t="shared" si="2"/>
        <v>100</v>
      </c>
      <c r="X11" s="1569"/>
      <c r="Y11" s="3384" t="s">
        <v>536</v>
      </c>
      <c r="Z11" s="1148" t="str">
        <f t="shared" ref="Z11:Z17" si="7">Q11</f>
        <v>用途</v>
      </c>
      <c r="AA11" s="1570">
        <f t="shared" si="3"/>
        <v>1</v>
      </c>
      <c r="AB11" s="1570">
        <f t="shared" si="4"/>
        <v>1</v>
      </c>
      <c r="AC11" s="1570">
        <f t="shared" si="5"/>
        <v>1</v>
      </c>
    </row>
    <row r="12" spans="1:29" s="1336" customFormat="1" ht="27">
      <c r="A12" s="2939"/>
      <c r="B12" s="2944" t="s">
        <v>2761</v>
      </c>
      <c r="C12" s="526"/>
      <c r="D12" s="253">
        <v>100</v>
      </c>
      <c r="E12" s="526"/>
      <c r="F12" s="253">
        <f>ROUND(100/'数据-取费表'!G16,0)</f>
        <v>108</v>
      </c>
      <c r="G12" s="526"/>
      <c r="H12" s="253">
        <f>ROUND(100/'数据-取费表'!G16,0)</f>
        <v>108</v>
      </c>
      <c r="I12" s="526"/>
      <c r="J12" s="253">
        <f>ROUND(100/'数据-取费表'!G16,0)</f>
        <v>108</v>
      </c>
      <c r="K12" s="529"/>
      <c r="L12" s="2138"/>
      <c r="M12" s="2178"/>
      <c r="N12" s="2178"/>
      <c r="O12" s="2139"/>
      <c r="P12" s="3488"/>
      <c r="Q12" s="1149" t="str">
        <f t="shared" si="6"/>
        <v>土地使用年限（年）</v>
      </c>
      <c r="R12" s="1567" t="s">
        <v>8</v>
      </c>
      <c r="S12" s="1568">
        <f t="shared" si="0"/>
        <v>108</v>
      </c>
      <c r="T12" s="1567" t="s">
        <v>8</v>
      </c>
      <c r="U12" s="1568">
        <f t="shared" si="1"/>
        <v>108</v>
      </c>
      <c r="V12" s="1567" t="s">
        <v>8</v>
      </c>
      <c r="W12" s="1568">
        <f t="shared" si="2"/>
        <v>108</v>
      </c>
      <c r="X12" s="1569"/>
      <c r="Y12" s="3384"/>
      <c r="Z12" s="1148" t="str">
        <f t="shared" si="7"/>
        <v>土地使用年限（年）</v>
      </c>
      <c r="AA12" s="1570">
        <f t="shared" si="3"/>
        <v>0.92592592592592593</v>
      </c>
      <c r="AB12" s="1570">
        <f t="shared" si="4"/>
        <v>0.92592592592592593</v>
      </c>
      <c r="AC12" s="1570">
        <f t="shared" si="5"/>
        <v>0.92592592592592593</v>
      </c>
    </row>
    <row r="13" spans="1:29" ht="15">
      <c r="A13" s="2940"/>
      <c r="B13" s="2944"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488"/>
      <c r="Q13" s="1149" t="str">
        <f t="shared" si="6"/>
        <v>容积率</v>
      </c>
      <c r="R13" s="1567" t="s">
        <v>8</v>
      </c>
      <c r="S13" s="1568" t="e">
        <f t="shared" si="0"/>
        <v>#N/A</v>
      </c>
      <c r="T13" s="1567" t="s">
        <v>8</v>
      </c>
      <c r="U13" s="1568" t="e">
        <f t="shared" si="1"/>
        <v>#N/A</v>
      </c>
      <c r="V13" s="1567" t="s">
        <v>8</v>
      </c>
      <c r="W13" s="1568" t="e">
        <f t="shared" si="2"/>
        <v>#N/A</v>
      </c>
      <c r="X13" s="1569"/>
      <c r="Y13" s="3384"/>
      <c r="Z13" s="1148" t="str">
        <f t="shared" si="7"/>
        <v>容积率</v>
      </c>
      <c r="AA13" s="1570" t="e">
        <f t="shared" si="3"/>
        <v>#N/A</v>
      </c>
      <c r="AB13" s="1570" t="e">
        <f t="shared" si="4"/>
        <v>#N/A</v>
      </c>
      <c r="AC13" s="1570" t="e">
        <f t="shared" si="5"/>
        <v>#N/A</v>
      </c>
    </row>
    <row r="14" spans="1:29" s="1218" customFormat="1" ht="15">
      <c r="A14" s="2941"/>
      <c r="B14" s="2947">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488"/>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D14/F14</f>
        <v>1</v>
      </c>
      <c r="AB14" s="1570">
        <f>D14/H14</f>
        <v>1</v>
      </c>
      <c r="AC14" s="1570">
        <f>D14/J14</f>
        <v>1</v>
      </c>
    </row>
    <row r="15" spans="1:29" ht="15">
      <c r="A15" s="2941"/>
      <c r="B15" s="2947">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488"/>
      <c r="Q15" s="1149">
        <f t="shared" si="6"/>
        <v>111</v>
      </c>
      <c r="R15" s="1567" t="s">
        <v>8</v>
      </c>
      <c r="S15" s="1568">
        <f t="shared" si="0"/>
        <v>100</v>
      </c>
      <c r="T15" s="1567" t="s">
        <v>8</v>
      </c>
      <c r="U15" s="1568">
        <f t="shared" si="1"/>
        <v>100</v>
      </c>
      <c r="V15" s="1567" t="s">
        <v>8</v>
      </c>
      <c r="W15" s="1568">
        <f t="shared" si="2"/>
        <v>100</v>
      </c>
      <c r="X15" s="1569"/>
      <c r="Y15" s="3384"/>
      <c r="Z15" s="1148">
        <f t="shared" si="7"/>
        <v>111</v>
      </c>
      <c r="AA15" s="1570">
        <f t="shared" si="3"/>
        <v>1</v>
      </c>
      <c r="AB15" s="1570">
        <f t="shared" si="4"/>
        <v>1</v>
      </c>
      <c r="AC15" s="1570">
        <f t="shared" si="5"/>
        <v>1</v>
      </c>
    </row>
    <row r="16" spans="1:29" ht="15.75" thickBot="1">
      <c r="A16" s="2942"/>
      <c r="B16" s="2948">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488"/>
      <c r="Q16" s="1149">
        <f t="shared" si="6"/>
        <v>111</v>
      </c>
      <c r="R16" s="1567" t="s">
        <v>8</v>
      </c>
      <c r="S16" s="1568">
        <f t="shared" si="0"/>
        <v>100</v>
      </c>
      <c r="T16" s="1567" t="s">
        <v>8</v>
      </c>
      <c r="U16" s="1568">
        <f t="shared" si="1"/>
        <v>100</v>
      </c>
      <c r="V16" s="1567" t="s">
        <v>8</v>
      </c>
      <c r="W16" s="1568">
        <f t="shared" si="2"/>
        <v>100</v>
      </c>
      <c r="X16" s="1569"/>
      <c r="Y16" s="3384"/>
      <c r="Z16" s="1148">
        <f t="shared" si="7"/>
        <v>111</v>
      </c>
      <c r="AA16" s="1570">
        <f t="shared" si="3"/>
        <v>1</v>
      </c>
      <c r="AB16" s="1570">
        <f t="shared" si="4"/>
        <v>1</v>
      </c>
      <c r="AC16" s="1570">
        <f t="shared" si="5"/>
        <v>1</v>
      </c>
    </row>
    <row r="17" spans="1:29" ht="57">
      <c r="A17" s="2934"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490" t="s">
        <v>540</v>
      </c>
      <c r="Q17" s="1571" t="str">
        <f t="shared" si="6"/>
        <v>产业集聚程度</v>
      </c>
      <c r="R17" s="1572" t="s">
        <v>8</v>
      </c>
      <c r="S17" s="1573">
        <f t="shared" si="0"/>
        <v>100</v>
      </c>
      <c r="T17" s="1572" t="s">
        <v>8</v>
      </c>
      <c r="U17" s="1573">
        <f t="shared" si="1"/>
        <v>100</v>
      </c>
      <c r="V17" s="1572" t="s">
        <v>8</v>
      </c>
      <c r="W17" s="1573">
        <f t="shared" si="2"/>
        <v>100</v>
      </c>
      <c r="X17" s="1566"/>
      <c r="Y17" s="3490"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491"/>
      <c r="Q18" s="1571"/>
      <c r="R18" s="1572"/>
      <c r="S18" s="1573"/>
      <c r="T18" s="1572"/>
      <c r="U18" s="1573"/>
      <c r="V18" s="1572"/>
      <c r="W18" s="1573"/>
      <c r="X18" s="1566"/>
      <c r="Y18" s="3491"/>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491"/>
      <c r="Q19" s="1571" t="str">
        <f>B19</f>
        <v>交通便捷度</v>
      </c>
      <c r="R19" s="1572" t="s">
        <v>8</v>
      </c>
      <c r="S19" s="1573">
        <f>F19</f>
        <v>100</v>
      </c>
      <c r="T19" s="1572" t="s">
        <v>8</v>
      </c>
      <c r="U19" s="1573">
        <f>H19</f>
        <v>100</v>
      </c>
      <c r="V19" s="1572" t="s">
        <v>8</v>
      </c>
      <c r="W19" s="1573">
        <f>J19</f>
        <v>100</v>
      </c>
      <c r="X19" s="1566"/>
      <c r="Y19" s="3491"/>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491"/>
      <c r="Q20" s="1571"/>
      <c r="R20" s="1572"/>
      <c r="S20" s="1573"/>
      <c r="T20" s="1572"/>
      <c r="U20" s="1573"/>
      <c r="V20" s="1572"/>
      <c r="W20" s="1573"/>
      <c r="X20" s="1566"/>
      <c r="Y20" s="3491"/>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491"/>
      <c r="Q21" s="1571" t="str">
        <f t="shared" ref="Q21:Q35" si="8">B21</f>
        <v>区域土地利用方向</v>
      </c>
      <c r="R21" s="1572" t="s">
        <v>8</v>
      </c>
      <c r="S21" s="1573">
        <f>F21</f>
        <v>100</v>
      </c>
      <c r="T21" s="1572" t="s">
        <v>8</v>
      </c>
      <c r="U21" s="1573">
        <f>H21</f>
        <v>100</v>
      </c>
      <c r="V21" s="1572" t="s">
        <v>8</v>
      </c>
      <c r="W21" s="1573">
        <f>J21</f>
        <v>100</v>
      </c>
      <c r="X21" s="1566"/>
      <c r="Y21" s="3491"/>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491"/>
      <c r="Q22" s="1571"/>
      <c r="R22" s="1572"/>
      <c r="S22" s="1573"/>
      <c r="T22" s="1572"/>
      <c r="U22" s="1573"/>
      <c r="V22" s="1572"/>
      <c r="W22" s="1573"/>
      <c r="X22" s="1566"/>
      <c r="Y22" s="3491"/>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491"/>
      <c r="Q23" s="1571" t="str">
        <f t="shared" si="8"/>
        <v>环境状况</v>
      </c>
      <c r="R23" s="1572" t="s">
        <v>8</v>
      </c>
      <c r="S23" s="1573">
        <f>F23</f>
        <v>100</v>
      </c>
      <c r="T23" s="1572" t="s">
        <v>8</v>
      </c>
      <c r="U23" s="1573">
        <f>H23</f>
        <v>100</v>
      </c>
      <c r="V23" s="1572" t="s">
        <v>8</v>
      </c>
      <c r="W23" s="1573">
        <f>J23</f>
        <v>100</v>
      </c>
      <c r="X23" s="1566"/>
      <c r="Y23" s="3491"/>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491"/>
      <c r="Q24" s="1571"/>
      <c r="R24" s="1572"/>
      <c r="S24" s="1573"/>
      <c r="T24" s="1572"/>
      <c r="U24" s="1573"/>
      <c r="V24" s="1572"/>
      <c r="W24" s="1573"/>
      <c r="X24" s="1566"/>
      <c r="Y24" s="3491"/>
      <c r="Z24" s="1574"/>
      <c r="AA24" s="1575">
        <v>1</v>
      </c>
      <c r="AB24" s="1575">
        <v>1</v>
      </c>
      <c r="AC24" s="1575">
        <v>1</v>
      </c>
    </row>
    <row r="25" spans="1:29" s="1218" customFormat="1" ht="42.75">
      <c r="A25" s="575"/>
      <c r="B25" s="2617"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491"/>
      <c r="Q25" s="1149" t="str">
        <f t="shared" si="8"/>
        <v>公共配套设施</v>
      </c>
      <c r="R25" s="1567" t="s">
        <v>8</v>
      </c>
      <c r="S25" s="1568">
        <f>F25</f>
        <v>100</v>
      </c>
      <c r="T25" s="1567" t="s">
        <v>8</v>
      </c>
      <c r="U25" s="1568">
        <f>H25</f>
        <v>100</v>
      </c>
      <c r="V25" s="1567" t="s">
        <v>8</v>
      </c>
      <c r="W25" s="1568">
        <f>J25</f>
        <v>100</v>
      </c>
      <c r="X25" s="1569"/>
      <c r="Y25" s="3491"/>
      <c r="Z25" s="1148" t="str">
        <f>Q25</f>
        <v>公共配套设施</v>
      </c>
      <c r="AA25" s="1575">
        <f>D25/F25</f>
        <v>1</v>
      </c>
      <c r="AB25" s="1575">
        <f>D25/H25</f>
        <v>1</v>
      </c>
      <c r="AC25" s="1575">
        <f>D25/J25</f>
        <v>1</v>
      </c>
    </row>
    <row r="26" spans="1:29" s="1218" customFormat="1" ht="15">
      <c r="A26" s="575"/>
      <c r="B26" s="593"/>
      <c r="C26" s="2616"/>
      <c r="D26" s="553"/>
      <c r="E26" s="552"/>
      <c r="F26" s="553"/>
      <c r="G26" s="552"/>
      <c r="H26" s="553"/>
      <c r="I26" s="574"/>
      <c r="J26" s="553"/>
      <c r="K26" s="529"/>
      <c r="L26" s="2135"/>
      <c r="M26" s="2136"/>
      <c r="N26" s="2136"/>
      <c r="O26" s="2137"/>
      <c r="P26" s="3491"/>
      <c r="Q26" s="1149"/>
      <c r="R26" s="1567"/>
      <c r="S26" s="1568"/>
      <c r="T26" s="1567"/>
      <c r="U26" s="1568"/>
      <c r="V26" s="1567"/>
      <c r="W26" s="1568"/>
      <c r="X26" s="1569"/>
      <c r="Y26" s="3491"/>
      <c r="Z26" s="1148"/>
      <c r="AA26" s="1570">
        <v>1</v>
      </c>
      <c r="AB26" s="1570">
        <v>1</v>
      </c>
      <c r="AC26" s="1570">
        <v>1</v>
      </c>
    </row>
    <row r="27" spans="1:29" s="1218" customFormat="1" ht="28.5">
      <c r="A27" s="575"/>
      <c r="B27" s="2617"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491"/>
      <c r="Q27" s="2602" t="str">
        <f t="shared" ref="Q27" si="9">B27</f>
        <v>基础设施水平</v>
      </c>
      <c r="R27" s="1567" t="s">
        <v>8</v>
      </c>
      <c r="S27" s="1568">
        <f>F27</f>
        <v>100</v>
      </c>
      <c r="T27" s="1567" t="s">
        <v>8</v>
      </c>
      <c r="U27" s="1568">
        <f>H27</f>
        <v>100</v>
      </c>
      <c r="V27" s="1567" t="s">
        <v>8</v>
      </c>
      <c r="W27" s="1568">
        <f>J27</f>
        <v>100</v>
      </c>
      <c r="X27" s="1569"/>
      <c r="Y27" s="3491"/>
      <c r="Z27" s="2599" t="str">
        <f>Q27</f>
        <v>基础设施水平</v>
      </c>
      <c r="AA27" s="1575">
        <f>D27/F27</f>
        <v>1</v>
      </c>
      <c r="AB27" s="1575">
        <f>D27/H27</f>
        <v>1</v>
      </c>
      <c r="AC27" s="1575">
        <f>D27/J27</f>
        <v>1</v>
      </c>
    </row>
    <row r="28" spans="1:29" s="1218" customFormat="1" ht="15">
      <c r="A28" s="575"/>
      <c r="B28" s="593"/>
      <c r="C28" s="2616"/>
      <c r="D28" s="553"/>
      <c r="E28" s="577"/>
      <c r="F28" s="553"/>
      <c r="G28" s="577"/>
      <c r="H28" s="553"/>
      <c r="I28" s="577"/>
      <c r="J28" s="553"/>
      <c r="K28" s="529"/>
      <c r="L28" s="2135"/>
      <c r="M28" s="2136"/>
      <c r="N28" s="2136"/>
      <c r="O28" s="2137"/>
      <c r="P28" s="3491"/>
      <c r="Q28" s="2602"/>
      <c r="R28" s="1567"/>
      <c r="S28" s="1568"/>
      <c r="T28" s="1567"/>
      <c r="U28" s="1568"/>
      <c r="V28" s="1567"/>
      <c r="W28" s="1568"/>
      <c r="X28" s="1569"/>
      <c r="Y28" s="3491"/>
      <c r="Z28" s="2599"/>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49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91"/>
      <c r="Z29" s="1574" t="str">
        <f t="shared" ref="Z29:Z42" si="13">Q29</f>
        <v>临街状况</v>
      </c>
      <c r="AA29" s="1575">
        <f t="shared" si="3"/>
        <v>1</v>
      </c>
      <c r="AB29" s="1575">
        <f t="shared" si="4"/>
        <v>1</v>
      </c>
      <c r="AC29" s="1575">
        <f t="shared" si="5"/>
        <v>1</v>
      </c>
    </row>
    <row r="30" spans="1:29" ht="27">
      <c r="A30" s="530"/>
      <c r="B30" s="920" t="s">
        <v>548</v>
      </c>
      <c r="C30" s="2619">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491"/>
      <c r="Q30" s="1571" t="str">
        <f t="shared" si="8"/>
        <v>毗邻道路的类型与等级</v>
      </c>
      <c r="R30" s="1572" t="s">
        <v>8</v>
      </c>
      <c r="S30" s="1573">
        <f t="shared" si="10"/>
        <v>100</v>
      </c>
      <c r="T30" s="1572" t="s">
        <v>8</v>
      </c>
      <c r="U30" s="1573">
        <f t="shared" si="11"/>
        <v>100</v>
      </c>
      <c r="V30" s="1572" t="s">
        <v>8</v>
      </c>
      <c r="W30" s="1573">
        <f t="shared" si="12"/>
        <v>100</v>
      </c>
      <c r="X30" s="1566"/>
      <c r="Y30" s="3491"/>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491"/>
      <c r="Q31" s="1571"/>
      <c r="R31" s="1572"/>
      <c r="S31" s="1573"/>
      <c r="T31" s="1572"/>
      <c r="U31" s="1573"/>
      <c r="V31" s="1572"/>
      <c r="W31" s="1573"/>
      <c r="X31" s="1566"/>
      <c r="Y31" s="3491"/>
      <c r="Z31" s="1574"/>
      <c r="AA31" s="1575">
        <v>1</v>
      </c>
      <c r="AB31" s="1575">
        <v>1</v>
      </c>
      <c r="AC31" s="1575">
        <v>1</v>
      </c>
    </row>
    <row r="32" spans="1:29" ht="15">
      <c r="A32" s="530"/>
      <c r="B32" s="525" t="s">
        <v>549</v>
      </c>
      <c r="C32" s="2620">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491"/>
      <c r="Q32" s="1571" t="str">
        <f t="shared" si="8"/>
        <v>土地级别</v>
      </c>
      <c r="R32" s="1572" t="s">
        <v>8</v>
      </c>
      <c r="S32" s="1573">
        <f t="shared" si="10"/>
        <v>100</v>
      </c>
      <c r="T32" s="1572" t="s">
        <v>8</v>
      </c>
      <c r="U32" s="1573">
        <f t="shared" si="11"/>
        <v>100</v>
      </c>
      <c r="V32" s="1572" t="s">
        <v>8</v>
      </c>
      <c r="W32" s="1573">
        <f t="shared" si="12"/>
        <v>100</v>
      </c>
      <c r="X32" s="1566"/>
      <c r="Y32" s="3491"/>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491"/>
      <c r="Q33" s="1571">
        <f t="shared" si="8"/>
        <v>111</v>
      </c>
      <c r="R33" s="1572" t="s">
        <v>8</v>
      </c>
      <c r="S33" s="1573">
        <f t="shared" si="10"/>
        <v>100</v>
      </c>
      <c r="T33" s="1572" t="s">
        <v>8</v>
      </c>
      <c r="U33" s="1573">
        <f t="shared" si="11"/>
        <v>100</v>
      </c>
      <c r="V33" s="1572" t="s">
        <v>8</v>
      </c>
      <c r="W33" s="1573">
        <f t="shared" si="12"/>
        <v>100</v>
      </c>
      <c r="X33" s="1566"/>
      <c r="Y33" s="3491"/>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492" t="s">
        <v>550</v>
      </c>
      <c r="Q34" s="1571">
        <f t="shared" si="8"/>
        <v>111</v>
      </c>
      <c r="R34" s="1572" t="s">
        <v>8</v>
      </c>
      <c r="S34" s="1573">
        <f t="shared" si="10"/>
        <v>100</v>
      </c>
      <c r="T34" s="1572" t="s">
        <v>8</v>
      </c>
      <c r="U34" s="1573">
        <f t="shared" si="11"/>
        <v>100</v>
      </c>
      <c r="V34" s="1572" t="s">
        <v>8</v>
      </c>
      <c r="W34" s="1573">
        <f t="shared" si="12"/>
        <v>100</v>
      </c>
      <c r="X34" s="1566"/>
      <c r="Y34" s="3493" t="s">
        <v>550</v>
      </c>
      <c r="Z34" s="1574">
        <f t="shared" si="13"/>
        <v>111</v>
      </c>
      <c r="AA34" s="1575">
        <f t="shared" si="3"/>
        <v>1</v>
      </c>
      <c r="AB34" s="1575">
        <f t="shared" si="4"/>
        <v>1</v>
      </c>
      <c r="AC34" s="1575">
        <f t="shared" si="5"/>
        <v>1</v>
      </c>
    </row>
    <row r="35" spans="1:29" s="1337" customFormat="1" ht="15.75" thickBot="1">
      <c r="A35" s="587"/>
      <c r="B35" s="2618">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493"/>
      <c r="Q35" s="1571">
        <f t="shared" si="8"/>
        <v>111</v>
      </c>
      <c r="R35" s="1576" t="s">
        <v>8</v>
      </c>
      <c r="S35" s="1577">
        <f t="shared" si="10"/>
        <v>100</v>
      </c>
      <c r="T35" s="1576" t="s">
        <v>8</v>
      </c>
      <c r="U35" s="1577">
        <f t="shared" si="11"/>
        <v>100</v>
      </c>
      <c r="V35" s="1576" t="s">
        <v>8</v>
      </c>
      <c r="W35" s="1577">
        <f t="shared" si="12"/>
        <v>100</v>
      </c>
      <c r="X35" s="1578"/>
      <c r="Y35" s="3493"/>
      <c r="Z35" s="1579">
        <f t="shared" si="13"/>
        <v>111</v>
      </c>
      <c r="AA35" s="1575">
        <f t="shared" si="3"/>
        <v>1</v>
      </c>
      <c r="AB35" s="1575">
        <f t="shared" si="4"/>
        <v>1</v>
      </c>
      <c r="AC35" s="1575">
        <f t="shared" si="5"/>
        <v>1</v>
      </c>
    </row>
    <row r="36" spans="1:29" ht="15">
      <c r="A36" s="2931"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493"/>
      <c r="Q36" s="1571" t="str">
        <f>B36</f>
        <v>宗地面积</v>
      </c>
      <c r="R36" s="1572" t="s">
        <v>8</v>
      </c>
      <c r="S36" s="1573" t="e">
        <f t="shared" si="10"/>
        <v>#N/A</v>
      </c>
      <c r="T36" s="1572" t="s">
        <v>8</v>
      </c>
      <c r="U36" s="1573" t="e">
        <f t="shared" si="11"/>
        <v>#N/A</v>
      </c>
      <c r="V36" s="1572" t="s">
        <v>8</v>
      </c>
      <c r="W36" s="1573" t="e">
        <f t="shared" si="12"/>
        <v>#N/A</v>
      </c>
      <c r="X36" s="1566"/>
      <c r="Y36" s="3493"/>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493"/>
      <c r="Q37" s="1571" t="str">
        <f t="shared" ref="Q37:Q42" si="14">B37</f>
        <v>宗地形状</v>
      </c>
      <c r="R37" s="1572" t="s">
        <v>8</v>
      </c>
      <c r="S37" s="1573">
        <f t="shared" si="10"/>
        <v>100</v>
      </c>
      <c r="T37" s="1572" t="s">
        <v>8</v>
      </c>
      <c r="U37" s="1573">
        <f t="shared" si="11"/>
        <v>100</v>
      </c>
      <c r="V37" s="1572" t="s">
        <v>8</v>
      </c>
      <c r="W37" s="1573">
        <f t="shared" si="12"/>
        <v>100</v>
      </c>
      <c r="X37" s="1566"/>
      <c r="Y37" s="3493"/>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493"/>
      <c r="Q38" s="1571" t="str">
        <f t="shared" si="14"/>
        <v>宗地开发程度</v>
      </c>
      <c r="R38" s="1567" t="s">
        <v>8</v>
      </c>
      <c r="S38" s="1568">
        <f t="shared" si="10"/>
        <v>100</v>
      </c>
      <c r="T38" s="1567" t="s">
        <v>8</v>
      </c>
      <c r="U38" s="1568">
        <f t="shared" si="11"/>
        <v>100</v>
      </c>
      <c r="V38" s="1567" t="s">
        <v>8</v>
      </c>
      <c r="W38" s="1568">
        <f t="shared" si="12"/>
        <v>100</v>
      </c>
      <c r="X38" s="1569"/>
      <c r="Y38" s="3493"/>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493" t="s">
        <v>601</v>
      </c>
      <c r="Q39" s="1571" t="str">
        <f t="shared" si="14"/>
        <v>工程地质条件</v>
      </c>
      <c r="R39" s="1572" t="s">
        <v>8</v>
      </c>
      <c r="S39" s="1573">
        <f t="shared" si="10"/>
        <v>100</v>
      </c>
      <c r="T39" s="1572" t="s">
        <v>8</v>
      </c>
      <c r="U39" s="1573">
        <f t="shared" si="11"/>
        <v>100</v>
      </c>
      <c r="V39" s="1572" t="s">
        <v>8</v>
      </c>
      <c r="W39" s="1573">
        <f t="shared" si="12"/>
        <v>100</v>
      </c>
      <c r="X39" s="1566"/>
      <c r="Y39" s="3493"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493"/>
      <c r="Q40" s="1571">
        <f t="shared" si="14"/>
        <v>111</v>
      </c>
      <c r="R40" s="1572" t="s">
        <v>8</v>
      </c>
      <c r="S40" s="1573">
        <f t="shared" si="10"/>
        <v>100</v>
      </c>
      <c r="T40" s="1572" t="s">
        <v>8</v>
      </c>
      <c r="U40" s="1573">
        <f t="shared" si="11"/>
        <v>100</v>
      </c>
      <c r="V40" s="1572" t="s">
        <v>8</v>
      </c>
      <c r="W40" s="1573">
        <f t="shared" si="12"/>
        <v>100</v>
      </c>
      <c r="X40" s="1566"/>
      <c r="Y40" s="3493"/>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493"/>
      <c r="Q41" s="1571">
        <f t="shared" si="14"/>
        <v>111</v>
      </c>
      <c r="R41" s="1572" t="s">
        <v>8</v>
      </c>
      <c r="S41" s="1573">
        <f t="shared" si="10"/>
        <v>100</v>
      </c>
      <c r="T41" s="1572" t="s">
        <v>8</v>
      </c>
      <c r="U41" s="1573">
        <f t="shared" si="11"/>
        <v>100</v>
      </c>
      <c r="V41" s="1572" t="s">
        <v>8</v>
      </c>
      <c r="W41" s="1573">
        <f t="shared" si="12"/>
        <v>100</v>
      </c>
      <c r="X41" s="1566"/>
      <c r="Y41" s="3493"/>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493"/>
      <c r="Q42" s="1571">
        <f t="shared" si="14"/>
        <v>111</v>
      </c>
      <c r="R42" s="1576" t="s">
        <v>8</v>
      </c>
      <c r="S42" s="1577">
        <f t="shared" si="10"/>
        <v>100</v>
      </c>
      <c r="T42" s="1576" t="s">
        <v>8</v>
      </c>
      <c r="U42" s="1577">
        <f t="shared" si="11"/>
        <v>100</v>
      </c>
      <c r="V42" s="1576" t="s">
        <v>8</v>
      </c>
      <c r="W42" s="1577">
        <f t="shared" si="12"/>
        <v>100</v>
      </c>
      <c r="X42" s="1578"/>
      <c r="Y42" s="3493"/>
      <c r="Z42" s="1579">
        <f t="shared" si="13"/>
        <v>111</v>
      </c>
      <c r="AA42" s="1575">
        <f t="shared" si="3"/>
        <v>1</v>
      </c>
      <c r="AB42" s="1575">
        <f t="shared" si="4"/>
        <v>1</v>
      </c>
      <c r="AC42" s="1575">
        <f t="shared" si="5"/>
        <v>1</v>
      </c>
    </row>
    <row r="43" spans="1:29" ht="15">
      <c r="A43" s="605" t="s">
        <v>556</v>
      </c>
      <c r="B43" s="606" t="s">
        <v>2938</v>
      </c>
      <c r="C43" s="607" t="s">
        <v>1</v>
      </c>
      <c r="D43" s="608"/>
      <c r="E43" s="609"/>
      <c r="F43" s="610"/>
      <c r="G43" s="611"/>
      <c r="H43" s="612"/>
      <c r="I43" s="609"/>
      <c r="J43" s="612"/>
      <c r="K43" s="1338"/>
      <c r="L43" s="2144"/>
      <c r="M43" s="2134"/>
      <c r="N43" s="2134"/>
      <c r="O43" s="2145"/>
      <c r="P43" s="3488" t="str">
        <f>A43</f>
        <v>成交单价</v>
      </c>
      <c r="Q43" s="3488"/>
      <c r="R43" s="3502">
        <f>E43</f>
        <v>0</v>
      </c>
      <c r="S43" s="3502"/>
      <c r="T43" s="3502">
        <f>G43</f>
        <v>0</v>
      </c>
      <c r="U43" s="3502"/>
      <c r="V43" s="3502">
        <f>I43</f>
        <v>0</v>
      </c>
      <c r="W43" s="3502"/>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488" t="str">
        <f>A44</f>
        <v>比较价格（元/平方米）</v>
      </c>
      <c r="Q44" s="3488"/>
      <c r="R44" s="3512" t="e">
        <f>ROUND(PRODUCT(R43,AA9:AA42),0)</f>
        <v>#DIV/0!</v>
      </c>
      <c r="S44" s="3512"/>
      <c r="T44" s="3512" t="e">
        <f>ROUND(PRODUCT(T43,AB9:AB42),0)</f>
        <v>#DIV/0!</v>
      </c>
      <c r="U44" s="3512"/>
      <c r="V44" s="3512" t="e">
        <f>ROUND(PRODUCT(V43,AC9:AC42),0)</f>
        <v>#DIV/0!</v>
      </c>
      <c r="W44" s="3512"/>
      <c r="X44" s="1558"/>
      <c r="Y44" s="1558"/>
      <c r="Z44" s="1558"/>
      <c r="AA44" s="1558"/>
      <c r="AB44" s="1558"/>
      <c r="AC44" s="1558"/>
    </row>
    <row r="45" spans="1:29" ht="15.75" thickBot="1">
      <c r="A45" s="619" t="s">
        <v>2939</v>
      </c>
      <c r="B45" s="620"/>
      <c r="C45" s="621" t="e">
        <f>R45</f>
        <v>#DIV/0!</v>
      </c>
      <c r="D45" s="621"/>
      <c r="E45" s="621"/>
      <c r="F45" s="621"/>
      <c r="G45" s="621"/>
      <c r="H45" s="621"/>
      <c r="I45" s="621"/>
      <c r="J45" s="621"/>
      <c r="K45" s="1340"/>
      <c r="L45" s="2144"/>
      <c r="M45" s="2134"/>
      <c r="N45" s="2134"/>
      <c r="O45" s="2145"/>
      <c r="P45" s="3509" t="str">
        <f>A45</f>
        <v>估价对象XX用房的比较价格（楼面单价，元/平方米）</v>
      </c>
      <c r="Q45" s="3510"/>
      <c r="R45" s="3511" t="e">
        <f>ROUND(AVERAGE(R44:V44),0)</f>
        <v>#DIV/0!</v>
      </c>
      <c r="S45" s="3511"/>
      <c r="T45" s="3511"/>
      <c r="U45" s="3511"/>
      <c r="V45" s="3511"/>
      <c r="W45" s="351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513" t="s">
        <v>2287</v>
      </c>
      <c r="H52" s="3514"/>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515"/>
      <c r="H53" s="351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517"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51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51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51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2537</v>
      </c>
      <c r="B67" s="644"/>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2653</v>
      </c>
      <c r="B68" s="477" t="str">
        <f>"北京市平均增长率"&amp;TEXT(基准地价!P24,"0.00%")</f>
        <v>北京市平均增长率1.35%</v>
      </c>
      <c r="C68" s="892">
        <v>100</v>
      </c>
      <c r="D68" s="728"/>
      <c r="E68" s="728"/>
      <c r="F68" s="728"/>
      <c r="G68" s="728"/>
      <c r="H68" s="728"/>
      <c r="I68" s="728"/>
      <c r="J68" s="728"/>
      <c r="K68" s="728"/>
      <c r="L68" s="728"/>
      <c r="M68" s="2816"/>
      <c r="N68" s="2817"/>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21" t="s">
        <v>2554</v>
      </c>
      <c r="C95" s="2622" t="s">
        <v>2555</v>
      </c>
      <c r="D95" s="2622" t="s">
        <v>2556</v>
      </c>
      <c r="E95" s="2622" t="s">
        <v>2557</v>
      </c>
      <c r="F95" s="2622" t="s">
        <v>2558</v>
      </c>
      <c r="G95" s="2622"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4"/>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90" zoomScaleNormal="90" workbookViewId="0">
      <selection activeCell="C62" sqref="C6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6">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0" t="s">
        <v>2765</v>
      </c>
      <c r="S1" s="2960" t="s">
        <v>2766</v>
      </c>
      <c r="T1" s="2960" t="s">
        <v>2787</v>
      </c>
      <c r="U1" s="2960" t="s">
        <v>2788</v>
      </c>
      <c r="V1" s="2960" t="s">
        <v>2789</v>
      </c>
      <c r="W1" s="2189"/>
      <c r="X1" s="2189"/>
      <c r="Y1" s="2189"/>
      <c r="Z1" s="2189"/>
      <c r="AA1" s="2189"/>
      <c r="AB1" s="2189"/>
      <c r="AC1" s="2190"/>
    </row>
    <row r="2" spans="1:39" ht="15.75">
      <c r="A2" s="1405" t="s">
        <v>920</v>
      </c>
      <c r="B2" s="1036">
        <f ca="1">C26</f>
        <v>33882</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61">
        <v>1</v>
      </c>
      <c r="S2" s="2961">
        <f>ROUND(IF(G3&gt;1,IF(R2&lt;7,SUMPRODUCT((B93:B98=R2)*(C92:N92=G2)*(C93:N98)),SUMIF(C92:N92,G2,C100:N100)),IF(R2&lt;7,SUMPRODUCT((B102:B107=R2)*(C92:N92=G2)*(C102:N107)),SUMIF(C92:N92,G2,C109:N109))),4)</f>
        <v>1.9361999999999999</v>
      </c>
      <c r="T2" s="2961">
        <f ca="1">ROUND($C$5*$C$18*$C$19*$C$20*S2*$C$24,0)</f>
        <v>65602</v>
      </c>
      <c r="U2" s="2950"/>
      <c r="V2" s="2961">
        <f ca="1">ROUND(T2*U2/10000,0)</f>
        <v>0</v>
      </c>
      <c r="W2" s="2189"/>
      <c r="X2" s="2189"/>
      <c r="Y2" s="2189"/>
      <c r="Z2" s="2189"/>
      <c r="AA2" s="2189"/>
      <c r="AB2" s="2189"/>
      <c r="AC2" s="2190"/>
    </row>
    <row r="3" spans="1:39" ht="24">
      <c r="A3" s="1410" t="s">
        <v>1688</v>
      </c>
      <c r="B3" s="1036">
        <f ca="1">ROUND(B2*10000/D1,0)</f>
        <v>33882</v>
      </c>
      <c r="C3" s="1406" t="s">
        <v>927</v>
      </c>
      <c r="D3" s="1407" t="s">
        <v>928</v>
      </c>
      <c r="E3" s="1411" t="s">
        <v>3016</v>
      </c>
      <c r="F3" s="1412" t="s">
        <v>3017</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1.4198</v>
      </c>
      <c r="T3" s="2961">
        <f t="shared" ref="T3:T16" ca="1" si="0">ROUND($C$5*$C$18*$C$19*$C$20*S3*$C$24,0)</f>
        <v>48105</v>
      </c>
      <c r="U3" s="2950"/>
      <c r="V3" s="2961">
        <f t="shared" ref="V3:V16" ca="1" si="1">ROUND(T3*U3/10000,0)</f>
        <v>0</v>
      </c>
      <c r="W3" s="2189"/>
      <c r="X3" s="2189"/>
      <c r="Y3" s="2189"/>
      <c r="Z3" s="2189"/>
      <c r="AA3" s="2189"/>
      <c r="AB3" s="2189"/>
      <c r="AC3" s="2190"/>
    </row>
    <row r="4" spans="1:39" ht="28.5">
      <c r="A4" s="1891" t="s">
        <v>2283</v>
      </c>
      <c r="B4" s="2477">
        <f ca="1">ROUND(B2*10000/F1,0)</f>
        <v>162967</v>
      </c>
      <c r="C4" s="1894" t="s">
        <v>2257</v>
      </c>
      <c r="D4" s="1894">
        <f ca="1">ROUND(B2/(F1/666.67),0)</f>
        <v>10865</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1.1594</v>
      </c>
      <c r="T4" s="2961">
        <f t="shared" ca="1" si="0"/>
        <v>39282</v>
      </c>
      <c r="U4" s="2950"/>
      <c r="V4" s="2961">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9">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0.96220000000000006</v>
      </c>
      <c r="T5" s="2961">
        <f t="shared" ca="1" si="0"/>
        <v>32601</v>
      </c>
      <c r="U5" s="2950"/>
      <c r="V5" s="2961">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0.8417</v>
      </c>
      <c r="T6" s="2961">
        <f t="shared" ca="1" si="0"/>
        <v>28518</v>
      </c>
      <c r="U6" s="2950"/>
      <c r="V6" s="2961">
        <f t="shared" ca="1" si="1"/>
        <v>0</v>
      </c>
      <c r="W6" s="2189"/>
      <c r="X6" s="2189"/>
      <c r="Y6" s="2189"/>
      <c r="Z6" s="2189"/>
      <c r="AA6" s="2189"/>
      <c r="AB6" s="2189"/>
      <c r="AC6" s="2191"/>
      <c r="AD6" s="1418"/>
      <c r="AE6" s="1418"/>
      <c r="AF6" s="1418"/>
      <c r="AG6" s="1418"/>
      <c r="AH6" s="1418"/>
      <c r="AI6" s="1418"/>
      <c r="AJ6" s="1419"/>
    </row>
    <row r="7" spans="1:39" ht="24">
      <c r="A7" s="3525"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0.76080000000000003</v>
      </c>
      <c r="T7" s="2961">
        <f t="shared" ca="1" si="0"/>
        <v>25777</v>
      </c>
      <c r="U7" s="2950"/>
      <c r="V7" s="2961">
        <f t="shared" ca="1" si="1"/>
        <v>0</v>
      </c>
      <c r="W7" s="2959" t="s">
        <v>2768</v>
      </c>
      <c r="X7" s="2951" t="str">
        <f>G2</f>
        <v>二级</v>
      </c>
      <c r="Y7" s="2951" t="s">
        <v>2769</v>
      </c>
      <c r="Z7" s="2952">
        <f>G3</f>
        <v>3.5</v>
      </c>
      <c r="AA7" s="2192"/>
      <c r="AB7" s="2192"/>
      <c r="AC7" s="2193"/>
      <c r="AD7" s="2953"/>
      <c r="AE7" s="2953"/>
      <c r="AF7" s="2953"/>
      <c r="AG7" s="2953"/>
      <c r="AH7" s="2953"/>
      <c r="AI7" s="2953"/>
      <c r="AJ7" s="2954"/>
    </row>
    <row r="8" spans="1:39" ht="15">
      <c r="A8" s="3526"/>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f t="shared" ca="1" si="0"/>
        <v>0</v>
      </c>
      <c r="U8" s="2950"/>
      <c r="V8" s="2961">
        <f t="shared" ca="1" si="1"/>
        <v>0</v>
      </c>
      <c r="W8" s="3535" t="s">
        <v>2786</v>
      </c>
      <c r="X8" s="3536"/>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26"/>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f t="shared" ca="1" si="0"/>
        <v>0</v>
      </c>
      <c r="U9" s="2950"/>
      <c r="V9" s="2961">
        <f t="shared" ca="1" si="1"/>
        <v>0</v>
      </c>
      <c r="W9" s="3534" t="s">
        <v>2782</v>
      </c>
      <c r="X9" s="2955" t="s">
        <v>2783</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26"/>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f t="shared" ca="1" si="0"/>
        <v>0</v>
      </c>
      <c r="U10" s="2950"/>
      <c r="V10" s="2961">
        <f t="shared" ca="1" si="1"/>
        <v>0</v>
      </c>
      <c r="W10" s="3534"/>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26"/>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f t="shared" ca="1" si="0"/>
        <v>0</v>
      </c>
      <c r="U11" s="2950"/>
      <c r="V11" s="2961">
        <f t="shared" ca="1" si="1"/>
        <v>0</v>
      </c>
      <c r="W11" s="3534"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525"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f t="shared" ca="1" si="0"/>
        <v>0</v>
      </c>
      <c r="U12" s="2950"/>
      <c r="V12" s="2961">
        <f t="shared" ca="1" si="1"/>
        <v>0</v>
      </c>
      <c r="W12" s="3534"/>
      <c r="X12" s="2958" t="s">
        <v>2785</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27"/>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f t="shared" ca="1" si="0"/>
        <v>0</v>
      </c>
      <c r="U13" s="2950"/>
      <c r="V13" s="2961">
        <f t="shared" ca="1" si="1"/>
        <v>0</v>
      </c>
      <c r="W13" s="3534"/>
      <c r="X13" s="2958"/>
      <c r="Y13" s="2957">
        <f>(-0.163*(Y12^2)-0.59*Y12+7617)*(10^(-4))/Y11</f>
        <v>0.21762857142857145</v>
      </c>
      <c r="Z13" s="2957">
        <f t="shared" ref="Z13:AJ13" si="5">(-0.163*(Z12^2)-0.59*Z12+7617)*(10^(-4))/Z11</f>
        <v>0.21762857142857145</v>
      </c>
      <c r="AA13" s="2957">
        <f t="shared" si="5"/>
        <v>0.21762857142857145</v>
      </c>
      <c r="AB13" s="2957">
        <f t="shared" si="5"/>
        <v>0.21762857142857145</v>
      </c>
      <c r="AC13" s="2957">
        <f t="shared" si="5"/>
        <v>0.21762857142857145</v>
      </c>
      <c r="AD13" s="2957">
        <f t="shared" si="5"/>
        <v>0.21762857142857145</v>
      </c>
      <c r="AE13" s="2957">
        <f t="shared" si="5"/>
        <v>0.21762857142857145</v>
      </c>
      <c r="AF13" s="2957">
        <f t="shared" si="5"/>
        <v>0.21762857142857145</v>
      </c>
      <c r="AG13" s="2957">
        <f t="shared" si="5"/>
        <v>0.21762857142857145</v>
      </c>
      <c r="AH13" s="2957">
        <f t="shared" si="5"/>
        <v>0.21762857142857145</v>
      </c>
      <c r="AI13" s="2957">
        <f t="shared" si="5"/>
        <v>0.21762857142857145</v>
      </c>
      <c r="AJ13" s="2957">
        <f t="shared" si="5"/>
        <v>0.21762857142857145</v>
      </c>
    </row>
    <row r="14" spans="1:39" ht="12.75" customHeight="1" thickBot="1">
      <c r="A14" s="3527"/>
      <c r="B14" s="1450"/>
      <c r="C14" s="1451"/>
      <c r="D14" s="1452"/>
      <c r="E14" s="1452"/>
      <c r="F14" s="1453"/>
      <c r="G14" s="1454" t="s">
        <v>949</v>
      </c>
      <c r="H14" s="1455"/>
      <c r="I14" s="1456"/>
      <c r="J14" s="1457"/>
      <c r="K14" s="1400"/>
      <c r="L14" s="2189"/>
      <c r="M14" s="2189"/>
      <c r="N14" s="2189"/>
      <c r="O14" s="2189"/>
      <c r="P14" s="2189"/>
      <c r="Q14" s="2189"/>
      <c r="R14" s="2961">
        <v>13</v>
      </c>
      <c r="S14" s="2950"/>
      <c r="T14" s="2961">
        <f t="shared" ca="1" si="0"/>
        <v>0</v>
      </c>
      <c r="U14" s="2950"/>
      <c r="V14" s="2961">
        <f t="shared" ca="1" si="1"/>
        <v>0</v>
      </c>
      <c r="W14" s="2189"/>
      <c r="X14" s="2189"/>
      <c r="Y14" s="2189"/>
      <c r="Z14" s="2189"/>
      <c r="AA14" s="2189"/>
      <c r="AB14" s="2189"/>
      <c r="AC14" s="2190"/>
    </row>
    <row r="15" spans="1:39" ht="13.5" customHeight="1" thickBot="1">
      <c r="A15" s="3528"/>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f t="shared" ca="1" si="0"/>
        <v>0</v>
      </c>
      <c r="U15" s="2950"/>
      <c r="V15" s="2961">
        <f t="shared" ca="1" si="1"/>
        <v>0</v>
      </c>
      <c r="W15" s="2189"/>
      <c r="X15" s="2189"/>
      <c r="Y15" s="2189"/>
      <c r="Z15" s="2189"/>
      <c r="AA15" s="2189"/>
      <c r="AB15" s="2189"/>
      <c r="AC15" s="2190"/>
    </row>
    <row r="16" spans="1:39" ht="24">
      <c r="A16" s="3525" t="s">
        <v>1839</v>
      </c>
      <c r="B16" s="1426" t="s">
        <v>950</v>
      </c>
      <c r="C16" s="1052">
        <f>ROUND(SUM(G17:J17)/C17,0)</f>
        <v>0</v>
      </c>
      <c r="D16" s="1459" t="s">
        <v>951</v>
      </c>
      <c r="E16" s="1460" t="s">
        <v>3027</v>
      </c>
      <c r="F16" s="1461" t="s">
        <v>3028</v>
      </c>
      <c r="G16" s="1462"/>
      <c r="H16" s="1462"/>
      <c r="I16" s="1462"/>
      <c r="J16" s="1462"/>
      <c r="K16" s="1400"/>
      <c r="L16" s="1463" t="s">
        <v>988</v>
      </c>
      <c r="M16" s="1045">
        <v>0.25</v>
      </c>
      <c r="N16" s="1045">
        <v>0.2</v>
      </c>
      <c r="O16" s="1045">
        <v>0.15</v>
      </c>
      <c r="P16" s="1538">
        <v>0.1</v>
      </c>
      <c r="Q16" s="2192"/>
      <c r="R16" s="2961">
        <v>15</v>
      </c>
      <c r="S16" s="2950"/>
      <c r="T16" s="2961">
        <f t="shared" ca="1" si="0"/>
        <v>0</v>
      </c>
      <c r="U16" s="2950"/>
      <c r="V16" s="2961">
        <f t="shared" ca="1" si="1"/>
        <v>0</v>
      </c>
      <c r="W16" s="2192"/>
      <c r="X16" s="2192"/>
      <c r="Y16" s="2192"/>
      <c r="Z16" s="2192"/>
      <c r="AA16" s="2192"/>
      <c r="AB16" s="2192"/>
      <c r="AC16" s="2193"/>
    </row>
    <row r="17" spans="1:40" ht="13.5" thickBot="1">
      <c r="A17" s="3526"/>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1</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3026</v>
      </c>
      <c r="I19" s="2808" t="str">
        <f>IF(H19="季度增幅（自定义）",SUMIF(N21:N24,E2,O21:O24),"")</f>
        <v/>
      </c>
      <c r="J19" s="1470"/>
      <c r="K19" s="1480"/>
      <c r="L19" s="3064" t="s">
        <v>2844</v>
      </c>
      <c r="M19" s="3065">
        <f>ROUND(SUMIF(地价!B2:F2,E2,地价!B22:F22),0)</f>
        <v>258</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f ca="1">ROUND(POWER(1+G20,J20-I20)*(POWER(1+G20,I20)-1)/(POWER(1+G20,J20)-1),4)</f>
        <v>0.94369999999999998</v>
      </c>
      <c r="D20" s="2805" t="s">
        <v>973</v>
      </c>
      <c r="E20" s="3120">
        <f ca="1">存贷款利率!I4/100</f>
        <v>4.3499999999999997E-2</v>
      </c>
      <c r="F20" s="2805" t="s">
        <v>974</v>
      </c>
      <c r="G20" s="2806">
        <f ca="1">SUMIF(M15:P15,E2,M17:P17)</f>
        <v>5.1999999999999998E-2</v>
      </c>
      <c r="H20" s="2805" t="s">
        <v>975</v>
      </c>
      <c r="I20" s="2795">
        <f>SUMIF('数据-取费表'!C6:C15,E2,'数据-取费表'!F6:F15)/COUNTIF('数据-取费表'!C6:C15,E2)</f>
        <v>40.07</v>
      </c>
      <c r="J20" s="2807">
        <f>IF(E2="住宅",70,IF(E2="商业",40,50))</f>
        <v>50</v>
      </c>
      <c r="K20" s="1480"/>
      <c r="L20" s="3066" t="s">
        <v>2845</v>
      </c>
      <c r="M20" s="3067">
        <f>ROUND(SUMPRODUCT((地价!A4:A22=YEAR(G19)&amp;"-"&amp;ROUNDUP(MONTH(G19)/3,0))*(地价!B2:F2=E2)*(地价!B4:F22)),0)</f>
        <v>333</v>
      </c>
      <c r="N20" s="2813" t="s">
        <v>2649</v>
      </c>
      <c r="O20" s="2811" t="s">
        <v>2648</v>
      </c>
      <c r="P20" s="2812" t="s">
        <v>2654</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3025</v>
      </c>
      <c r="C21" s="1156">
        <f>IF(B21="容积率修正",IF(G3&lt;=10,D22,J22),C23)</f>
        <v>1</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2652</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1">
        <f ca="1">E29+SUM(E33:E39)</f>
        <v>33882</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f ca="1">ROUND(C5*C18*C19*C20*C21*C24,0)</f>
        <v>33882</v>
      </c>
      <c r="D29" s="1503">
        <f>'数据-基础表'!B3</f>
        <v>10000</v>
      </c>
      <c r="E29" s="1849">
        <f ca="1">ROUND(C29*D29/10000,0)</f>
        <v>33882</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8471</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31" t="s">
        <v>2966</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32"/>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32"/>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33"/>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10165</v>
      </c>
      <c r="D37" s="1536"/>
      <c r="E37" s="1046">
        <f t="shared" ca="1" si="7"/>
        <v>0</v>
      </c>
      <c r="F37" s="1061">
        <f>SUMIF(修正!A45:A56,G2,修正!F45:F56)</f>
        <v>0.3</v>
      </c>
      <c r="G37" s="1046">
        <f t="shared" ca="1" si="6"/>
        <v>2541</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10165</v>
      </c>
      <c r="D38" s="1536"/>
      <c r="E38" s="1046">
        <f t="shared" ca="1" si="7"/>
        <v>0</v>
      </c>
      <c r="F38" s="1061">
        <f>SUMIF(修正!A45:A56,G2,修正!G45:G56)</f>
        <v>0.3</v>
      </c>
      <c r="G38" s="1046">
        <f t="shared" ca="1" si="6"/>
        <v>2541</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8470</v>
      </c>
      <c r="D39" s="1537"/>
      <c r="E39" s="1049">
        <f t="shared" ca="1" si="7"/>
        <v>0</v>
      </c>
      <c r="F39" s="1063">
        <f>SUMIF(修正!A45:A56,G2,修正!H45:H56)</f>
        <v>0.25</v>
      </c>
      <c r="G39" s="1049">
        <f t="shared" ca="1" si="6"/>
        <v>2118</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hidden="1">
      <c r="A48" s="1065" t="s">
        <v>1022</v>
      </c>
      <c r="B48" s="2432" t="str">
        <f>估价对象房地状况!C18</f>
        <v>估价对象周边道路状况、公共交通通达情况、停车便捷程度，综合评价交通便捷度好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2" t="s">
        <v>2941</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21" t="s">
        <v>2940</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4" t="s">
        <v>1027</v>
      </c>
      <c r="B53" s="2433" t="str">
        <f>估价对象房地状况!C21</f>
        <v>估价对象所在区域公共配套设施齐备情况</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4" t="s">
        <v>1028</v>
      </c>
      <c r="B54" s="2432" t="str">
        <f>估价对象房地状况!C22</f>
        <v>估价对象所在区域基础设施水平</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hidden="1" thickBot="1">
      <c r="A55" s="2465" t="s">
        <v>1029</v>
      </c>
      <c r="B55" s="2436" t="str">
        <f>估价对象房地状况!C20</f>
        <v>区域自然环境：；人文环境；综合评价环境状况一般</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1.0365</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1031</v>
      </c>
      <c r="B58" s="2435" t="str">
        <f>估价对象房地状况!C17</f>
        <v>估价对象位于XX商圈，周边办公楼项目较多，入驻率高，办公集聚程度较好</v>
      </c>
      <c r="C58" s="1048" t="s">
        <v>3061</v>
      </c>
      <c r="D58" s="2441">
        <f t="shared" ref="D58:D66" si="15">SUMIF($J$57:$N$57,C58,J58:N58)</f>
        <v>0</v>
      </c>
      <c r="E58" s="2460">
        <f>ROUND(SUM(D58:D66),4)</f>
        <v>3.6499999999999998E-2</v>
      </c>
      <c r="F58" s="2461">
        <f>IF(E2="办公",SUMIF(L1:L12,G2,N1:N12),"——")</f>
        <v>7.2999999999999995E-2</v>
      </c>
      <c r="G58" s="2439">
        <v>8.6999999999999994E-3</v>
      </c>
      <c r="H58" s="2485">
        <f>IFERROR(ROUNDDOWN($F$58*I58/2,4),"——")</f>
        <v>8.6999999999999994E-3</v>
      </c>
      <c r="I58" s="2459">
        <v>0.24</v>
      </c>
      <c r="J58" s="2462">
        <f t="shared" ref="J58:J66" si="16">K58+$G58</f>
        <v>1.7399999999999999E-2</v>
      </c>
      <c r="K58" s="2462">
        <f t="shared" ref="K58:K66" si="17">$L58+$G58</f>
        <v>8.6999999999999994E-3</v>
      </c>
      <c r="L58" s="2462">
        <v>0</v>
      </c>
      <c r="M58" s="2462">
        <f t="shared" ref="M58:N66" si="18">L58-$G58</f>
        <v>-8.6999999999999994E-3</v>
      </c>
      <c r="N58" s="2462">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1022</v>
      </c>
      <c r="B59" s="2432" t="str">
        <f>估价对象房地状况!C18</f>
        <v>估价对象周边道路状况、公共交通通达情况、停车便捷程度，综合评价交通便捷度好</v>
      </c>
      <c r="C59" s="1048" t="s">
        <v>3033</v>
      </c>
      <c r="D59" s="2441">
        <f t="shared" si="15"/>
        <v>1.095E-2</v>
      </c>
      <c r="E59" s="2463"/>
      <c r="F59" s="2461"/>
      <c r="G59" s="2439">
        <v>1.095E-2</v>
      </c>
      <c r="H59" s="2440">
        <f t="shared" ref="H59:H66" si="19">IFERROR($F$58*I59/2,"——")</f>
        <v>1.095E-2</v>
      </c>
      <c r="I59" s="2459">
        <v>0.3</v>
      </c>
      <c r="J59" s="2462">
        <f t="shared" si="16"/>
        <v>2.1899999999999999E-2</v>
      </c>
      <c r="K59" s="2462">
        <f t="shared" si="17"/>
        <v>1.095E-2</v>
      </c>
      <c r="L59" s="2462">
        <v>0</v>
      </c>
      <c r="M59" s="2462">
        <f t="shared" si="18"/>
        <v>-1.095E-2</v>
      </c>
      <c r="N59" s="2462">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1048" t="s">
        <v>3033</v>
      </c>
      <c r="D60" s="2441">
        <f t="shared" si="15"/>
        <v>2.9199999999999999E-3</v>
      </c>
      <c r="E60" s="2463"/>
      <c r="F60" s="2461"/>
      <c r="G60" s="2439">
        <v>2.9199999999999999E-3</v>
      </c>
      <c r="H60" s="2440">
        <f t="shared" si="19"/>
        <v>2.9199999999999999E-3</v>
      </c>
      <c r="I60" s="2459">
        <v>0.08</v>
      </c>
      <c r="J60" s="2462">
        <f t="shared" si="16"/>
        <v>5.8399999999999997E-3</v>
      </c>
      <c r="K60" s="2462">
        <f t="shared" si="17"/>
        <v>2.9199999999999999E-3</v>
      </c>
      <c r="L60" s="2462">
        <v>0</v>
      </c>
      <c r="M60" s="2462">
        <f t="shared" si="18"/>
        <v>-2.9199999999999999E-3</v>
      </c>
      <c r="N60" s="2462">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2" t="s">
        <v>2942</v>
      </c>
      <c r="C61" s="1048" t="s">
        <v>3033</v>
      </c>
      <c r="D61" s="2441">
        <f t="shared" si="15"/>
        <v>1.4599999999999999E-3</v>
      </c>
      <c r="E61" s="2463"/>
      <c r="F61" s="2461"/>
      <c r="G61" s="2439">
        <v>1.4599999999999999E-3</v>
      </c>
      <c r="H61" s="2440">
        <f t="shared" si="19"/>
        <v>1.4599999999999999E-3</v>
      </c>
      <c r="I61" s="2459">
        <v>0.04</v>
      </c>
      <c r="J61" s="2462">
        <f t="shared" si="16"/>
        <v>2.9199999999999999E-3</v>
      </c>
      <c r="K61" s="2462">
        <f t="shared" si="17"/>
        <v>1.4599999999999999E-3</v>
      </c>
      <c r="L61" s="2462">
        <v>0</v>
      </c>
      <c r="M61" s="2462">
        <f t="shared" si="18"/>
        <v>-1.4599999999999999E-3</v>
      </c>
      <c r="N61" s="2462">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1048" t="s">
        <v>3033</v>
      </c>
      <c r="D62" s="2441">
        <f t="shared" si="15"/>
        <v>1.83E-3</v>
      </c>
      <c r="E62" s="2463"/>
      <c r="F62" s="2461"/>
      <c r="G62" s="2439">
        <v>1.83E-3</v>
      </c>
      <c r="H62" s="2440">
        <f t="shared" si="19"/>
        <v>1.825E-3</v>
      </c>
      <c r="I62" s="2459">
        <v>0.05</v>
      </c>
      <c r="J62" s="2462">
        <f t="shared" si="16"/>
        <v>3.6600000000000001E-3</v>
      </c>
      <c r="K62" s="2462">
        <f t="shared" si="17"/>
        <v>1.83E-3</v>
      </c>
      <c r="L62" s="2462">
        <v>0</v>
      </c>
      <c r="M62" s="2462">
        <f t="shared" si="18"/>
        <v>-1.83E-3</v>
      </c>
      <c r="N62" s="2462">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21" t="s">
        <v>2940</v>
      </c>
      <c r="C63" s="1048" t="s">
        <v>3033</v>
      </c>
      <c r="D63" s="2441">
        <f t="shared" si="15"/>
        <v>1.83E-3</v>
      </c>
      <c r="E63" s="2463"/>
      <c r="F63" s="2461"/>
      <c r="G63" s="2439">
        <v>1.83E-3</v>
      </c>
      <c r="H63" s="2440">
        <f t="shared" si="19"/>
        <v>1.825E-3</v>
      </c>
      <c r="I63" s="2459">
        <v>0.05</v>
      </c>
      <c r="J63" s="2462">
        <f t="shared" si="16"/>
        <v>3.6600000000000001E-3</v>
      </c>
      <c r="K63" s="2462">
        <f t="shared" si="17"/>
        <v>1.83E-3</v>
      </c>
      <c r="L63" s="2462">
        <v>0</v>
      </c>
      <c r="M63" s="2462">
        <f t="shared" si="18"/>
        <v>-1.83E-3</v>
      </c>
      <c r="N63" s="2462">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估价对象所在区域公共配套设施齐备情况</v>
      </c>
      <c r="C64" s="1048" t="s">
        <v>3035</v>
      </c>
      <c r="D64" s="2441">
        <f t="shared" si="15"/>
        <v>4.3800000000000002E-3</v>
      </c>
      <c r="E64" s="2463"/>
      <c r="F64" s="2461"/>
      <c r="G64" s="2439">
        <v>2.1900000000000001E-3</v>
      </c>
      <c r="H64" s="2440">
        <f t="shared" si="19"/>
        <v>2.1899999999999997E-3</v>
      </c>
      <c r="I64" s="2459">
        <v>0.06</v>
      </c>
      <c r="J64" s="2462">
        <f t="shared" si="16"/>
        <v>4.3800000000000002E-3</v>
      </c>
      <c r="K64" s="2462">
        <f t="shared" si="17"/>
        <v>2.1900000000000001E-3</v>
      </c>
      <c r="L64" s="2462">
        <v>0</v>
      </c>
      <c r="M64" s="2462">
        <f t="shared" si="18"/>
        <v>-2.1900000000000001E-3</v>
      </c>
      <c r="N64" s="2462">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v>
      </c>
      <c r="C65" s="1048" t="s">
        <v>3035</v>
      </c>
      <c r="D65" s="2441">
        <f t="shared" si="15"/>
        <v>8.7600000000000004E-3</v>
      </c>
      <c r="E65" s="2463"/>
      <c r="F65" s="2461"/>
      <c r="G65" s="2439">
        <v>4.3800000000000002E-3</v>
      </c>
      <c r="H65" s="2440">
        <f t="shared" si="19"/>
        <v>4.3799999999999993E-3</v>
      </c>
      <c r="I65" s="2459">
        <v>0.12</v>
      </c>
      <c r="J65" s="2462">
        <f t="shared" si="16"/>
        <v>8.7600000000000004E-3</v>
      </c>
      <c r="K65" s="2462">
        <f t="shared" si="17"/>
        <v>4.3800000000000002E-3</v>
      </c>
      <c r="L65" s="2462">
        <v>0</v>
      </c>
      <c r="M65" s="2462">
        <f t="shared" si="18"/>
        <v>-4.3800000000000002E-3</v>
      </c>
      <c r="N65" s="2462">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区域自然环境：；人文环境；综合评价环境状况一般</v>
      </c>
      <c r="C66" s="1048" t="s">
        <v>3035</v>
      </c>
      <c r="D66" s="2441">
        <f t="shared" si="15"/>
        <v>4.3800000000000002E-3</v>
      </c>
      <c r="E66" s="2467"/>
      <c r="F66" s="2461"/>
      <c r="G66" s="2439">
        <v>2.1900000000000001E-3</v>
      </c>
      <c r="H66" s="2440">
        <f t="shared" si="19"/>
        <v>2.1899999999999997E-3</v>
      </c>
      <c r="I66" s="2466">
        <v>0.06</v>
      </c>
      <c r="J66" s="2462">
        <f t="shared" si="16"/>
        <v>4.3800000000000002E-3</v>
      </c>
      <c r="K66" s="2462">
        <f t="shared" si="17"/>
        <v>2.1900000000000001E-3</v>
      </c>
      <c r="L66" s="2462">
        <v>0</v>
      </c>
      <c r="M66" s="2462">
        <f t="shared" si="18"/>
        <v>-2.1900000000000001E-3</v>
      </c>
      <c r="N66" s="2462">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1034</v>
      </c>
      <c r="B70" s="2432" t="str">
        <f>估价对象房地状况!C18</f>
        <v>估价对象周边道路状况、公共交通通达情况、停车便捷程度，综合评价交通便捷度好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估价对象所在区域公共配套设施齐备情况</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21" t="s">
        <v>2940</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1029</v>
      </c>
      <c r="B76" s="2435" t="str">
        <f>估价对象房地状况!C20</f>
        <v>区域自然环境：；人文环境；综合评价环境状况一般</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21" t="s">
        <v>2940</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529" t="s">
        <v>1634</v>
      </c>
      <c r="B90" s="3529"/>
      <c r="C90" s="3529"/>
      <c r="D90" s="3529"/>
      <c r="E90" s="3529"/>
      <c r="F90" s="3529"/>
      <c r="G90" s="3529"/>
      <c r="H90" s="3529"/>
      <c r="I90" s="3529"/>
      <c r="J90" s="3529"/>
      <c r="K90" s="2474"/>
      <c r="L90" s="2474"/>
      <c r="M90" s="2474"/>
      <c r="N90" s="2474"/>
    </row>
    <row r="91" spans="1:40">
      <c r="A91" s="3530" t="s">
        <v>1444</v>
      </c>
      <c r="B91" s="3530" t="s">
        <v>1635</v>
      </c>
      <c r="C91" s="1138" t="s">
        <v>1636</v>
      </c>
      <c r="D91" s="1139"/>
      <c r="E91" s="1139"/>
      <c r="F91" s="1139"/>
      <c r="G91" s="1139"/>
      <c r="H91" s="1139"/>
      <c r="I91" s="1139"/>
      <c r="J91" s="1140"/>
      <c r="K91" s="1132"/>
      <c r="L91" s="1132"/>
      <c r="M91" s="1132"/>
      <c r="N91" s="1132"/>
    </row>
    <row r="92" spans="1:40">
      <c r="A92" s="3530"/>
      <c r="B92" s="3530"/>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537"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3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3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3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3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3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38"/>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539"/>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537"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538"/>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538"/>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538"/>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538"/>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538"/>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538"/>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538"/>
      <c r="B108" s="3540"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539"/>
      <c r="B109" s="3541"/>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524" t="s">
        <v>1640</v>
      </c>
      <c r="B110" s="3524"/>
      <c r="C110" s="3524"/>
      <c r="D110" s="3524"/>
      <c r="E110" s="3524"/>
      <c r="F110" s="3524"/>
      <c r="G110" s="3524"/>
      <c r="H110" s="3524"/>
      <c r="I110" s="3524"/>
      <c r="J110" s="3524"/>
      <c r="K110" s="2472"/>
      <c r="L110" s="2472"/>
      <c r="M110" s="2472"/>
      <c r="N110" s="2472"/>
    </row>
    <row r="112" spans="1:14" ht="12.75" thickBot="1"/>
    <row r="113" spans="1:13" ht="25.5" thickBot="1">
      <c r="A113" s="1014" t="s">
        <v>896</v>
      </c>
      <c r="B113" s="2475">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30" t="s">
        <v>1008</v>
      </c>
      <c r="B18" s="1152" t="s">
        <v>1447</v>
      </c>
      <c r="C18" s="1129" t="s">
        <v>1448</v>
      </c>
      <c r="D18" s="1130"/>
      <c r="E18" s="1152">
        <v>1</v>
      </c>
      <c r="F18" s="1131" t="s">
        <v>1449</v>
      </c>
      <c r="G18" s="1132"/>
      <c r="H18" s="1103"/>
      <c r="I18" s="1103"/>
    </row>
    <row r="19" spans="1:9" s="1598" customFormat="1" ht="19.5" customHeight="1">
      <c r="A19" s="3530"/>
      <c r="B19" s="3530" t="s">
        <v>1450</v>
      </c>
      <c r="C19" s="1129" t="s">
        <v>1451</v>
      </c>
      <c r="D19" s="1130"/>
      <c r="E19" s="1152">
        <v>0.9</v>
      </c>
      <c r="F19" s="1131" t="s">
        <v>1452</v>
      </c>
      <c r="G19" s="1132"/>
      <c r="H19" s="1103"/>
      <c r="I19" s="1103"/>
    </row>
    <row r="20" spans="1:9" s="1598" customFormat="1" ht="19.5" customHeight="1">
      <c r="A20" s="3530"/>
      <c r="B20" s="3530"/>
      <c r="C20" s="1129" t="s">
        <v>1453</v>
      </c>
      <c r="D20" s="1130"/>
      <c r="E20" s="1152">
        <v>1.1000000000000001</v>
      </c>
      <c r="F20" s="1131" t="s">
        <v>1454</v>
      </c>
      <c r="G20" s="1132"/>
      <c r="H20" s="1103"/>
      <c r="I20" s="1103"/>
    </row>
    <row r="21" spans="1:9" s="1598" customFormat="1" ht="19.5" customHeight="1">
      <c r="A21" s="3530"/>
      <c r="B21" s="3530"/>
      <c r="C21" s="1129" t="s">
        <v>1455</v>
      </c>
      <c r="D21" s="1130"/>
      <c r="E21" s="1152">
        <v>0.8</v>
      </c>
      <c r="F21" s="1131" t="s">
        <v>1456</v>
      </c>
      <c r="G21" s="1132"/>
      <c r="H21" s="1103"/>
      <c r="I21" s="1103"/>
    </row>
    <row r="22" spans="1:9" s="1598" customFormat="1" ht="19.5" customHeight="1">
      <c r="A22" s="3530"/>
      <c r="B22" s="3530"/>
      <c r="C22" s="1129" t="s">
        <v>1457</v>
      </c>
      <c r="D22" s="1130"/>
      <c r="E22" s="1152">
        <v>0.5</v>
      </c>
      <c r="F22" s="1131"/>
      <c r="G22" s="1132"/>
      <c r="H22" s="1103"/>
      <c r="I22" s="1103"/>
    </row>
    <row r="23" spans="1:9" s="1598" customFormat="1" ht="19.5" customHeight="1">
      <c r="A23" s="3530" t="s">
        <v>1030</v>
      </c>
      <c r="B23" s="1152" t="s">
        <v>1447</v>
      </c>
      <c r="C23" s="1129" t="s">
        <v>1458</v>
      </c>
      <c r="D23" s="1130"/>
      <c r="E23" s="1152">
        <v>1</v>
      </c>
      <c r="F23" s="1131" t="s">
        <v>1459</v>
      </c>
      <c r="G23" s="1132"/>
      <c r="H23" s="1103"/>
      <c r="I23" s="1103"/>
    </row>
    <row r="24" spans="1:9" s="1598" customFormat="1" ht="19.5" customHeight="1">
      <c r="A24" s="3530"/>
      <c r="B24" s="3530" t="s">
        <v>1450</v>
      </c>
      <c r="C24" s="1129" t="s">
        <v>1460</v>
      </c>
      <c r="D24" s="1130"/>
      <c r="E24" s="1152">
        <v>0.5</v>
      </c>
      <c r="F24" s="1131"/>
      <c r="G24" s="1132"/>
      <c r="H24" s="1103"/>
      <c r="I24" s="1103"/>
    </row>
    <row r="25" spans="1:9" s="1598" customFormat="1" ht="19.5" customHeight="1">
      <c r="A25" s="3530"/>
      <c r="B25" s="3530"/>
      <c r="C25" s="1129" t="s">
        <v>1461</v>
      </c>
      <c r="D25" s="1130"/>
      <c r="E25" s="1152">
        <v>1.1000000000000001</v>
      </c>
      <c r="F25" s="1131"/>
      <c r="G25" s="1132"/>
      <c r="H25" s="1103"/>
      <c r="I25" s="1103"/>
    </row>
    <row r="26" spans="1:9" s="1598" customFormat="1" ht="19.5" customHeight="1">
      <c r="A26" s="3530"/>
      <c r="B26" s="3530"/>
      <c r="C26" s="1129" t="s">
        <v>1462</v>
      </c>
      <c r="D26" s="1130"/>
      <c r="E26" s="1152">
        <v>1.1000000000000001</v>
      </c>
      <c r="F26" s="1131"/>
      <c r="G26" s="1132"/>
      <c r="H26" s="1103"/>
      <c r="I26" s="1103"/>
    </row>
    <row r="27" spans="1:9" s="1598" customFormat="1" ht="19.5" customHeight="1">
      <c r="A27" s="3530"/>
      <c r="B27" s="3530"/>
      <c r="C27" s="1129" t="s">
        <v>1463</v>
      </c>
      <c r="D27" s="1130"/>
      <c r="E27" s="1152">
        <v>0.9</v>
      </c>
      <c r="F27" s="1131" t="s">
        <v>1464</v>
      </c>
      <c r="G27" s="1132"/>
      <c r="H27" s="1103"/>
      <c r="I27" s="1103"/>
    </row>
    <row r="28" spans="1:9" s="1598" customFormat="1" ht="19.5" customHeight="1">
      <c r="A28" s="3530"/>
      <c r="B28" s="3530"/>
      <c r="C28" s="1129" t="s">
        <v>1465</v>
      </c>
      <c r="D28" s="1130"/>
      <c r="E28" s="1152">
        <v>0.9</v>
      </c>
      <c r="F28" s="1131" t="s">
        <v>1466</v>
      </c>
      <c r="G28" s="1132"/>
      <c r="H28" s="1103"/>
      <c r="I28" s="1103"/>
    </row>
    <row r="29" spans="1:9" s="1598" customFormat="1" ht="19.5" customHeight="1">
      <c r="A29" s="3530"/>
      <c r="B29" s="3530"/>
      <c r="C29" s="1129" t="s">
        <v>1467</v>
      </c>
      <c r="D29" s="1130"/>
      <c r="E29" s="1152">
        <v>0.9</v>
      </c>
      <c r="F29" s="1131" t="s">
        <v>1468</v>
      </c>
      <c r="G29" s="1132"/>
      <c r="H29" s="1103"/>
      <c r="I29" s="1103"/>
    </row>
    <row r="30" spans="1:9" s="1598" customFormat="1" ht="19.5" customHeight="1">
      <c r="A30" s="3530"/>
      <c r="B30" s="3530"/>
      <c r="C30" s="1129" t="s">
        <v>1469</v>
      </c>
      <c r="D30" s="1130"/>
      <c r="E30" s="1152">
        <v>0.9</v>
      </c>
      <c r="F30" s="1131" t="s">
        <v>1470</v>
      </c>
      <c r="G30" s="1132"/>
      <c r="H30" s="1103"/>
      <c r="I30" s="1103"/>
    </row>
    <row r="31" spans="1:9" s="1598" customFormat="1" ht="19.5" customHeight="1">
      <c r="A31" s="3530"/>
      <c r="B31" s="3530"/>
      <c r="C31" s="1129" t="s">
        <v>1471</v>
      </c>
      <c r="D31" s="1130"/>
      <c r="E31" s="1152">
        <v>0.8</v>
      </c>
      <c r="F31" s="1131" t="s">
        <v>1472</v>
      </c>
      <c r="G31" s="1132"/>
      <c r="H31" s="1103"/>
      <c r="I31" s="1103"/>
    </row>
    <row r="32" spans="1:9" s="1598" customFormat="1" ht="19.5" customHeight="1">
      <c r="A32" s="3530"/>
      <c r="B32" s="3530"/>
      <c r="C32" s="1129" t="s">
        <v>1473</v>
      </c>
      <c r="D32" s="1130"/>
      <c r="E32" s="1152">
        <v>0.8</v>
      </c>
      <c r="F32" s="1131" t="s">
        <v>1474</v>
      </c>
      <c r="G32" s="1132"/>
      <c r="H32" s="1103"/>
      <c r="I32" s="1103"/>
    </row>
    <row r="33" spans="1:9" s="1598" customFormat="1" ht="19.5" customHeight="1">
      <c r="A33" s="3530" t="s">
        <v>1475</v>
      </c>
      <c r="B33" s="1152" t="s">
        <v>1447</v>
      </c>
      <c r="C33" s="1129" t="s">
        <v>1476</v>
      </c>
      <c r="D33" s="1130"/>
      <c r="E33" s="1152">
        <v>1</v>
      </c>
      <c r="F33" s="1131" t="s">
        <v>1477</v>
      </c>
      <c r="G33" s="1132"/>
      <c r="H33" s="1103"/>
      <c r="I33" s="1103"/>
    </row>
    <row r="34" spans="1:9" s="1598" customFormat="1" ht="19.5" customHeight="1">
      <c r="A34" s="3530"/>
      <c r="B34" s="1152" t="s">
        <v>1450</v>
      </c>
      <c r="C34" s="1129" t="s">
        <v>1478</v>
      </c>
      <c r="D34" s="1130"/>
      <c r="E34" s="1152">
        <v>1.5</v>
      </c>
      <c r="F34" s="1131" t="s">
        <v>1479</v>
      </c>
      <c r="G34" s="1132"/>
      <c r="H34" s="1103"/>
      <c r="I34" s="1103"/>
    </row>
    <row r="35" spans="1:9" s="1598" customFormat="1" ht="19.5" customHeight="1">
      <c r="A35" s="3530" t="s">
        <v>1433</v>
      </c>
      <c r="B35" s="1152" t="s">
        <v>1447</v>
      </c>
      <c r="C35" s="1129" t="s">
        <v>1480</v>
      </c>
      <c r="D35" s="1130"/>
      <c r="E35" s="1152">
        <v>1</v>
      </c>
      <c r="F35" s="1131" t="s">
        <v>1481</v>
      </c>
      <c r="G35" s="1132"/>
      <c r="H35" s="1103"/>
      <c r="I35" s="1103"/>
    </row>
    <row r="36" spans="1:9" s="1598" customFormat="1" ht="19.5" customHeight="1">
      <c r="A36" s="3530"/>
      <c r="B36" s="3530" t="s">
        <v>1450</v>
      </c>
      <c r="C36" s="1129" t="s">
        <v>1482</v>
      </c>
      <c r="D36" s="1130"/>
      <c r="E36" s="1152">
        <v>1</v>
      </c>
      <c r="F36" s="1131" t="s">
        <v>1483</v>
      </c>
      <c r="G36" s="1132"/>
      <c r="H36" s="1103"/>
      <c r="I36" s="1103"/>
    </row>
    <row r="37" spans="1:9" s="1598" customFormat="1" ht="19.5" customHeight="1">
      <c r="A37" s="3530"/>
      <c r="B37" s="3530"/>
      <c r="C37" s="1129" t="s">
        <v>1484</v>
      </c>
      <c r="D37" s="1130"/>
      <c r="E37" s="1152">
        <v>1.5</v>
      </c>
      <c r="F37" s="1131" t="s">
        <v>1485</v>
      </c>
      <c r="G37" s="1132"/>
      <c r="H37" s="1103"/>
      <c r="I37" s="1103"/>
    </row>
    <row r="38" spans="1:9" s="1598" customFormat="1" ht="19.5" customHeight="1">
      <c r="A38" s="3530"/>
      <c r="B38" s="3530"/>
      <c r="C38" s="1129" t="s">
        <v>1486</v>
      </c>
      <c r="D38" s="1130"/>
      <c r="E38" s="1152">
        <v>1</v>
      </c>
      <c r="F38" s="1131" t="s">
        <v>1487</v>
      </c>
      <c r="G38" s="1132"/>
      <c r="H38" s="1103"/>
      <c r="I38" s="1103"/>
    </row>
    <row r="39" spans="1:9" s="1598" customFormat="1" ht="19.5" customHeight="1">
      <c r="A39" s="3530"/>
      <c r="B39" s="3530"/>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30" t="s">
        <v>1502</v>
      </c>
      <c r="C61" s="1066" t="s">
        <v>1503</v>
      </c>
      <c r="D61" s="1066" t="s">
        <v>1504</v>
      </c>
      <c r="E61" s="1137">
        <v>0.5</v>
      </c>
      <c r="F61" s="1152">
        <v>80</v>
      </c>
      <c r="H61" s="1103">
        <f>SUMIF(C59:C119,基准地价!C8,E59:E119)</f>
        <v>0</v>
      </c>
    </row>
    <row r="62" spans="1:8" s="1103" customFormat="1" ht="24">
      <c r="A62" s="1152">
        <v>2</v>
      </c>
      <c r="B62" s="3530"/>
      <c r="C62" s="1066" t="s">
        <v>1505</v>
      </c>
      <c r="D62" s="1066" t="s">
        <v>1506</v>
      </c>
      <c r="E62" s="1137">
        <v>0.5</v>
      </c>
      <c r="F62" s="1152">
        <v>80</v>
      </c>
    </row>
    <row r="63" spans="1:8" s="1103" customFormat="1" ht="36">
      <c r="A63" s="1152">
        <v>3</v>
      </c>
      <c r="B63" s="3530"/>
      <c r="C63" s="1066" t="s">
        <v>1507</v>
      </c>
      <c r="D63" s="1066" t="s">
        <v>1508</v>
      </c>
      <c r="E63" s="1137">
        <v>0.5</v>
      </c>
      <c r="F63" s="1152">
        <v>80</v>
      </c>
    </row>
    <row r="64" spans="1:8" s="1103" customFormat="1" ht="36">
      <c r="A64" s="1152">
        <v>4</v>
      </c>
      <c r="B64" s="3530"/>
      <c r="C64" s="1066" t="s">
        <v>1509</v>
      </c>
      <c r="D64" s="1066" t="s">
        <v>1510</v>
      </c>
      <c r="E64" s="1137">
        <v>0.4</v>
      </c>
      <c r="F64" s="1152">
        <v>60</v>
      </c>
    </row>
    <row r="65" spans="1:6" s="1103" customFormat="1" ht="36">
      <c r="A65" s="1152">
        <v>5</v>
      </c>
      <c r="B65" s="3530"/>
      <c r="C65" s="1066" t="s">
        <v>1511</v>
      </c>
      <c r="D65" s="1066" t="s">
        <v>1512</v>
      </c>
      <c r="E65" s="1137">
        <v>0.2</v>
      </c>
      <c r="F65" s="1152">
        <v>30</v>
      </c>
    </row>
    <row r="66" spans="1:6" s="1103" customFormat="1" ht="36">
      <c r="A66" s="1152">
        <v>6</v>
      </c>
      <c r="B66" s="3530"/>
      <c r="C66" s="1066" t="s">
        <v>1513</v>
      </c>
      <c r="D66" s="1066" t="s">
        <v>1514</v>
      </c>
      <c r="E66" s="1137">
        <v>0.3</v>
      </c>
      <c r="F66" s="1152">
        <v>50</v>
      </c>
    </row>
    <row r="67" spans="1:6" s="1103" customFormat="1" ht="36">
      <c r="A67" s="1152">
        <v>7</v>
      </c>
      <c r="B67" s="3530"/>
      <c r="C67" s="1066" t="s">
        <v>1515</v>
      </c>
      <c r="D67" s="1066" t="s">
        <v>1516</v>
      </c>
      <c r="E67" s="1137">
        <v>0.2</v>
      </c>
      <c r="F67" s="1152">
        <v>30</v>
      </c>
    </row>
    <row r="68" spans="1:6" s="1103" customFormat="1" ht="36">
      <c r="A68" s="1152">
        <v>8</v>
      </c>
      <c r="B68" s="3530"/>
      <c r="C68" s="1066" t="s">
        <v>1517</v>
      </c>
      <c r="D68" s="1066" t="s">
        <v>1518</v>
      </c>
      <c r="E68" s="1137">
        <v>0.2</v>
      </c>
      <c r="F68" s="1152">
        <v>30</v>
      </c>
    </row>
    <row r="69" spans="1:6" s="1103" customFormat="1" ht="36">
      <c r="A69" s="1152">
        <v>9</v>
      </c>
      <c r="B69" s="3530"/>
      <c r="C69" s="1066" t="s">
        <v>1519</v>
      </c>
      <c r="D69" s="1066" t="s">
        <v>1520</v>
      </c>
      <c r="E69" s="1137">
        <v>0.2</v>
      </c>
      <c r="F69" s="1152">
        <v>30</v>
      </c>
    </row>
    <row r="70" spans="1:6" s="1103" customFormat="1" ht="48">
      <c r="A70" s="1152">
        <v>10</v>
      </c>
      <c r="B70" s="3530"/>
      <c r="C70" s="1066" t="s">
        <v>1521</v>
      </c>
      <c r="D70" s="1066" t="s">
        <v>1522</v>
      </c>
      <c r="E70" s="1137">
        <v>0.2</v>
      </c>
      <c r="F70" s="1152">
        <v>30</v>
      </c>
    </row>
    <row r="71" spans="1:6" s="1103" customFormat="1" ht="48">
      <c r="A71" s="1152">
        <v>11</v>
      </c>
      <c r="B71" s="3530"/>
      <c r="C71" s="1066" t="s">
        <v>1523</v>
      </c>
      <c r="D71" s="1066" t="s">
        <v>1524</v>
      </c>
      <c r="E71" s="1137">
        <v>0.2</v>
      </c>
      <c r="F71" s="1152">
        <v>30</v>
      </c>
    </row>
    <row r="72" spans="1:6" s="1103" customFormat="1" ht="36">
      <c r="A72" s="1152">
        <v>12</v>
      </c>
      <c r="B72" s="3530"/>
      <c r="C72" s="1066" t="s">
        <v>1525</v>
      </c>
      <c r="D72" s="1066" t="s">
        <v>1526</v>
      </c>
      <c r="E72" s="1137">
        <v>0.5</v>
      </c>
      <c r="F72" s="1152">
        <v>80</v>
      </c>
    </row>
    <row r="73" spans="1:6" s="1103" customFormat="1" ht="24">
      <c r="A73" s="1152">
        <v>13</v>
      </c>
      <c r="B73" s="3530"/>
      <c r="C73" s="1066" t="s">
        <v>1527</v>
      </c>
      <c r="D73" s="1066" t="s">
        <v>1528</v>
      </c>
      <c r="E73" s="1137">
        <v>0.4</v>
      </c>
      <c r="F73" s="1152">
        <v>60</v>
      </c>
    </row>
    <row r="74" spans="1:6" s="1103" customFormat="1" ht="24">
      <c r="A74" s="1152">
        <v>14</v>
      </c>
      <c r="B74" s="3530"/>
      <c r="C74" s="1066" t="s">
        <v>1529</v>
      </c>
      <c r="D74" s="1066" t="s">
        <v>1530</v>
      </c>
      <c r="E74" s="1137">
        <v>0.2</v>
      </c>
      <c r="F74" s="1152">
        <v>30</v>
      </c>
    </row>
    <row r="75" spans="1:6" s="1103" customFormat="1" ht="24">
      <c r="A75" s="1152">
        <v>15</v>
      </c>
      <c r="B75" s="3530"/>
      <c r="C75" s="1066" t="s">
        <v>1531</v>
      </c>
      <c r="D75" s="1066" t="s">
        <v>1532</v>
      </c>
      <c r="E75" s="1137">
        <v>0.2</v>
      </c>
      <c r="F75" s="1152">
        <v>30</v>
      </c>
    </row>
    <row r="76" spans="1:6" s="1103" customFormat="1" ht="24">
      <c r="A76" s="1152">
        <v>16</v>
      </c>
      <c r="B76" s="3530" t="s">
        <v>1533</v>
      </c>
      <c r="C76" s="1066" t="s">
        <v>1534</v>
      </c>
      <c r="D76" s="1066" t="s">
        <v>1535</v>
      </c>
      <c r="E76" s="1137">
        <v>0.5</v>
      </c>
      <c r="F76" s="1152">
        <v>80</v>
      </c>
    </row>
    <row r="77" spans="1:6" s="1103" customFormat="1" ht="24">
      <c r="A77" s="1152">
        <v>17</v>
      </c>
      <c r="B77" s="3530"/>
      <c r="C77" s="1066" t="s">
        <v>1536</v>
      </c>
      <c r="D77" s="1066" t="s">
        <v>1537</v>
      </c>
      <c r="E77" s="1137">
        <v>0.5</v>
      </c>
      <c r="F77" s="1152">
        <v>80</v>
      </c>
    </row>
    <row r="78" spans="1:6" s="1103" customFormat="1" ht="24">
      <c r="A78" s="1152">
        <v>18</v>
      </c>
      <c r="B78" s="3530"/>
      <c r="C78" s="1066" t="s">
        <v>1538</v>
      </c>
      <c r="D78" s="1066" t="s">
        <v>1539</v>
      </c>
      <c r="E78" s="1137">
        <v>0.2</v>
      </c>
      <c r="F78" s="1152">
        <v>30</v>
      </c>
    </row>
    <row r="79" spans="1:6" s="1103" customFormat="1" ht="24">
      <c r="A79" s="1152">
        <v>19</v>
      </c>
      <c r="B79" s="3530"/>
      <c r="C79" s="1066" t="s">
        <v>1540</v>
      </c>
      <c r="D79" s="1066" t="s">
        <v>1541</v>
      </c>
      <c r="E79" s="1137">
        <v>0.5</v>
      </c>
      <c r="F79" s="1152">
        <v>80</v>
      </c>
    </row>
    <row r="80" spans="1:6" s="1103" customFormat="1" ht="36">
      <c r="A80" s="1152">
        <v>20</v>
      </c>
      <c r="B80" s="3530"/>
      <c r="C80" s="1066" t="s">
        <v>1542</v>
      </c>
      <c r="D80" s="1066" t="s">
        <v>1543</v>
      </c>
      <c r="E80" s="1137">
        <v>0.2</v>
      </c>
      <c r="F80" s="1152">
        <v>30</v>
      </c>
    </row>
    <row r="81" spans="1:6" s="1103" customFormat="1" ht="36">
      <c r="A81" s="1152">
        <v>21</v>
      </c>
      <c r="B81" s="3530"/>
      <c r="C81" s="1066" t="s">
        <v>1544</v>
      </c>
      <c r="D81" s="1066" t="s">
        <v>1545</v>
      </c>
      <c r="E81" s="1137">
        <v>0.2</v>
      </c>
      <c r="F81" s="1152">
        <v>30</v>
      </c>
    </row>
    <row r="82" spans="1:6" s="1103" customFormat="1" ht="48">
      <c r="A82" s="1152">
        <v>22</v>
      </c>
      <c r="B82" s="3530"/>
      <c r="C82" s="1066" t="s">
        <v>1546</v>
      </c>
      <c r="D82" s="1066" t="s">
        <v>1547</v>
      </c>
      <c r="E82" s="1137">
        <v>0.2</v>
      </c>
      <c r="F82" s="1152">
        <v>30</v>
      </c>
    </row>
    <row r="83" spans="1:6" s="1103" customFormat="1" ht="48">
      <c r="A83" s="1152">
        <v>23</v>
      </c>
      <c r="B83" s="3530"/>
      <c r="C83" s="1066" t="s">
        <v>1548</v>
      </c>
      <c r="D83" s="1066" t="s">
        <v>1549</v>
      </c>
      <c r="E83" s="1137">
        <v>0.2</v>
      </c>
      <c r="F83" s="1152">
        <v>30</v>
      </c>
    </row>
    <row r="84" spans="1:6" s="1103" customFormat="1" ht="36">
      <c r="A84" s="1152">
        <v>24</v>
      </c>
      <c r="B84" s="3530"/>
      <c r="C84" s="1066" t="s">
        <v>1550</v>
      </c>
      <c r="D84" s="1066" t="s">
        <v>1551</v>
      </c>
      <c r="E84" s="1137">
        <v>0.2</v>
      </c>
      <c r="F84" s="1152">
        <v>30</v>
      </c>
    </row>
    <row r="85" spans="1:6" s="1103" customFormat="1" ht="36">
      <c r="A85" s="1152">
        <v>25</v>
      </c>
      <c r="B85" s="3530"/>
      <c r="C85" s="1066" t="s">
        <v>1552</v>
      </c>
      <c r="D85" s="1066" t="s">
        <v>1553</v>
      </c>
      <c r="E85" s="1137">
        <v>0.5</v>
      </c>
      <c r="F85" s="1152">
        <v>80</v>
      </c>
    </row>
    <row r="86" spans="1:6" s="1103" customFormat="1" ht="36">
      <c r="A86" s="1152">
        <v>26</v>
      </c>
      <c r="B86" s="3530"/>
      <c r="C86" s="1066" t="s">
        <v>1554</v>
      </c>
      <c r="D86" s="1066" t="s">
        <v>1555</v>
      </c>
      <c r="E86" s="1137">
        <v>0.2</v>
      </c>
      <c r="F86" s="1152">
        <v>30</v>
      </c>
    </row>
    <row r="87" spans="1:6" s="1103" customFormat="1" ht="36">
      <c r="A87" s="1152">
        <v>27</v>
      </c>
      <c r="B87" s="3530"/>
      <c r="C87" s="1066" t="s">
        <v>1556</v>
      </c>
      <c r="D87" s="1066" t="s">
        <v>1557</v>
      </c>
      <c r="E87" s="1137">
        <v>0.2</v>
      </c>
      <c r="F87" s="1152">
        <v>30</v>
      </c>
    </row>
    <row r="88" spans="1:6" s="1103" customFormat="1" ht="36">
      <c r="A88" s="1152">
        <v>28</v>
      </c>
      <c r="B88" s="3530"/>
      <c r="C88" s="1066" t="s">
        <v>1558</v>
      </c>
      <c r="D88" s="1066" t="s">
        <v>1559</v>
      </c>
      <c r="E88" s="1137">
        <v>0.2</v>
      </c>
      <c r="F88" s="1152">
        <v>30</v>
      </c>
    </row>
    <row r="89" spans="1:6" s="1103" customFormat="1" ht="24">
      <c r="A89" s="1152">
        <v>29</v>
      </c>
      <c r="B89" s="3530"/>
      <c r="C89" s="1066" t="s">
        <v>1560</v>
      </c>
      <c r="D89" s="1066" t="s">
        <v>1561</v>
      </c>
      <c r="E89" s="1137">
        <v>0.2</v>
      </c>
      <c r="F89" s="1152">
        <v>30</v>
      </c>
    </row>
    <row r="90" spans="1:6" s="1103" customFormat="1" ht="24">
      <c r="A90" s="1152">
        <v>30</v>
      </c>
      <c r="B90" s="3530"/>
      <c r="C90" s="1066" t="s">
        <v>1562</v>
      </c>
      <c r="D90" s="1066" t="s">
        <v>1563</v>
      </c>
      <c r="E90" s="1137">
        <v>0.2</v>
      </c>
      <c r="F90" s="1152">
        <v>30</v>
      </c>
    </row>
    <row r="91" spans="1:6" s="1103" customFormat="1" ht="36">
      <c r="A91" s="1152">
        <v>31</v>
      </c>
      <c r="B91" s="3530"/>
      <c r="C91" s="1066" t="s">
        <v>1564</v>
      </c>
      <c r="D91" s="1066" t="s">
        <v>1565</v>
      </c>
      <c r="E91" s="1137">
        <v>0.2</v>
      </c>
      <c r="F91" s="1152">
        <v>30</v>
      </c>
    </row>
    <row r="92" spans="1:6" s="1103" customFormat="1" ht="24">
      <c r="A92" s="1152">
        <v>32</v>
      </c>
      <c r="B92" s="3530" t="s">
        <v>1566</v>
      </c>
      <c r="C92" s="1152" t="s">
        <v>1567</v>
      </c>
      <c r="D92" s="1066" t="s">
        <v>1568</v>
      </c>
      <c r="E92" s="1137">
        <v>0.2</v>
      </c>
      <c r="F92" s="1152">
        <v>30</v>
      </c>
    </row>
    <row r="93" spans="1:6" s="1103" customFormat="1" ht="36">
      <c r="A93" s="1152">
        <v>33</v>
      </c>
      <c r="B93" s="3530"/>
      <c r="C93" s="1152" t="s">
        <v>1569</v>
      </c>
      <c r="D93" s="1066" t="s">
        <v>1570</v>
      </c>
      <c r="E93" s="1137">
        <v>0.2</v>
      </c>
      <c r="F93" s="1152">
        <v>30</v>
      </c>
    </row>
    <row r="94" spans="1:6" s="1103" customFormat="1" ht="48">
      <c r="A94" s="1152">
        <v>34</v>
      </c>
      <c r="B94" s="3530"/>
      <c r="C94" s="1152" t="s">
        <v>1571</v>
      </c>
      <c r="D94" s="1066" t="s">
        <v>1572</v>
      </c>
      <c r="E94" s="1137">
        <v>0.2</v>
      </c>
      <c r="F94" s="1152">
        <v>30</v>
      </c>
    </row>
    <row r="95" spans="1:6" s="1103" customFormat="1" ht="36">
      <c r="A95" s="1152">
        <v>35</v>
      </c>
      <c r="B95" s="3530"/>
      <c r="C95" s="1152" t="s">
        <v>1573</v>
      </c>
      <c r="D95" s="1066" t="s">
        <v>1574</v>
      </c>
      <c r="E95" s="1137">
        <v>0.2</v>
      </c>
      <c r="F95" s="1152">
        <v>30</v>
      </c>
    </row>
    <row r="96" spans="1:6" s="1103" customFormat="1" ht="48">
      <c r="A96" s="1152">
        <v>36</v>
      </c>
      <c r="B96" s="3530"/>
      <c r="C96" s="1066" t="s">
        <v>1575</v>
      </c>
      <c r="D96" s="1066" t="s">
        <v>1576</v>
      </c>
      <c r="E96" s="1137">
        <v>0.2</v>
      </c>
      <c r="F96" s="1152">
        <v>30</v>
      </c>
    </row>
    <row r="97" spans="1:6" s="1103" customFormat="1" ht="36">
      <c r="A97" s="1152">
        <v>37</v>
      </c>
      <c r="B97" s="3530"/>
      <c r="C97" s="1152" t="s">
        <v>1577</v>
      </c>
      <c r="D97" s="1066" t="s">
        <v>1578</v>
      </c>
      <c r="E97" s="1137">
        <v>0.2</v>
      </c>
      <c r="F97" s="1152">
        <v>30</v>
      </c>
    </row>
    <row r="98" spans="1:6" s="1103" customFormat="1" ht="36">
      <c r="A98" s="1152">
        <v>38</v>
      </c>
      <c r="B98" s="3530"/>
      <c r="C98" s="1152" t="s">
        <v>1579</v>
      </c>
      <c r="D98" s="1066" t="s">
        <v>1580</v>
      </c>
      <c r="E98" s="1137">
        <v>0.2</v>
      </c>
      <c r="F98" s="1152">
        <v>30</v>
      </c>
    </row>
    <row r="99" spans="1:6" s="1103" customFormat="1" ht="36">
      <c r="A99" s="1152">
        <v>39</v>
      </c>
      <c r="B99" s="3530" t="s">
        <v>1581</v>
      </c>
      <c r="C99" s="1152" t="s">
        <v>1582</v>
      </c>
      <c r="D99" s="1066" t="s">
        <v>1583</v>
      </c>
      <c r="E99" s="1137">
        <v>0.3</v>
      </c>
      <c r="F99" s="1152">
        <v>50</v>
      </c>
    </row>
    <row r="100" spans="1:6" s="1103" customFormat="1" ht="24">
      <c r="A100" s="1152">
        <v>40</v>
      </c>
      <c r="B100" s="3530"/>
      <c r="C100" s="1152" t="s">
        <v>1584</v>
      </c>
      <c r="D100" s="1066" t="s">
        <v>1585</v>
      </c>
      <c r="E100" s="1137">
        <v>0.2</v>
      </c>
      <c r="F100" s="1152">
        <v>30</v>
      </c>
    </row>
    <row r="101" spans="1:6" s="1103" customFormat="1" ht="36">
      <c r="A101" s="1152">
        <v>41</v>
      </c>
      <c r="B101" s="3530"/>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30" t="s">
        <v>1596</v>
      </c>
      <c r="C105" s="1152" t="s">
        <v>1597</v>
      </c>
      <c r="D105" s="1066" t="s">
        <v>1598</v>
      </c>
      <c r="E105" s="1137">
        <v>0.2</v>
      </c>
      <c r="F105" s="1152">
        <v>30</v>
      </c>
    </row>
    <row r="106" spans="1:6" s="1103" customFormat="1" ht="36">
      <c r="A106" s="1152">
        <v>46</v>
      </c>
      <c r="B106" s="3530"/>
      <c r="C106" s="1152" t="s">
        <v>1599</v>
      </c>
      <c r="D106" s="1066" t="s">
        <v>1600</v>
      </c>
      <c r="E106" s="1137">
        <v>0.2</v>
      </c>
      <c r="F106" s="1152">
        <v>30</v>
      </c>
    </row>
    <row r="107" spans="1:6" s="1103" customFormat="1" ht="36">
      <c r="A107" s="1152">
        <v>47</v>
      </c>
      <c r="B107" s="3530" t="s">
        <v>1601</v>
      </c>
      <c r="C107" s="1152" t="s">
        <v>1602</v>
      </c>
      <c r="D107" s="1066" t="s">
        <v>1603</v>
      </c>
      <c r="E107" s="1137">
        <v>0.3</v>
      </c>
      <c r="F107" s="1152">
        <v>50</v>
      </c>
    </row>
    <row r="108" spans="1:6" s="1103" customFormat="1" ht="36">
      <c r="A108" s="1152">
        <v>48</v>
      </c>
      <c r="B108" s="353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30" t="s">
        <v>1612</v>
      </c>
      <c r="C111" s="1152" t="s">
        <v>1613</v>
      </c>
      <c r="D111" s="1066" t="s">
        <v>1614</v>
      </c>
      <c r="E111" s="1137">
        <v>0.2</v>
      </c>
      <c r="F111" s="1152">
        <v>30</v>
      </c>
    </row>
    <row r="112" spans="1:6" s="1103" customFormat="1" ht="24">
      <c r="A112" s="1152">
        <v>52</v>
      </c>
      <c r="B112" s="3530"/>
      <c r="C112" s="1152" t="s">
        <v>1615</v>
      </c>
      <c r="D112" s="1066" t="s">
        <v>1616</v>
      </c>
      <c r="E112" s="1137">
        <v>0.2</v>
      </c>
      <c r="F112" s="1152">
        <v>30</v>
      </c>
    </row>
    <row r="113" spans="1:14" s="1103" customFormat="1" ht="24">
      <c r="A113" s="1152">
        <v>53</v>
      </c>
      <c r="B113" s="3530"/>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30" t="s">
        <v>1625</v>
      </c>
      <c r="C116" s="1152" t="s">
        <v>1626</v>
      </c>
      <c r="D116" s="1066" t="s">
        <v>1627</v>
      </c>
      <c r="E116" s="1137">
        <v>0.2</v>
      </c>
      <c r="F116" s="1152">
        <v>30</v>
      </c>
    </row>
    <row r="117" spans="1:14" ht="36">
      <c r="A117" s="1152">
        <v>57</v>
      </c>
      <c r="B117" s="353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29" t="s">
        <v>1634</v>
      </c>
      <c r="B121" s="3529"/>
      <c r="C121" s="3529"/>
      <c r="D121" s="3529"/>
      <c r="E121" s="3529"/>
      <c r="F121" s="3529"/>
      <c r="G121" s="3529"/>
      <c r="H121" s="3529"/>
      <c r="I121" s="3529"/>
      <c r="J121" s="35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42" t="s">
        <v>1040</v>
      </c>
      <c r="B1" s="3542"/>
      <c r="C1" s="3542"/>
      <c r="D1" s="3542"/>
      <c r="E1" s="3542"/>
      <c r="F1" s="354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43" t="s">
        <v>1053</v>
      </c>
      <c r="B2" s="3543"/>
      <c r="C2" s="3543"/>
      <c r="D2" s="3543"/>
      <c r="E2" s="3543"/>
      <c r="F2" s="354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4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4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46" t="s">
        <v>2082</v>
      </c>
      <c r="B1" s="3546"/>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f ca="1">SUMIF(B7:B14,"&lt;&gt;#ref!",B7:B14)</f>
        <v>33882</v>
      </c>
      <c r="C2" s="3135" t="s">
        <v>2949</v>
      </c>
      <c r="D2" s="3134"/>
      <c r="E2" s="3134"/>
      <c r="F2" s="3134"/>
    </row>
    <row r="3" spans="1:6" ht="14.25">
      <c r="A3" s="3135" t="s">
        <v>2951</v>
      </c>
      <c r="B3" s="3136" t="e">
        <f ca="1">ROUND(B2*10000/E3,0)</f>
        <v>#REF!</v>
      </c>
      <c r="C3" s="3135" t="s">
        <v>2081</v>
      </c>
      <c r="D3" s="3135" t="s">
        <v>2950</v>
      </c>
      <c r="E3" s="3136" t="e">
        <f ca="1">SUM(E7:E14)</f>
        <v>#REF!</v>
      </c>
      <c r="F3" s="3134"/>
    </row>
    <row r="4" spans="1:6" ht="14.25">
      <c r="A4" s="3135" t="s">
        <v>2958</v>
      </c>
      <c r="B4" s="3136" t="e">
        <f ca="1">ROUND(B2*10000/E4,0)</f>
        <v>#REF!</v>
      </c>
      <c r="C4" s="3135" t="s">
        <v>2081</v>
      </c>
      <c r="D4" s="3135" t="s">
        <v>2959</v>
      </c>
      <c r="E4" s="3136" t="e">
        <f ca="1">SUM(F7:F14)</f>
        <v>#REF!</v>
      </c>
      <c r="F4" s="3134"/>
    </row>
    <row r="5" spans="1:6" ht="14.25">
      <c r="A5" s="3137"/>
      <c r="B5" s="1881"/>
      <c r="C5" s="1881"/>
      <c r="D5" s="1881"/>
      <c r="E5" s="1881"/>
      <c r="F5" s="3134"/>
    </row>
    <row r="6" spans="1:6" ht="28.5">
      <c r="A6" s="3138" t="s">
        <v>2955</v>
      </c>
      <c r="B6" s="3135" t="s">
        <v>2952</v>
      </c>
      <c r="C6" s="3136"/>
      <c r="D6" s="1881"/>
      <c r="E6" s="3135" t="s">
        <v>2953</v>
      </c>
      <c r="F6" s="3135" t="s">
        <v>2957</v>
      </c>
    </row>
    <row r="7" spans="1:6" ht="14.25">
      <c r="A7" s="258" t="s">
        <v>2956</v>
      </c>
      <c r="B7" s="3139">
        <f ca="1">SUMIF(INDIRECT("'"&amp;A7&amp;"'"&amp;"!A:A"),"总价",INDIRECT("'"&amp;A7&amp;"'"&amp;"!B:B"))</f>
        <v>33882</v>
      </c>
      <c r="C7" s="3135" t="s">
        <v>2949</v>
      </c>
      <c r="D7" s="1881"/>
      <c r="E7" s="3140">
        <f ca="1">SUMIF(INDIRECT("'"&amp;A7&amp;"'"&amp;"!C:C"),"建筑面积",INDIRECT("'"&amp;A7&amp;"'"&amp;"!D:D"))</f>
        <v>10000</v>
      </c>
      <c r="F7" s="3140">
        <f ca="1">SUMIF(INDIRECT("'"&amp;A7&amp;"'"&amp;"!E:E"),"土地面积",INDIRECT("'"&amp;A7&amp;"'"&amp;"!F:F"))</f>
        <v>2079.0700000000002</v>
      </c>
    </row>
    <row r="8" spans="1:6" ht="14.25">
      <c r="A8" s="258"/>
      <c r="B8" s="3139" t="e">
        <f t="shared" ref="B8:B14" ca="1" si="0">SUMIF(INDIRECT("'"&amp;A8&amp;"'"&amp;"!A:A"),"总价",INDIRECT("'"&amp;A8&amp;"'"&amp;"!B:B"))</f>
        <v>#REF!</v>
      </c>
      <c r="C8" s="3135" t="s">
        <v>2949</v>
      </c>
      <c r="D8" s="1881"/>
      <c r="E8" s="3140" t="e">
        <f t="shared" ref="E8:E14" ca="1" si="1">SUMIF(INDIRECT("'"&amp;A8&amp;"'"&amp;"!C:C"),"建筑面积",INDIRECT("'"&amp;A8&amp;"'"&amp;"!D:D"))</f>
        <v>#REF!</v>
      </c>
      <c r="F8" s="3140" t="e">
        <f t="shared" ref="F8:F14" ca="1" si="2">SUMIF(INDIRECT("'"&amp;A8&amp;"'"&amp;"!E:E"),"土地面积",INDIRECT("'"&amp;A8&amp;"'"&amp;"!F:F"))</f>
        <v>#REF!</v>
      </c>
    </row>
    <row r="9" spans="1:6" ht="14.25">
      <c r="A9" s="258"/>
      <c r="B9" s="3139" t="e">
        <f t="shared" ca="1" si="0"/>
        <v>#REF!</v>
      </c>
      <c r="C9" s="3135" t="s">
        <v>2949</v>
      </c>
      <c r="D9" s="1881"/>
      <c r="E9" s="3140" t="e">
        <f t="shared" ca="1" si="1"/>
        <v>#REF!</v>
      </c>
      <c r="F9" s="3140" t="e">
        <f t="shared" ca="1" si="2"/>
        <v>#REF!</v>
      </c>
    </row>
    <row r="10" spans="1:6" ht="14.25">
      <c r="A10" s="258"/>
      <c r="B10" s="3139" t="e">
        <f t="shared" ca="1" si="0"/>
        <v>#REF!</v>
      </c>
      <c r="C10" s="3135" t="s">
        <v>2949</v>
      </c>
      <c r="D10" s="1881"/>
      <c r="E10" s="3140" t="e">
        <f t="shared" ca="1" si="1"/>
        <v>#REF!</v>
      </c>
      <c r="F10" s="3140" t="e">
        <f t="shared" ca="1" si="2"/>
        <v>#REF!</v>
      </c>
    </row>
    <row r="11" spans="1:6" ht="14.25">
      <c r="A11" s="258"/>
      <c r="B11" s="3139" t="e">
        <f t="shared" ca="1" si="0"/>
        <v>#REF!</v>
      </c>
      <c r="C11" s="3135" t="s">
        <v>2949</v>
      </c>
      <c r="D11" s="1881"/>
      <c r="E11" s="3140" t="e">
        <f t="shared" ca="1" si="1"/>
        <v>#REF!</v>
      </c>
      <c r="F11" s="3140" t="e">
        <f t="shared" ca="1" si="2"/>
        <v>#REF!</v>
      </c>
    </row>
    <row r="12" spans="1:6" ht="14.25">
      <c r="A12" s="258"/>
      <c r="B12" s="3139" t="e">
        <f t="shared" ca="1" si="0"/>
        <v>#REF!</v>
      </c>
      <c r="C12" s="3135" t="s">
        <v>2949</v>
      </c>
      <c r="D12" s="1881"/>
      <c r="E12" s="3140" t="e">
        <f t="shared" ca="1" si="1"/>
        <v>#REF!</v>
      </c>
      <c r="F12" s="3140" t="e">
        <f t="shared" ca="1" si="2"/>
        <v>#REF!</v>
      </c>
    </row>
    <row r="13" spans="1:6" ht="14.25">
      <c r="A13" s="258"/>
      <c r="B13" s="3139" t="e">
        <f t="shared" ca="1" si="0"/>
        <v>#REF!</v>
      </c>
      <c r="C13" s="3135" t="s">
        <v>2949</v>
      </c>
      <c r="D13" s="1881"/>
      <c r="E13" s="3140" t="e">
        <f t="shared" ca="1" si="1"/>
        <v>#REF!</v>
      </c>
      <c r="F13" s="3140" t="e">
        <f t="shared" ca="1" si="2"/>
        <v>#REF!</v>
      </c>
    </row>
    <row r="14" spans="1:6" ht="14.25">
      <c r="A14" s="3133"/>
      <c r="B14" s="3139" t="e">
        <f t="shared" ca="1" si="0"/>
        <v>#REF!</v>
      </c>
      <c r="C14" s="3135" t="s">
        <v>2949</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20" t="s">
        <v>2465</v>
      </c>
      <c r="E7" s="2514"/>
      <c r="F7" s="2515"/>
      <c r="G7" s="1591"/>
      <c r="H7" s="779">
        <v>1</v>
      </c>
      <c r="I7" s="780" t="s">
        <v>2462</v>
      </c>
      <c r="J7" s="51">
        <f ca="1">J8+J12+J14</f>
        <v>0</v>
      </c>
      <c r="K7" s="2520" t="s">
        <v>2465</v>
      </c>
      <c r="L7" s="2514"/>
      <c r="M7" s="2515"/>
    </row>
    <row r="8" spans="1:25" ht="18" customHeight="1">
      <c r="A8" s="1830" t="s">
        <v>1825</v>
      </c>
      <c r="B8" s="3548" t="s">
        <v>2467</v>
      </c>
      <c r="C8" s="1825">
        <f ca="1">ROUND(F8*F10*F9*(1-F11)/10000,0)</f>
        <v>0</v>
      </c>
      <c r="D8" s="1822" t="s">
        <v>2538</v>
      </c>
      <c r="E8" s="59" t="s">
        <v>637</v>
      </c>
      <c r="F8" s="783">
        <f ca="1">INDIRECT("'数据-取费表'!u"&amp;$G$1)</f>
        <v>0</v>
      </c>
      <c r="G8" s="1591"/>
      <c r="H8" s="2528" t="s">
        <v>1825</v>
      </c>
      <c r="I8" s="3548" t="s">
        <v>2467</v>
      </c>
      <c r="J8" s="781">
        <f ca="1">ROUND(M8*M10*M9*(1-M11)/10000,0)</f>
        <v>0</v>
      </c>
      <c r="K8" s="339" t="s">
        <v>2538</v>
      </c>
      <c r="L8" s="782" t="s">
        <v>1739</v>
      </c>
      <c r="M8" s="783">
        <f ca="1">INDIRECT("'数据-取费表'!z"&amp;$G$1)</f>
        <v>0</v>
      </c>
    </row>
    <row r="9" spans="1:25" ht="18" customHeight="1">
      <c r="A9" s="2524"/>
      <c r="B9" s="3549"/>
      <c r="C9" s="1826"/>
      <c r="D9" s="1823"/>
      <c r="E9" s="59" t="s">
        <v>638</v>
      </c>
      <c r="F9" s="783">
        <f ca="1">IF(INDIRECT("'数据-取费表'!ah"&amp;$G$1)="",INDIRECT("'数据-取费表'!k"&amp;$G$1),INDIRECT("'数据-取费表'!ah"&amp;$G$1))</f>
        <v>0</v>
      </c>
      <c r="G9" s="1591"/>
      <c r="H9" s="2513"/>
      <c r="I9" s="3549"/>
      <c r="J9" s="786"/>
      <c r="K9" s="787"/>
      <c r="L9" s="782" t="s">
        <v>1740</v>
      </c>
      <c r="M9" s="783">
        <f ca="1">F9</f>
        <v>0</v>
      </c>
    </row>
    <row r="10" spans="1:25" ht="18" customHeight="1">
      <c r="A10" s="2517"/>
      <c r="B10" s="3550"/>
      <c r="C10" s="1826"/>
      <c r="D10" s="1823"/>
      <c r="E10" s="59" t="s">
        <v>639</v>
      </c>
      <c r="F10" s="783">
        <f ca="1">INDIRECT("'数据-取费表'!ai"&amp;$G$1)</f>
        <v>0</v>
      </c>
      <c r="G10" s="1591"/>
      <c r="H10" s="2513"/>
      <c r="I10" s="3550"/>
      <c r="J10" s="786"/>
      <c r="K10" s="787"/>
      <c r="L10" s="782" t="s">
        <v>1741</v>
      </c>
      <c r="M10" s="783">
        <f ca="1">INDIRECT("'数据-取费表'!ai"&amp;$G$1)</f>
        <v>0</v>
      </c>
    </row>
    <row r="11" spans="1:25" ht="18" customHeight="1">
      <c r="A11" s="784"/>
      <c r="B11" s="3551"/>
      <c r="C11" s="1826"/>
      <c r="D11" s="1823"/>
      <c r="E11" s="59" t="s">
        <v>640</v>
      </c>
      <c r="F11" s="792">
        <f ca="1">INDIRECT("'数据-取费表'!w"&amp;$G$1)</f>
        <v>0</v>
      </c>
      <c r="G11" s="1591"/>
      <c r="H11" s="2529"/>
      <c r="I11" s="3550"/>
      <c r="J11" s="786"/>
      <c r="K11" s="787"/>
      <c r="L11" s="793" t="s">
        <v>1742</v>
      </c>
      <c r="M11" s="794">
        <f ca="1">INDIRECT("'数据-取费表'!ab"&amp;$G$1)</f>
        <v>0</v>
      </c>
    </row>
    <row r="12" spans="1:25" ht="18" customHeight="1">
      <c r="A12" s="1830" t="s">
        <v>1826</v>
      </c>
      <c r="B12" s="2518" t="s">
        <v>2463</v>
      </c>
      <c r="C12" s="797">
        <f ca="1">ROUND(IF(F12="押一",C8/12*F13,IF(F12="押二",C8/12*2*F13,IF(F12="押三",C8/12*3*F13,C13*F13))),0)</f>
        <v>0</v>
      </c>
      <c r="D12" s="2525" t="s">
        <v>2979</v>
      </c>
      <c r="E12" s="2522" t="s">
        <v>2468</v>
      </c>
      <c r="F12" s="2645"/>
      <c r="G12" s="1591"/>
      <c r="H12" s="2585" t="s">
        <v>1826</v>
      </c>
      <c r="I12" s="2590" t="s">
        <v>2463</v>
      </c>
      <c r="J12" s="781">
        <f ca="1">ROUND(IF(M12="押一",J8/12*M13,IF(M12="押二",J8/12*2*M13,IF(M12="押三",J8/12*3*M13,J13*M13))),0)</f>
        <v>0</v>
      </c>
      <c r="K12" s="2525" t="s">
        <v>2979</v>
      </c>
      <c r="L12" s="2522" t="s">
        <v>2468</v>
      </c>
      <c r="M12" s="2645"/>
    </row>
    <row r="13" spans="1:25" ht="18" customHeight="1">
      <c r="A13" s="788"/>
      <c r="B13" s="2519" t="s">
        <v>2577</v>
      </c>
      <c r="C13" s="2523"/>
      <c r="D13" s="787"/>
      <c r="E13" s="2522" t="s">
        <v>2460</v>
      </c>
      <c r="F13" s="794">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6"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5"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5"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5"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2826</v>
      </c>
      <c r="C31" s="2568">
        <f ca="1">ROUND((C21+C22+C25+C28)/(1-F23-C26-C29-C30),0)</f>
        <v>0</v>
      </c>
      <c r="D31" s="2569"/>
      <c r="E31" s="2570"/>
      <c r="F31" s="2571"/>
      <c r="G31" s="1592"/>
      <c r="H31" s="821" t="s">
        <v>1873</v>
      </c>
      <c r="I31" s="3036"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11"/>
      <c r="F32" s="2515"/>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547"/>
      <c r="J36" s="2079"/>
      <c r="K36" s="2080"/>
      <c r="L36" s="2079"/>
      <c r="M36" s="2079"/>
    </row>
    <row r="37" spans="1:18" ht="18" customHeight="1">
      <c r="A37" s="813"/>
      <c r="B37" s="791"/>
      <c r="C37" s="67"/>
      <c r="D37" s="814"/>
      <c r="E37" s="782" t="s">
        <v>674</v>
      </c>
      <c r="F37" s="783">
        <f ca="1">INDIRECT("'数据-取费表'!r"&amp;$G$1)</f>
        <v>0</v>
      </c>
      <c r="G37" s="2062"/>
      <c r="H37" s="2065"/>
      <c r="I37" s="3547"/>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3" t="s">
        <v>2967</v>
      </c>
      <c r="F43" s="3154">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2">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5" t="s">
        <v>2970</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40.07</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52"/>
      <c r="L54" s="3553"/>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50" t="s">
        <v>1679</v>
      </c>
      <c r="K57" s="2383" t="s">
        <v>2366</v>
      </c>
      <c r="L57" s="2392">
        <f ca="1">IF(L49&lt;J52,"——",L49-J52)</f>
        <v>40.07</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2946</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1"/>
      <c r="Q65" s="1603"/>
      <c r="R65" s="1591"/>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2058年5月26日地下仓储2058年5月26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14" sqref="W14"/>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56" t="s">
        <v>2580</v>
      </c>
      <c r="C1" s="3556"/>
      <c r="D1" s="3556"/>
      <c r="E1" s="3556"/>
      <c r="F1" s="3556"/>
      <c r="G1" s="3555" t="s">
        <v>2581</v>
      </c>
      <c r="H1" s="3555"/>
      <c r="I1" s="3555"/>
      <c r="J1" s="3555"/>
      <c r="K1" s="3555"/>
      <c r="L1" s="3555"/>
      <c r="N1" s="3555" t="s">
        <v>2582</v>
      </c>
      <c r="O1" s="3555"/>
      <c r="P1" s="3555"/>
      <c r="Q1" s="3555"/>
      <c r="R1" s="2678"/>
      <c r="S1" s="3555" t="s">
        <v>2583</v>
      </c>
      <c r="T1" s="3555"/>
      <c r="U1" s="3555"/>
      <c r="V1" s="3555"/>
      <c r="X1" s="3554" t="s">
        <v>2643</v>
      </c>
      <c r="Y1" s="3555"/>
      <c r="Z1" s="3555"/>
      <c r="AA1" s="3555"/>
      <c r="AB1" s="3555"/>
      <c r="AD1" s="3554" t="s">
        <v>2647</v>
      </c>
      <c r="AE1" s="3555"/>
      <c r="AF1" s="3555"/>
      <c r="AG1" s="3555"/>
      <c r="AH1" s="3555"/>
    </row>
    <row r="2" spans="1:34" s="2780" customFormat="1" ht="14.25" thickBot="1">
      <c r="B2" s="2788" t="s">
        <v>2584</v>
      </c>
      <c r="C2" s="2788" t="s">
        <v>2645</v>
      </c>
      <c r="D2" s="2781" t="s">
        <v>1645</v>
      </c>
      <c r="E2" s="2781" t="s">
        <v>1952</v>
      </c>
      <c r="F2" s="2788" t="s">
        <v>2646</v>
      </c>
      <c r="G2" s="2784"/>
      <c r="H2" s="2783"/>
      <c r="I2" s="2788" t="s">
        <v>2961</v>
      </c>
      <c r="J2" s="2781" t="s">
        <v>2963</v>
      </c>
      <c r="K2" s="2781" t="s">
        <v>2964</v>
      </c>
      <c r="L2" s="2788" t="s">
        <v>2965</v>
      </c>
      <c r="N2" s="2788" t="s">
        <v>2584</v>
      </c>
      <c r="O2" s="2781" t="s">
        <v>2962</v>
      </c>
      <c r="P2" s="2781" t="s">
        <v>1952</v>
      </c>
      <c r="Q2" s="2788" t="s">
        <v>2646</v>
      </c>
      <c r="R2" s="2782"/>
      <c r="S2" s="2788" t="s">
        <v>2584</v>
      </c>
      <c r="T2" s="2781" t="s">
        <v>2962</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5" customFormat="1" ht="14.25">
      <c r="A3" s="3177" t="s">
        <v>2974</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2981</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2975</v>
      </c>
      <c r="X5" s="3147">
        <f>ROUND(SUMPRODUCT(PRODUCT(1+N5:N$22)),4)</f>
        <v>1.4947999999999999</v>
      </c>
      <c r="Y5" s="3147">
        <f>ROUND(SUMPRODUCT(PRODUCT(1+O5:O$22)),4)</f>
        <v>1.3230999999999999</v>
      </c>
      <c r="Z5" s="3147">
        <f t="shared" ref="Z5" si="10">Y5</f>
        <v>1.3230999999999999</v>
      </c>
      <c r="AA5" s="3147">
        <f>ROUND(SUMPRODUCT(PRODUCT(1+P5:P$22)),4)</f>
        <v>1.5564</v>
      </c>
      <c r="AB5" s="3147">
        <f>ROUND(SUMPRODUCT(PRODUCT(1+Q5:Q$22)),4)</f>
        <v>1.2726999999999999</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5" customFormat="1" ht="13.5" thickBot="1">
      <c r="A6" s="2679" t="s">
        <v>2982</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4">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2972</v>
      </c>
      <c r="B7" s="3179">
        <v>439</v>
      </c>
      <c r="C7" s="3179">
        <v>327</v>
      </c>
      <c r="D7" s="3179">
        <f t="shared" si="13"/>
        <v>327</v>
      </c>
      <c r="E7" s="3179">
        <v>627</v>
      </c>
      <c r="F7" s="3180">
        <v>283</v>
      </c>
      <c r="G7" s="3162">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2976</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4"/>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5"/>
        <v>419.31181600000002</v>
      </c>
      <c r="C9" s="2693">
        <f t="shared" si="25"/>
        <v>313.95436800000004</v>
      </c>
      <c r="D9" s="2693">
        <f t="shared" si="13"/>
        <v>313.95436800000004</v>
      </c>
      <c r="E9" s="2693">
        <f t="shared" si="26"/>
        <v>596.63028431999999</v>
      </c>
      <c r="F9" s="2693">
        <f t="shared" si="26"/>
        <v>274.74220703999998</v>
      </c>
      <c r="G9" s="3163"/>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2586</v>
      </c>
      <c r="B10" s="2693">
        <f t="shared" si="25"/>
        <v>405.524</v>
      </c>
      <c r="C10" s="2693">
        <f t="shared" si="25"/>
        <v>307.79840000000002</v>
      </c>
      <c r="D10" s="2693">
        <f t="shared" si="13"/>
        <v>307.79840000000002</v>
      </c>
      <c r="E10" s="2693">
        <f t="shared" si="26"/>
        <v>574.67759999999998</v>
      </c>
      <c r="F10" s="2693">
        <f t="shared" si="26"/>
        <v>270.20280000000002</v>
      </c>
      <c r="G10" s="3164"/>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63">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558"/>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558"/>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559"/>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557">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558"/>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558"/>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559"/>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557">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558"/>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558"/>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559"/>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2587</v>
      </c>
      <c r="B23" s="2685">
        <v>299</v>
      </c>
      <c r="C23" s="2685">
        <v>252</v>
      </c>
      <c r="D23" s="2685">
        <f t="shared" si="35"/>
        <v>252</v>
      </c>
      <c r="E23" s="2685">
        <v>409</v>
      </c>
      <c r="F23" s="2686">
        <v>227</v>
      </c>
      <c r="G23" s="3560">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2588</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61"/>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2589</v>
      </c>
      <c r="B25" s="2693">
        <f t="shared" si="44"/>
        <v>288.2649053828776</v>
      </c>
      <c r="C25" s="2693">
        <f t="shared" si="44"/>
        <v>243.64564425013293</v>
      </c>
      <c r="D25" s="2693">
        <f t="shared" si="35"/>
        <v>243.64564425013293</v>
      </c>
      <c r="E25" s="2693">
        <f t="shared" si="45"/>
        <v>393.31080825986544</v>
      </c>
      <c r="F25" s="2693">
        <f t="shared" si="45"/>
        <v>223.07903790551154</v>
      </c>
      <c r="G25" s="3561"/>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2590</v>
      </c>
      <c r="B26" s="2693">
        <f t="shared" si="44"/>
        <v>282.50186729015837</v>
      </c>
      <c r="C26" s="2693">
        <f t="shared" si="44"/>
        <v>238.09796174155468</v>
      </c>
      <c r="D26" s="2693">
        <f t="shared" si="35"/>
        <v>238.09796174155468</v>
      </c>
      <c r="E26" s="2693">
        <f t="shared" si="45"/>
        <v>385.33438646014054</v>
      </c>
      <c r="F26" s="2693">
        <f t="shared" si="45"/>
        <v>221.55034055567739</v>
      </c>
      <c r="G26" s="3562"/>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2591</v>
      </c>
      <c r="B27" s="2723">
        <v>278</v>
      </c>
      <c r="C27" s="2723">
        <v>234</v>
      </c>
      <c r="D27" s="2723">
        <f t="shared" si="35"/>
        <v>234</v>
      </c>
      <c r="E27" s="2723">
        <v>379</v>
      </c>
      <c r="F27" s="2724">
        <v>220</v>
      </c>
      <c r="G27" s="3557">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5"/>
        <v>232.41954707985698</v>
      </c>
      <c r="E28" s="2693">
        <f t="shared" ref="E28:F30" si="46">E27/(1+P27)</f>
        <v>375.32184591008121</v>
      </c>
      <c r="F28" s="2693">
        <f t="shared" si="46"/>
        <v>218.03766105054513</v>
      </c>
      <c r="G28" s="3558"/>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2593</v>
      </c>
      <c r="B29" s="2693">
        <f>B28/(1+N28)</f>
        <v>275.24529281292263</v>
      </c>
      <c r="C29" s="2693">
        <f>C28/(1+O28)</f>
        <v>231.74747938962707</v>
      </c>
      <c r="D29" s="2693">
        <f t="shared" si="35"/>
        <v>231.74747938962707</v>
      </c>
      <c r="E29" s="2693">
        <f t="shared" si="46"/>
        <v>375.35938184826603</v>
      </c>
      <c r="F29" s="2693">
        <f t="shared" si="46"/>
        <v>216.78033510692495</v>
      </c>
      <c r="G29" s="3558"/>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2594</v>
      </c>
      <c r="B30" s="2693">
        <f>B29/(1+N29)</f>
        <v>275.19025476197027</v>
      </c>
      <c r="C30" s="2725">
        <v>232</v>
      </c>
      <c r="D30" s="2725">
        <f t="shared" si="35"/>
        <v>232</v>
      </c>
      <c r="E30" s="2693">
        <f t="shared" si="46"/>
        <v>375.65990977608692</v>
      </c>
      <c r="F30" s="2693">
        <f t="shared" si="46"/>
        <v>214.12518283971252</v>
      </c>
      <c r="G30" s="3559"/>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2595</v>
      </c>
      <c r="B31" s="2685">
        <v>275</v>
      </c>
      <c r="C31" s="2685">
        <v>232</v>
      </c>
      <c r="D31" s="2685">
        <f t="shared" si="35"/>
        <v>232</v>
      </c>
      <c r="E31" s="2685">
        <v>376</v>
      </c>
      <c r="F31" s="2686">
        <v>213</v>
      </c>
      <c r="G31" s="3557">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2596</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558">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2597</v>
      </c>
      <c r="B33" s="2693">
        <f t="shared" si="47"/>
        <v>275.19335084830601</v>
      </c>
      <c r="C33" s="2693">
        <f t="shared" si="47"/>
        <v>230.18088050139744</v>
      </c>
      <c r="D33" s="2693">
        <f t="shared" si="35"/>
        <v>230.18088050139744</v>
      </c>
      <c r="E33" s="2693">
        <f t="shared" si="48"/>
        <v>377.58482925212331</v>
      </c>
      <c r="F33" s="2693">
        <f t="shared" si="48"/>
        <v>210.90687997847917</v>
      </c>
      <c r="G33" s="3558">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2598</v>
      </c>
      <c r="B34" s="2693">
        <f t="shared" si="47"/>
        <v>276.29854502841971</v>
      </c>
      <c r="C34" s="2693">
        <f t="shared" si="47"/>
        <v>229.79023709833027</v>
      </c>
      <c r="D34" s="2693">
        <f t="shared" si="35"/>
        <v>229.79023709833027</v>
      </c>
      <c r="E34" s="2693">
        <f t="shared" si="48"/>
        <v>379.78759731655936</v>
      </c>
      <c r="F34" s="2693">
        <f t="shared" si="48"/>
        <v>211.32953905659235</v>
      </c>
      <c r="G34" s="3559">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2599</v>
      </c>
      <c r="B35" s="2685">
        <v>269</v>
      </c>
      <c r="C35" s="2685">
        <v>221</v>
      </c>
      <c r="D35" s="2685">
        <f t="shared" si="35"/>
        <v>221</v>
      </c>
      <c r="E35" s="2685">
        <v>373</v>
      </c>
      <c r="F35" s="2686">
        <v>196</v>
      </c>
      <c r="G35" s="3557">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2600</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558">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2601</v>
      </c>
      <c r="B37" s="2693">
        <f t="shared" si="49"/>
        <v>242.95398227588385</v>
      </c>
      <c r="C37" s="2693">
        <f t="shared" si="49"/>
        <v>199.59137053614126</v>
      </c>
      <c r="D37" s="2693">
        <f t="shared" si="35"/>
        <v>199.59137053614126</v>
      </c>
      <c r="E37" s="2693">
        <f t="shared" si="50"/>
        <v>335.92189522342125</v>
      </c>
      <c r="F37" s="2693">
        <f t="shared" si="50"/>
        <v>183.10139991109489</v>
      </c>
      <c r="G37" s="3558">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2602</v>
      </c>
      <c r="B38" s="2693">
        <f t="shared" si="49"/>
        <v>232.06990378821649</v>
      </c>
      <c r="C38" s="2693">
        <f t="shared" si="49"/>
        <v>192.74878854286936</v>
      </c>
      <c r="D38" s="2693">
        <f t="shared" si="35"/>
        <v>192.74878854286936</v>
      </c>
      <c r="E38" s="2693">
        <f t="shared" si="50"/>
        <v>319.71247284992984</v>
      </c>
      <c r="F38" s="2693">
        <f t="shared" si="50"/>
        <v>175.67053622862409</v>
      </c>
      <c r="G38" s="3559">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2603</v>
      </c>
      <c r="B39" s="2685">
        <v>220</v>
      </c>
      <c r="C39" s="2685">
        <v>187</v>
      </c>
      <c r="D39" s="2685">
        <f t="shared" si="35"/>
        <v>187</v>
      </c>
      <c r="E39" s="2685">
        <v>301</v>
      </c>
      <c r="F39" s="2686">
        <v>168</v>
      </c>
      <c r="G39" s="3557">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2604</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558">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2605</v>
      </c>
      <c r="B41" s="2693">
        <f t="shared" si="51"/>
        <v>210.630522469011</v>
      </c>
      <c r="C41" s="2693">
        <f t="shared" si="51"/>
        <v>181.69567812247232</v>
      </c>
      <c r="D41" s="2693">
        <f t="shared" si="35"/>
        <v>181.69567812247232</v>
      </c>
      <c r="E41" s="2693">
        <f t="shared" si="52"/>
        <v>286.13517466736738</v>
      </c>
      <c r="F41" s="2693">
        <f t="shared" si="52"/>
        <v>165.47535084591149</v>
      </c>
      <c r="G41" s="3558">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2606</v>
      </c>
      <c r="B42" s="2693">
        <f t="shared" si="51"/>
        <v>208.83454537875372</v>
      </c>
      <c r="C42" s="2693">
        <f t="shared" si="51"/>
        <v>183.77230517090351</v>
      </c>
      <c r="D42" s="2693">
        <f t="shared" si="35"/>
        <v>183.77230517090351</v>
      </c>
      <c r="E42" s="2693">
        <f t="shared" si="52"/>
        <v>281.10342338870947</v>
      </c>
      <c r="F42" s="2693">
        <f t="shared" si="52"/>
        <v>168.97309388942256</v>
      </c>
      <c r="G42" s="3559">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2607</v>
      </c>
      <c r="B43" s="2723">
        <v>214</v>
      </c>
      <c r="C43" s="2723">
        <v>188</v>
      </c>
      <c r="D43" s="2723">
        <f t="shared" si="35"/>
        <v>188</v>
      </c>
      <c r="E43" s="2723">
        <v>289</v>
      </c>
      <c r="F43" s="2724">
        <v>166</v>
      </c>
      <c r="G43" s="3557">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2608</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558">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2609</v>
      </c>
      <c r="B45" s="2693">
        <f t="shared" si="53"/>
        <v>206.31694671589116</v>
      </c>
      <c r="C45" s="2693">
        <f t="shared" si="53"/>
        <v>183.61041121036101</v>
      </c>
      <c r="D45" s="2693">
        <f t="shared" si="35"/>
        <v>183.61041121036101</v>
      </c>
      <c r="E45" s="2693">
        <f t="shared" si="54"/>
        <v>276.66850301795557</v>
      </c>
      <c r="F45" s="2693">
        <f t="shared" si="54"/>
        <v>165.1360938278614</v>
      </c>
      <c r="G45" s="3558">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2610</v>
      </c>
      <c r="B46" s="2726">
        <f t="shared" si="53"/>
        <v>196.62341248059772</v>
      </c>
      <c r="C46" s="2726">
        <f t="shared" si="53"/>
        <v>170.99125648199012</v>
      </c>
      <c r="D46" s="2726">
        <f t="shared" si="35"/>
        <v>170.99125648199012</v>
      </c>
      <c r="E46" s="2726">
        <f t="shared" si="54"/>
        <v>266.07857570490052</v>
      </c>
      <c r="F46" s="2726">
        <f t="shared" si="54"/>
        <v>154.53499328828505</v>
      </c>
      <c r="G46" s="3559">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2611</v>
      </c>
      <c r="B47" s="2685">
        <v>188</v>
      </c>
      <c r="C47" s="2685">
        <v>165</v>
      </c>
      <c r="D47" s="2685">
        <f t="shared" si="35"/>
        <v>165</v>
      </c>
      <c r="E47" s="2685">
        <v>254</v>
      </c>
      <c r="F47" s="2686">
        <v>148</v>
      </c>
      <c r="G47" s="3557">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2612</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558">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2613</v>
      </c>
      <c r="B49" s="2693">
        <f t="shared" si="57"/>
        <v>168.82017748715555</v>
      </c>
      <c r="C49" s="2693">
        <f t="shared" si="57"/>
        <v>148.06267029972753</v>
      </c>
      <c r="D49" s="2693">
        <f t="shared" si="35"/>
        <v>148.06267029972753</v>
      </c>
      <c r="E49" s="2693">
        <f t="shared" si="58"/>
        <v>216.46288379323747</v>
      </c>
      <c r="F49" s="2693">
        <f t="shared" si="58"/>
        <v>134.23529411764704</v>
      </c>
      <c r="G49" s="3558">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2614</v>
      </c>
      <c r="B50" s="2693">
        <f t="shared" si="57"/>
        <v>163.84913591779542</v>
      </c>
      <c r="C50" s="2693">
        <f t="shared" si="57"/>
        <v>145.0283378746594</v>
      </c>
      <c r="D50" s="2693">
        <f t="shared" si="35"/>
        <v>145.0283378746594</v>
      </c>
      <c r="E50" s="2693">
        <f t="shared" si="58"/>
        <v>204.95180722891567</v>
      </c>
      <c r="F50" s="2693">
        <f t="shared" si="58"/>
        <v>125.95920303605313</v>
      </c>
      <c r="G50" s="3559">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2615</v>
      </c>
      <c r="B51" s="2707">
        <v>159</v>
      </c>
      <c r="C51" s="2707">
        <v>141</v>
      </c>
      <c r="D51" s="2707">
        <f t="shared" si="35"/>
        <v>141</v>
      </c>
      <c r="E51" s="2707">
        <v>195</v>
      </c>
      <c r="F51" s="2708">
        <v>122</v>
      </c>
      <c r="G51" s="3557">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2616</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558">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2617</v>
      </c>
      <c r="B53" s="2693">
        <f t="shared" si="61"/>
        <v>146.57412060301507</v>
      </c>
      <c r="C53" s="2693">
        <f t="shared" si="61"/>
        <v>136.46831955922866</v>
      </c>
      <c r="D53" s="2693">
        <f t="shared" si="35"/>
        <v>136.46831955922866</v>
      </c>
      <c r="E53" s="2693">
        <f t="shared" si="62"/>
        <v>166.73864894795128</v>
      </c>
      <c r="F53" s="2693">
        <f t="shared" si="62"/>
        <v>115.05882352941177</v>
      </c>
      <c r="G53" s="3558">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2618</v>
      </c>
      <c r="B54" s="2693">
        <f t="shared" si="61"/>
        <v>144.04145728643215</v>
      </c>
      <c r="C54" s="2693">
        <f t="shared" si="61"/>
        <v>136.12396694214877</v>
      </c>
      <c r="D54" s="2693">
        <f t="shared" si="35"/>
        <v>136.12396694214877</v>
      </c>
      <c r="E54" s="2693">
        <f t="shared" si="62"/>
        <v>158.32225913621264</v>
      </c>
      <c r="F54" s="2693">
        <f t="shared" si="62"/>
        <v>114.04278074866311</v>
      </c>
      <c r="G54" s="3559">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2619</v>
      </c>
      <c r="B55" s="2707">
        <v>138</v>
      </c>
      <c r="C55" s="2707">
        <v>131</v>
      </c>
      <c r="D55" s="2707">
        <f t="shared" si="35"/>
        <v>131</v>
      </c>
      <c r="E55" s="2707">
        <v>155</v>
      </c>
      <c r="F55" s="2708">
        <v>114</v>
      </c>
      <c r="G55" s="3557">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2620</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558">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2621</v>
      </c>
      <c r="B57" s="2693">
        <f t="shared" si="65"/>
        <v>124.29032258064517</v>
      </c>
      <c r="C57" s="2693">
        <f t="shared" si="65"/>
        <v>123.8968609865471</v>
      </c>
      <c r="D57" s="2693">
        <f t="shared" si="35"/>
        <v>123.8968609865471</v>
      </c>
      <c r="E57" s="2693">
        <f t="shared" si="66"/>
        <v>138.00507614213197</v>
      </c>
      <c r="F57" s="2693">
        <f t="shared" si="66"/>
        <v>107.96106557377048</v>
      </c>
      <c r="G57" s="3558">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2622</v>
      </c>
      <c r="B58" s="2693">
        <f t="shared" si="65"/>
        <v>122.57204301075269</v>
      </c>
      <c r="C58" s="2693">
        <f t="shared" si="65"/>
        <v>123.4932735426009</v>
      </c>
      <c r="D58" s="2693">
        <f t="shared" si="35"/>
        <v>123.4932735426009</v>
      </c>
      <c r="E58" s="2693">
        <f t="shared" si="66"/>
        <v>129.82233502538071</v>
      </c>
      <c r="F58" s="2693">
        <f t="shared" si="66"/>
        <v>107.39446721311475</v>
      </c>
      <c r="G58" s="3559">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2623</v>
      </c>
      <c r="B59" s="2723">
        <v>121</v>
      </c>
      <c r="C59" s="2723">
        <v>122</v>
      </c>
      <c r="D59" s="2723">
        <f t="shared" si="35"/>
        <v>122</v>
      </c>
      <c r="E59" s="2723">
        <v>124</v>
      </c>
      <c r="F59" s="2724">
        <v>107</v>
      </c>
      <c r="G59" s="3557">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2624</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558">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2625</v>
      </c>
      <c r="B61" s="2693">
        <f t="shared" si="69"/>
        <v>116.99099099099099</v>
      </c>
      <c r="C61" s="2693">
        <f t="shared" si="69"/>
        <v>118.84848484848486</v>
      </c>
      <c r="D61" s="2693">
        <f t="shared" si="35"/>
        <v>118.84848484848486</v>
      </c>
      <c r="E61" s="2693">
        <f t="shared" si="70"/>
        <v>117.60960960960961</v>
      </c>
      <c r="F61" s="2693">
        <f t="shared" si="70"/>
        <v>104</v>
      </c>
      <c r="G61" s="3558">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2626</v>
      </c>
      <c r="B62" s="2726">
        <f t="shared" si="69"/>
        <v>112.48648648648648</v>
      </c>
      <c r="C62" s="2726">
        <f t="shared" si="69"/>
        <v>115.21212121212122</v>
      </c>
      <c r="D62" s="2726">
        <f t="shared" si="35"/>
        <v>115.21212121212122</v>
      </c>
      <c r="E62" s="2726">
        <f t="shared" si="70"/>
        <v>110.4024024024024</v>
      </c>
      <c r="F62" s="2726">
        <f t="shared" si="70"/>
        <v>104</v>
      </c>
      <c r="G62" s="3559">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2627</v>
      </c>
      <c r="B63" s="2744">
        <v>111</v>
      </c>
      <c r="C63" s="2744">
        <v>114</v>
      </c>
      <c r="D63" s="2744">
        <f t="shared" si="35"/>
        <v>114</v>
      </c>
      <c r="E63" s="2744">
        <v>108</v>
      </c>
      <c r="F63" s="2745">
        <v>104</v>
      </c>
      <c r="G63" s="3557">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1">B65+(B$63-B$67)/4</f>
        <v>109.75</v>
      </c>
      <c r="C64" s="2748">
        <f t="shared" si="71"/>
        <v>112.25</v>
      </c>
      <c r="D64" s="2748">
        <f t="shared" si="35"/>
        <v>112.25</v>
      </c>
      <c r="E64" s="2748">
        <f t="shared" ref="E64:F66" si="72">E65+(E$63-E$67)/4</f>
        <v>107.25</v>
      </c>
      <c r="F64" s="2748">
        <f t="shared" si="72"/>
        <v>103.5</v>
      </c>
      <c r="G64" s="3558">
        <v>2003</v>
      </c>
      <c r="H64" s="2704">
        <v>3</v>
      </c>
      <c r="I64" s="2746"/>
      <c r="J64" s="2746"/>
      <c r="K64" s="2746"/>
      <c r="L64" s="2746"/>
      <c r="X64" s="2738"/>
      <c r="Y64" s="2738"/>
      <c r="Z64" s="2738"/>
    </row>
    <row r="65" spans="1:26">
      <c r="A65" s="2679" t="s">
        <v>2629</v>
      </c>
      <c r="B65" s="2748">
        <f t="shared" si="71"/>
        <v>108.5</v>
      </c>
      <c r="C65" s="2748">
        <f t="shared" si="71"/>
        <v>110.5</v>
      </c>
      <c r="D65" s="2748">
        <f t="shared" si="35"/>
        <v>110.5</v>
      </c>
      <c r="E65" s="2748">
        <f t="shared" si="72"/>
        <v>106.5</v>
      </c>
      <c r="F65" s="2748">
        <f t="shared" si="72"/>
        <v>103</v>
      </c>
      <c r="G65" s="3558">
        <v>2003</v>
      </c>
      <c r="H65" s="2684">
        <v>2</v>
      </c>
      <c r="I65" s="2746"/>
      <c r="J65" s="2746"/>
      <c r="K65" s="2746"/>
      <c r="L65" s="2746"/>
      <c r="X65" s="2738"/>
      <c r="Y65" s="2738"/>
      <c r="Z65" s="2738"/>
    </row>
    <row r="66" spans="1:26" ht="13.5" thickBot="1">
      <c r="A66" s="2679" t="s">
        <v>2630</v>
      </c>
      <c r="B66" s="2748">
        <f t="shared" si="71"/>
        <v>107.25</v>
      </c>
      <c r="C66" s="2748">
        <f t="shared" si="71"/>
        <v>108.75</v>
      </c>
      <c r="D66" s="2748">
        <f t="shared" si="35"/>
        <v>108.75</v>
      </c>
      <c r="E66" s="2748">
        <f t="shared" si="72"/>
        <v>105.75</v>
      </c>
      <c r="F66" s="2748">
        <f t="shared" si="72"/>
        <v>102.5</v>
      </c>
      <c r="G66" s="3559">
        <v>2003</v>
      </c>
      <c r="H66" s="2749">
        <v>1</v>
      </c>
      <c r="I66" s="2746"/>
      <c r="J66" s="2746"/>
      <c r="K66" s="2746"/>
      <c r="L66" s="2746"/>
      <c r="S66" s="2688"/>
      <c r="T66" s="2689"/>
      <c r="U66" s="2689"/>
      <c r="X66" s="2738"/>
      <c r="Y66" s="2738"/>
      <c r="Z66" s="2738"/>
    </row>
    <row r="67" spans="1:26" ht="13.5" thickBot="1">
      <c r="A67" s="2679" t="s">
        <v>2631</v>
      </c>
      <c r="B67" s="2750">
        <v>106</v>
      </c>
      <c r="C67" s="2750">
        <v>107</v>
      </c>
      <c r="D67" s="2750">
        <f t="shared" si="35"/>
        <v>107</v>
      </c>
      <c r="E67" s="2750">
        <v>105</v>
      </c>
      <c r="F67" s="2751">
        <v>102</v>
      </c>
      <c r="G67" s="3557">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3">B69+(B$67-B$71)/4</f>
        <v>105</v>
      </c>
      <c r="C68" s="2748">
        <f t="shared" si="73"/>
        <v>106</v>
      </c>
      <c r="D68" s="2748">
        <f t="shared" si="35"/>
        <v>106</v>
      </c>
      <c r="E68" s="2748">
        <f t="shared" ref="E68:F70" si="74">E69+(E$67-E$71)/4</f>
        <v>104.5</v>
      </c>
      <c r="F68" s="2748">
        <f t="shared" si="74"/>
        <v>101.5</v>
      </c>
      <c r="G68" s="3558">
        <v>2002</v>
      </c>
      <c r="H68" s="2704">
        <v>3</v>
      </c>
      <c r="I68" s="2746"/>
      <c r="J68" s="2746"/>
      <c r="K68" s="2746"/>
      <c r="L68" s="2746"/>
      <c r="X68" s="2738"/>
      <c r="Y68" s="2738"/>
      <c r="Z68" s="2738"/>
    </row>
    <row r="69" spans="1:26">
      <c r="A69" s="2679" t="s">
        <v>2633</v>
      </c>
      <c r="B69" s="2748">
        <f t="shared" si="73"/>
        <v>104</v>
      </c>
      <c r="C69" s="2748">
        <f t="shared" si="73"/>
        <v>105</v>
      </c>
      <c r="D69" s="2748">
        <f t="shared" si="35"/>
        <v>105</v>
      </c>
      <c r="E69" s="2748">
        <f t="shared" si="74"/>
        <v>104</v>
      </c>
      <c r="F69" s="2748">
        <f t="shared" si="74"/>
        <v>101</v>
      </c>
      <c r="G69" s="3558">
        <v>2002</v>
      </c>
      <c r="H69" s="2684">
        <v>2</v>
      </c>
      <c r="I69" s="2746"/>
      <c r="J69" s="2746"/>
      <c r="K69" s="2746"/>
      <c r="L69" s="2746"/>
      <c r="X69" s="2738"/>
      <c r="Y69" s="2738"/>
      <c r="Z69" s="2738"/>
    </row>
    <row r="70" spans="1:26" s="2715" customFormat="1" ht="13.5" thickBot="1">
      <c r="A70" s="2711" t="s">
        <v>2634</v>
      </c>
      <c r="B70" s="2752">
        <f t="shared" si="73"/>
        <v>103</v>
      </c>
      <c r="C70" s="2752">
        <f t="shared" si="73"/>
        <v>104</v>
      </c>
      <c r="D70" s="2752">
        <f t="shared" si="35"/>
        <v>104</v>
      </c>
      <c r="E70" s="2752">
        <f t="shared" si="74"/>
        <v>103.5</v>
      </c>
      <c r="F70" s="2752">
        <f t="shared" si="74"/>
        <v>100.5</v>
      </c>
      <c r="G70" s="3559">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5"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6"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20" t="s">
        <v>2465</v>
      </c>
      <c r="E5" s="2514"/>
      <c r="F5" s="2515"/>
      <c r="G5" s="1591"/>
      <c r="H5" s="779">
        <v>1</v>
      </c>
      <c r="I5" s="780" t="s">
        <v>2462</v>
      </c>
      <c r="J5" s="53">
        <f ca="1">J6+J10+J12</f>
        <v>0</v>
      </c>
      <c r="K5" s="2520" t="s">
        <v>2465</v>
      </c>
      <c r="L5" s="2514"/>
      <c r="M5" s="2515"/>
    </row>
    <row r="6" spans="1:33" ht="18" customHeight="1">
      <c r="A6" s="1830" t="s">
        <v>1825</v>
      </c>
      <c r="B6" s="3548" t="s">
        <v>2467</v>
      </c>
      <c r="C6" s="781">
        <f ca="1">ROUND(F6*F8*F7*(1-F9)/10000,0)</f>
        <v>0</v>
      </c>
      <c r="D6" s="2521" t="s">
        <v>2466</v>
      </c>
      <c r="E6" s="782" t="s">
        <v>1739</v>
      </c>
      <c r="F6" s="783">
        <f ca="1">INDIRECT("'数据-取费表'!u"&amp;$G$1)</f>
        <v>0</v>
      </c>
      <c r="G6" s="1591"/>
      <c r="H6" s="2528" t="s">
        <v>2472</v>
      </c>
      <c r="I6" s="3548" t="s">
        <v>2467</v>
      </c>
      <c r="J6" s="781">
        <f ca="1">ROUND(M6*M8*M7*(1-M9)/10000,0)</f>
        <v>0</v>
      </c>
      <c r="K6" s="339" t="s">
        <v>1738</v>
      </c>
      <c r="L6" s="782" t="s">
        <v>1739</v>
      </c>
      <c r="M6" s="783">
        <f ca="1">INDIRECT("'数据-取费表'!z"&amp;$G$1)</f>
        <v>0</v>
      </c>
    </row>
    <row r="7" spans="1:33" ht="18" customHeight="1">
      <c r="A7" s="2524"/>
      <c r="B7" s="3549"/>
      <c r="C7" s="786"/>
      <c r="D7" s="787"/>
      <c r="E7" s="782" t="s">
        <v>1740</v>
      </c>
      <c r="F7" s="783">
        <f ca="1">IF(INDIRECT("'数据-取费表'!ah"&amp;$G$1)="",INDIRECT("'数据-取费表'!k"&amp;$G$1),INDIRECT("'数据-取费表'!ah"&amp;$G$1))</f>
        <v>0</v>
      </c>
      <c r="G7" s="1591"/>
      <c r="H7" s="2513"/>
      <c r="I7" s="3549"/>
      <c r="J7" s="786"/>
      <c r="K7" s="787"/>
      <c r="L7" s="782" t="s">
        <v>1740</v>
      </c>
      <c r="M7" s="783">
        <f ca="1">F7</f>
        <v>0</v>
      </c>
    </row>
    <row r="8" spans="1:33" ht="18" customHeight="1">
      <c r="A8" s="2517"/>
      <c r="B8" s="3550"/>
      <c r="C8" s="786"/>
      <c r="D8" s="787"/>
      <c r="E8" s="782" t="s">
        <v>1741</v>
      </c>
      <c r="F8" s="783">
        <f ca="1">INDIRECT("'数据-取费表'!ai"&amp;$G$1)</f>
        <v>0</v>
      </c>
      <c r="G8" s="1591"/>
      <c r="H8" s="2513"/>
      <c r="I8" s="3550"/>
      <c r="J8" s="786"/>
      <c r="K8" s="787"/>
      <c r="L8" s="782" t="s">
        <v>1741</v>
      </c>
      <c r="M8" s="783">
        <f ca="1">INDIRECT("'数据-取费表'!ai"&amp;$G$1)</f>
        <v>0</v>
      </c>
    </row>
    <row r="9" spans="1:33" ht="18" customHeight="1">
      <c r="A9" s="784"/>
      <c r="B9" s="3551"/>
      <c r="C9" s="786"/>
      <c r="D9" s="787"/>
      <c r="E9" s="782" t="s">
        <v>1742</v>
      </c>
      <c r="F9" s="792">
        <f ca="1">INDIRECT("'数据-取费表'!w"&amp;$G$1)</f>
        <v>0</v>
      </c>
      <c r="G9" s="1591"/>
      <c r="H9" s="2529"/>
      <c r="I9" s="3550"/>
      <c r="J9" s="786"/>
      <c r="K9" s="787"/>
      <c r="L9" s="793" t="s">
        <v>1742</v>
      </c>
      <c r="M9" s="794">
        <f ca="1">INDIRECT("'数据-取费表'!ab"&amp;$G$1)</f>
        <v>0</v>
      </c>
    </row>
    <row r="10" spans="1:33" ht="18" customHeight="1">
      <c r="A10" s="1830" t="s">
        <v>2470</v>
      </c>
      <c r="B10" s="2518" t="s">
        <v>2463</v>
      </c>
      <c r="C10" s="797">
        <f ca="1">ROUND(IF(F10="押一",C6/12*F11,IF(F10="押二",C6/12*2*F11,IF(F10="押三",C6/12*3*F11,C11*F11))),0)</f>
        <v>0</v>
      </c>
      <c r="D10" s="2525" t="s">
        <v>2979</v>
      </c>
      <c r="E10" s="2522" t="s">
        <v>2468</v>
      </c>
      <c r="F10" s="2645"/>
      <c r="G10" s="1591"/>
      <c r="H10" s="2585" t="s">
        <v>2473</v>
      </c>
      <c r="I10" s="2590" t="s">
        <v>2463</v>
      </c>
      <c r="J10" s="781">
        <f ca="1">ROUND(IF(M10="押一",J6/12*M11,IF(M10="押二",J6/12*2*M11,IF(M10="押三",J6/12*3*M11,J11*M11))),0)</f>
        <v>0</v>
      </c>
      <c r="K10" s="2525" t="s">
        <v>2979</v>
      </c>
      <c r="L10" s="2522" t="s">
        <v>2468</v>
      </c>
      <c r="M10" s="2645"/>
    </row>
    <row r="11" spans="1:33" ht="18" customHeight="1">
      <c r="A11" s="788"/>
      <c r="B11" s="2519" t="s">
        <v>2577</v>
      </c>
      <c r="C11" s="2523"/>
      <c r="D11" s="787"/>
      <c r="E11" s="2522" t="s">
        <v>2469</v>
      </c>
      <c r="F11" s="794">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0">
        <f ca="1">ROUND(C29*F13,0)</f>
        <v>0</v>
      </c>
      <c r="D13" s="1834" t="s">
        <v>2300</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10"/>
      <c r="M16" s="2515"/>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9" t="s">
        <v>1754</v>
      </c>
      <c r="L17" s="2508"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8"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30"/>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6"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8"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5"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8"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5" t="str">
        <f>IF(F23&lt;=1,"销售费用×利率×(建设周期÷2)","销售费用×((1+利率)^(建设周期÷2)-1)")</f>
        <v>销售费用×((1+利率)^(建设周期÷2)-1)</v>
      </c>
      <c r="E24" s="782" t="s">
        <v>1774</v>
      </c>
      <c r="F24" s="817">
        <f ca="1">'数据-取费表'!B40</f>
        <v>4.7500000000000001E-2</v>
      </c>
      <c r="G24" s="1592"/>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4" t="s">
        <v>2825</v>
      </c>
      <c r="J25" s="790">
        <f ca="1">J5-J16</f>
        <v>0</v>
      </c>
      <c r="K25" s="2572" t="s">
        <v>1778</v>
      </c>
      <c r="L25" s="2573"/>
      <c r="M25" s="2574"/>
    </row>
    <row r="26" spans="1:33" ht="18" customHeight="1">
      <c r="A26" s="1647" t="s">
        <v>1832</v>
      </c>
      <c r="B26" s="782" t="s">
        <v>2442</v>
      </c>
      <c r="C26" s="51">
        <f ca="1">ROUND((C19+C20)*F26,0)</f>
        <v>0</v>
      </c>
      <c r="D26" s="810" t="s">
        <v>1779</v>
      </c>
      <c r="E26" s="793" t="s">
        <v>1780</v>
      </c>
      <c r="F26" s="792">
        <f ca="1">INDIRECT("'数据-取费表'!q"&amp;$G$1)</f>
        <v>0</v>
      </c>
      <c r="G26" s="1591"/>
      <c r="H26" s="2526"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7"/>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10"/>
      <c r="F30" s="2515"/>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1" t="s">
        <v>1818</v>
      </c>
      <c r="J38" s="842"/>
      <c r="K38" s="2083"/>
      <c r="L38" s="2077"/>
      <c r="M38" s="2077"/>
    </row>
    <row r="39" spans="1:18" ht="24.6" customHeight="1" thickTop="1">
      <c r="A39" s="1829" t="s">
        <v>1895</v>
      </c>
      <c r="B39" s="3034" t="s">
        <v>2825</v>
      </c>
      <c r="C39" s="790">
        <f ca="1">C5-C30</f>
        <v>0</v>
      </c>
      <c r="D39" s="2572" t="s">
        <v>1807</v>
      </c>
      <c r="E39" s="2573"/>
      <c r="F39" s="2574"/>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2969</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c r="K48" s="2391" t="s">
        <v>2355</v>
      </c>
      <c r="L48" s="2392">
        <f ca="1">INDIRECT("'数据-取费表'!f"&amp;$G$1)</f>
        <v>40.07</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8" t="s">
        <v>2463</v>
      </c>
      <c r="C52" s="797">
        <f ca="1">ROUND(IF(F52="押一",C48/12*F11,IF(F52="押二",C48/12*2*F11,IF(F52="押三",C48/12*3*F11,C53*F11))),0)</f>
        <v>0</v>
      </c>
      <c r="D52" s="2525" t="s">
        <v>2980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4"/>
      <c r="B53" s="2519" t="s">
        <v>2577</v>
      </c>
      <c r="C53" s="2523"/>
      <c r="D53" s="2525"/>
      <c r="E53" s="2522"/>
      <c r="F53" s="798"/>
      <c r="I53" s="2386" t="s">
        <v>2352</v>
      </c>
      <c r="J53" s="2400">
        <f ca="1">IF(M47="住宅",J51,IF(D1="——",MIN(J51,L48),IF(D1="土地（套用方法）",MIN(J51,L48-'数据-取费表'!B20))))</f>
        <v>0</v>
      </c>
      <c r="K53" s="3564" t="s">
        <v>2971</v>
      </c>
      <c r="L53" s="3565"/>
      <c r="O53" s="2425" t="s">
        <v>2392</v>
      </c>
      <c r="P53" s="2423" t="s">
        <v>2393</v>
      </c>
      <c r="Q53" s="2424">
        <f ca="1">J53</f>
        <v>0</v>
      </c>
      <c r="R53" s="2423" t="s">
        <v>2394</v>
      </c>
    </row>
    <row r="54" spans="1:18" s="2059" customFormat="1" ht="18" customHeight="1" thickBot="1">
      <c r="A54" s="2561" t="s">
        <v>2471</v>
      </c>
      <c r="B54" s="2562" t="s">
        <v>2464</v>
      </c>
      <c r="C54" s="2563"/>
      <c r="D54" s="2525"/>
      <c r="E54" s="2522"/>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3"/>
      <c r="E56" s="782"/>
      <c r="F56" s="807"/>
      <c r="I56" s="2403" t="s">
        <v>2361</v>
      </c>
      <c r="J56" s="3150" t="s">
        <v>1679</v>
      </c>
      <c r="K56" s="2383" t="s">
        <v>2366</v>
      </c>
      <c r="L56" s="2392">
        <f ca="1">IF(L48&lt;J51,"——",L48-J51)</f>
        <v>40.07</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4"/>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2" t="s">
        <v>657</v>
      </c>
      <c r="E58" s="2663" t="s">
        <v>690</v>
      </c>
      <c r="F58" s="808" t="str">
        <f ca="1">IF(项目基本情况!B11="企业","",IF(INDIRECT("'数据-取费表'!c"&amp;$G$1)="住宅",5%,IF(F48*F49*F50/12/(1+'数据-取费表'!C42)&gt;20000,12%,7%)))</f>
        <v/>
      </c>
      <c r="I58" s="2404" t="s">
        <v>2363</v>
      </c>
      <c r="J58" s="3128"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3" t="s">
        <v>1757</v>
      </c>
      <c r="E59" s="782" t="s">
        <v>1748</v>
      </c>
      <c r="F59" s="807">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3"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9" t="s">
        <v>2946</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3" t="s">
        <v>1804</v>
      </c>
      <c r="E63" s="782" t="s">
        <v>1748</v>
      </c>
      <c r="F63" s="815">
        <f t="shared" ca="1" si="0"/>
        <v>0</v>
      </c>
      <c r="I63" s="2409" t="s">
        <v>2374</v>
      </c>
      <c r="J63" s="2410">
        <v>70</v>
      </c>
      <c r="K63" s="2410">
        <v>50</v>
      </c>
      <c r="L63" s="2410">
        <v>80</v>
      </c>
      <c r="M63" s="3130">
        <v>0.02</v>
      </c>
      <c r="O63" s="2422" t="s">
        <v>2395</v>
      </c>
      <c r="P63" s="2423" t="s">
        <v>2412</v>
      </c>
      <c r="Q63" s="2424" t="e">
        <f ca="1">Q57+Q58</f>
        <v>#DIV/0!</v>
      </c>
      <c r="R63" s="2427" t="s">
        <v>2396</v>
      </c>
    </row>
    <row r="64" spans="1:18" s="2059" customFormat="1" ht="16.5" thickBot="1">
      <c r="A64" s="1648" t="s">
        <v>1891</v>
      </c>
      <c r="B64" s="782" t="s">
        <v>679</v>
      </c>
      <c r="C64" s="51">
        <f ca="1">ROUND(C55*F64,1)</f>
        <v>0</v>
      </c>
      <c r="D64" s="2663" t="s">
        <v>680</v>
      </c>
      <c r="E64" s="782" t="s">
        <v>1748</v>
      </c>
      <c r="F64" s="816">
        <f t="shared" ca="1" si="0"/>
        <v>0</v>
      </c>
      <c r="I64" s="2409" t="s">
        <v>2375</v>
      </c>
      <c r="J64" s="2410">
        <v>50</v>
      </c>
      <c r="K64" s="2410">
        <v>35</v>
      </c>
      <c r="L64" s="2410">
        <v>60</v>
      </c>
      <c r="M64" s="3131">
        <v>0</v>
      </c>
      <c r="O64" s="2428" t="s">
        <v>2419</v>
      </c>
      <c r="P64" s="1591"/>
      <c r="Q64" s="1603"/>
      <c r="R64" s="1591"/>
    </row>
    <row r="65" spans="1:18" s="2059" customFormat="1" ht="15.75" thickBot="1">
      <c r="A65" s="1648" t="s">
        <v>1892</v>
      </c>
      <c r="B65" s="782" t="s">
        <v>666</v>
      </c>
      <c r="C65" s="51">
        <f ca="1">ROUND(C47*F65,1)</f>
        <v>0</v>
      </c>
      <c r="D65" s="2663" t="s">
        <v>683</v>
      </c>
      <c r="E65" s="782" t="s">
        <v>1748</v>
      </c>
      <c r="F65" s="792">
        <f t="shared" ca="1" si="0"/>
        <v>0</v>
      </c>
      <c r="I65" s="2409" t="s">
        <v>2376</v>
      </c>
      <c r="J65" s="2410">
        <v>40</v>
      </c>
      <c r="K65" s="2410">
        <v>30</v>
      </c>
      <c r="L65" s="2410">
        <v>50</v>
      </c>
      <c r="M65" s="3130">
        <v>0.02</v>
      </c>
      <c r="O65" s="2419" t="s">
        <v>2379</v>
      </c>
      <c r="P65" s="2420" t="s">
        <v>2380</v>
      </c>
      <c r="Q65" s="2421" t="s">
        <v>2381</v>
      </c>
      <c r="R65" s="2420" t="s">
        <v>2382</v>
      </c>
    </row>
    <row r="66" spans="1:18" s="2059" customFormat="1" ht="24.75" thickBot="1">
      <c r="A66" s="795" t="s">
        <v>1777</v>
      </c>
      <c r="B66" s="3035" t="s">
        <v>2825</v>
      </c>
      <c r="C66" s="797">
        <f ca="1">C47-C57</f>
        <v>0</v>
      </c>
      <c r="D66" s="2662" t="s">
        <v>700</v>
      </c>
      <c r="E66" s="2661"/>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2" t="s">
        <v>2475</v>
      </c>
      <c r="B1" s="3583"/>
      <c r="C1" s="3584"/>
      <c r="D1" s="3585">
        <f>SUM(I10,I15,I20,I21,I23)</f>
        <v>0</v>
      </c>
      <c r="E1" s="3585"/>
      <c r="F1" s="3585"/>
      <c r="G1" s="3585"/>
      <c r="H1" s="3585"/>
      <c r="I1" s="3586"/>
    </row>
    <row r="2" spans="1:9">
      <c r="A2" s="3572" t="s">
        <v>2476</v>
      </c>
      <c r="B2" s="3573" t="s">
        <v>2477</v>
      </c>
      <c r="C2" s="3573"/>
      <c r="D2" s="2531" t="s">
        <v>2478</v>
      </c>
      <c r="E2" s="2531" t="s">
        <v>2479</v>
      </c>
      <c r="F2" s="2531" t="s">
        <v>2480</v>
      </c>
      <c r="G2" s="2531" t="s">
        <v>2481</v>
      </c>
      <c r="H2" s="2531" t="s">
        <v>2482</v>
      </c>
      <c r="I2" s="2532" t="s">
        <v>2483</v>
      </c>
    </row>
    <row r="3" spans="1:9">
      <c r="A3" s="3572"/>
      <c r="B3" s="3573" t="s">
        <v>2484</v>
      </c>
      <c r="C3" s="3573"/>
      <c r="D3" s="2533"/>
      <c r="E3" s="2531"/>
      <c r="F3" s="2534"/>
      <c r="G3" s="2534"/>
      <c r="H3" s="2535"/>
      <c r="I3" s="2536">
        <f>ROUND(D3*E3*F3*G3*H3/10000,0)</f>
        <v>0</v>
      </c>
    </row>
    <row r="4" spans="1:9">
      <c r="A4" s="3572"/>
      <c r="B4" s="3573" t="s">
        <v>2485</v>
      </c>
      <c r="C4" s="3573"/>
      <c r="D4" s="2533"/>
      <c r="E4" s="2531"/>
      <c r="F4" s="2534"/>
      <c r="G4" s="2534"/>
      <c r="H4" s="2535"/>
      <c r="I4" s="2536">
        <f t="shared" ref="I4:I9" si="0">ROUND(D4*E4*F4*G4*H4/10000,0)</f>
        <v>0</v>
      </c>
    </row>
    <row r="5" spans="1:9">
      <c r="A5" s="3572"/>
      <c r="B5" s="3573" t="s">
        <v>2486</v>
      </c>
      <c r="C5" s="3573"/>
      <c r="D5" s="2533"/>
      <c r="E5" s="2531"/>
      <c r="F5" s="2534"/>
      <c r="G5" s="2534"/>
      <c r="H5" s="2535"/>
      <c r="I5" s="2536">
        <f t="shared" si="0"/>
        <v>0</v>
      </c>
    </row>
    <row r="6" spans="1:9">
      <c r="A6" s="3572"/>
      <c r="B6" s="3573" t="s">
        <v>2487</v>
      </c>
      <c r="C6" s="3573"/>
      <c r="D6" s="2533"/>
      <c r="E6" s="2531"/>
      <c r="F6" s="2534"/>
      <c r="G6" s="2534"/>
      <c r="H6" s="2535"/>
      <c r="I6" s="2536">
        <f t="shared" si="0"/>
        <v>0</v>
      </c>
    </row>
    <row r="7" spans="1:9">
      <c r="A7" s="3572"/>
      <c r="B7" s="3573" t="s">
        <v>2488</v>
      </c>
      <c r="C7" s="3573"/>
      <c r="D7" s="2533"/>
      <c r="E7" s="2531"/>
      <c r="F7" s="2534"/>
      <c r="G7" s="2534"/>
      <c r="H7" s="2535"/>
      <c r="I7" s="2536">
        <f t="shared" si="0"/>
        <v>0</v>
      </c>
    </row>
    <row r="8" spans="1:9">
      <c r="A8" s="3572"/>
      <c r="B8" s="3573" t="s">
        <v>2489</v>
      </c>
      <c r="C8" s="3573"/>
      <c r="D8" s="2533"/>
      <c r="E8" s="2531"/>
      <c r="F8" s="2534"/>
      <c r="G8" s="2534"/>
      <c r="H8" s="2535"/>
      <c r="I8" s="2536">
        <f t="shared" si="0"/>
        <v>0</v>
      </c>
    </row>
    <row r="9" spans="1:9">
      <c r="A9" s="3572"/>
      <c r="B9" s="3573" t="s">
        <v>2490</v>
      </c>
      <c r="C9" s="3573"/>
      <c r="D9" s="2533"/>
      <c r="E9" s="2531"/>
      <c r="F9" s="2534"/>
      <c r="G9" s="2534"/>
      <c r="H9" s="2535"/>
      <c r="I9" s="2536">
        <f t="shared" si="0"/>
        <v>0</v>
      </c>
    </row>
    <row r="10" spans="1:9">
      <c r="A10" s="3572"/>
      <c r="B10" s="3574" t="s">
        <v>2491</v>
      </c>
      <c r="C10" s="3574"/>
      <c r="D10" s="2537">
        <v>527</v>
      </c>
      <c r="E10" s="2537" t="e">
        <f>ROUND(D1*10000/D10/H9,0)</f>
        <v>#DIV/0!</v>
      </c>
      <c r="F10" s="2538"/>
      <c r="G10" s="2538"/>
      <c r="H10" s="2539"/>
      <c r="I10" s="2540">
        <f>SUM(I3:I9)</f>
        <v>0</v>
      </c>
    </row>
    <row r="11" spans="1:9" ht="14.25">
      <c r="A11" s="3572" t="s">
        <v>2492</v>
      </c>
      <c r="B11" s="3573" t="s">
        <v>2493</v>
      </c>
      <c r="C11" s="3573"/>
      <c r="D11" s="2533" t="s">
        <v>2494</v>
      </c>
      <c r="E11" s="2533" t="s">
        <v>2495</v>
      </c>
      <c r="F11" s="2534" t="s">
        <v>2496</v>
      </c>
      <c r="G11" s="2534" t="s">
        <v>2497</v>
      </c>
      <c r="H11" s="2541" t="s">
        <v>2498</v>
      </c>
      <c r="I11" s="2532" t="s">
        <v>2499</v>
      </c>
    </row>
    <row r="12" spans="1:9">
      <c r="A12" s="3572"/>
      <c r="B12" s="3573" t="s">
        <v>2500</v>
      </c>
      <c r="C12" s="3573"/>
      <c r="D12" s="2533"/>
      <c r="E12" s="2533"/>
      <c r="F12" s="2534"/>
      <c r="G12" s="2535"/>
      <c r="H12" s="2542"/>
      <c r="I12" s="2532">
        <f>ROUND(D12*E12*F12*G12/10000,0)</f>
        <v>0</v>
      </c>
    </row>
    <row r="13" spans="1:9">
      <c r="A13" s="3572"/>
      <c r="B13" s="3573" t="s">
        <v>2501</v>
      </c>
      <c r="C13" s="3573"/>
      <c r="D13" s="2533"/>
      <c r="E13" s="2533"/>
      <c r="F13" s="2534"/>
      <c r="G13" s="2535"/>
      <c r="H13" s="2542"/>
      <c r="I13" s="2532">
        <f>ROUND(D13*E13*F13*G13/10000,0)</f>
        <v>0</v>
      </c>
    </row>
    <row r="14" spans="1:9">
      <c r="A14" s="3572"/>
      <c r="B14" s="3573" t="s">
        <v>2502</v>
      </c>
      <c r="C14" s="3573"/>
      <c r="D14" s="2533"/>
      <c r="E14" s="2533"/>
      <c r="F14" s="2534"/>
      <c r="G14" s="2535"/>
      <c r="H14" s="2542"/>
      <c r="I14" s="2532">
        <f>ROUND(D14*E14*F14*G14/10000,0)</f>
        <v>0</v>
      </c>
    </row>
    <row r="15" spans="1:9">
      <c r="A15" s="3572"/>
      <c r="B15" s="3574" t="s">
        <v>2491</v>
      </c>
      <c r="C15" s="3574"/>
      <c r="D15" s="2537"/>
      <c r="E15" s="2537">
        <f>SUM(E12:E14)</f>
        <v>0</v>
      </c>
      <c r="F15" s="2538"/>
      <c r="G15" s="2535"/>
      <c r="H15" s="2542"/>
      <c r="I15" s="2543">
        <f>SUM(I12:I14)</f>
        <v>0</v>
      </c>
    </row>
    <row r="16" spans="1:9" ht="24">
      <c r="A16" s="3572" t="s">
        <v>2503</v>
      </c>
      <c r="B16" s="3573" t="s">
        <v>2504</v>
      </c>
      <c r="C16" s="3573"/>
      <c r="D16" s="2533" t="s">
        <v>2505</v>
      </c>
      <c r="E16" s="2544" t="s">
        <v>2506</v>
      </c>
      <c r="F16" s="2534" t="s">
        <v>2507</v>
      </c>
      <c r="G16" s="2535" t="s">
        <v>2497</v>
      </c>
      <c r="H16" s="2541" t="s">
        <v>2498</v>
      </c>
      <c r="I16" s="2532" t="s">
        <v>2499</v>
      </c>
    </row>
    <row r="17" spans="1:9" ht="14.25">
      <c r="A17" s="3572"/>
      <c r="B17" s="3573" t="s">
        <v>2508</v>
      </c>
      <c r="C17" s="3573"/>
      <c r="D17" s="2533"/>
      <c r="E17" s="2533"/>
      <c r="F17" s="2534"/>
      <c r="G17" s="2535"/>
      <c r="H17" s="2545"/>
      <c r="I17" s="2546">
        <f>ROUND(D17*E17*F17*G17/10000,0)</f>
        <v>0</v>
      </c>
    </row>
    <row r="18" spans="1:9" ht="14.25">
      <c r="A18" s="3572"/>
      <c r="B18" s="3573" t="s">
        <v>2509</v>
      </c>
      <c r="C18" s="3573"/>
      <c r="D18" s="2533"/>
      <c r="E18" s="2533"/>
      <c r="F18" s="2534"/>
      <c r="G18" s="2535"/>
      <c r="H18" s="2545"/>
      <c r="I18" s="2546">
        <f>ROUND(D18*E18*F18*G18/10000,0)</f>
        <v>0</v>
      </c>
    </row>
    <row r="19" spans="1:9" ht="14.25">
      <c r="A19" s="3572"/>
      <c r="B19" s="3573" t="s">
        <v>2510</v>
      </c>
      <c r="C19" s="3573"/>
      <c r="D19" s="2533"/>
      <c r="E19" s="2533"/>
      <c r="F19" s="2534"/>
      <c r="G19" s="2535"/>
      <c r="H19" s="2545"/>
      <c r="I19" s="2546">
        <f>ROUND(D19*E19*F19*G19/10000,0)</f>
        <v>0</v>
      </c>
    </row>
    <row r="20" spans="1:9">
      <c r="A20" s="3572"/>
      <c r="B20" s="3574" t="s">
        <v>2491</v>
      </c>
      <c r="C20" s="3574"/>
      <c r="D20" s="2537">
        <f>SUM(D17:D19)</f>
        <v>0</v>
      </c>
      <c r="E20" s="2537"/>
      <c r="F20" s="2538"/>
      <c r="G20" s="2535"/>
      <c r="H20" s="2542"/>
      <c r="I20" s="2543">
        <f>SUM(I17:I19)</f>
        <v>0</v>
      </c>
    </row>
    <row r="21" spans="1:9">
      <c r="A21" s="3572" t="s">
        <v>2511</v>
      </c>
      <c r="B21" s="3575"/>
      <c r="C21" s="3575"/>
      <c r="D21" s="3575"/>
      <c r="E21" s="3575"/>
      <c r="F21" s="3575"/>
      <c r="G21" s="3575"/>
      <c r="H21" s="2547">
        <v>0.1</v>
      </c>
      <c r="I21" s="2540">
        <f>ROUND(I10*H21,0)</f>
        <v>0</v>
      </c>
    </row>
    <row r="22" spans="1:9" ht="14.25">
      <c r="A22" s="3576" t="s">
        <v>2512</v>
      </c>
      <c r="B22" s="3577"/>
      <c r="C22" s="3578"/>
      <c r="D22" s="2548" t="s">
        <v>2513</v>
      </c>
      <c r="E22" s="2548" t="s">
        <v>2514</v>
      </c>
      <c r="F22" s="2549" t="s">
        <v>2515</v>
      </c>
      <c r="G22" s="2549" t="s">
        <v>2516</v>
      </c>
      <c r="H22" s="2541" t="s">
        <v>2517</v>
      </c>
      <c r="I22" s="2532" t="s">
        <v>2518</v>
      </c>
    </row>
    <row r="23" spans="1:9" ht="14.25" thickBot="1">
      <c r="A23" s="3579"/>
      <c r="B23" s="3580"/>
      <c r="C23" s="3581"/>
      <c r="D23" s="2550"/>
      <c r="E23" s="2550"/>
      <c r="F23" s="2550"/>
      <c r="G23" s="2551"/>
      <c r="H23" s="2552"/>
      <c r="I23" s="2553">
        <f>ROUND(E23*D23*F23*(1-G23)/10000,0)</f>
        <v>0</v>
      </c>
    </row>
    <row r="26" spans="1:9">
      <c r="A26" s="2554" t="s">
        <v>2519</v>
      </c>
      <c r="B26" s="2554"/>
      <c r="C26" s="2554"/>
      <c r="D26" s="2554"/>
      <c r="E26" s="3569">
        <f>C27-C30-C31-C32</f>
        <v>0</v>
      </c>
      <c r="F26" s="3569"/>
      <c r="G26" s="3569"/>
      <c r="H26" s="3068" t="s">
        <v>2846</v>
      </c>
    </row>
    <row r="27" spans="1:9">
      <c r="A27" s="2555">
        <v>1</v>
      </c>
      <c r="B27" s="2556" t="s">
        <v>2520</v>
      </c>
      <c r="C27" s="2556"/>
      <c r="D27" s="2556"/>
      <c r="E27" s="3570"/>
      <c r="F27" s="3570"/>
      <c r="G27" s="3570"/>
    </row>
    <row r="28" spans="1:9">
      <c r="A28" s="2557" t="s">
        <v>2521</v>
      </c>
      <c r="B28" s="2556" t="s">
        <v>2522</v>
      </c>
      <c r="C28" s="2556"/>
      <c r="D28" s="2556"/>
      <c r="E28" s="3570"/>
      <c r="F28" s="3570"/>
      <c r="G28" s="3570"/>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71"/>
      <c r="F32" s="3571"/>
      <c r="G32" s="3571"/>
    </row>
    <row r="33" spans="1:7" hidden="1">
      <c r="A33" s="3566" t="s">
        <v>2530</v>
      </c>
      <c r="B33" s="3567"/>
      <c r="C33" s="3567"/>
      <c r="D33" s="3568"/>
      <c r="E33" s="3569"/>
      <c r="F33" s="3569"/>
      <c r="G33" s="3569"/>
    </row>
    <row r="34" spans="1:7" hidden="1">
      <c r="A34" s="2559">
        <v>1</v>
      </c>
      <c r="B34" s="2556" t="s">
        <v>2531</v>
      </c>
      <c r="C34" s="2556"/>
      <c r="D34" s="2556"/>
      <c r="E34" s="3570"/>
      <c r="F34" s="3570"/>
      <c r="G34" s="3570"/>
    </row>
    <row r="35" spans="1:7" hidden="1">
      <c r="A35" s="2559">
        <v>2</v>
      </c>
      <c r="B35" s="2556" t="s">
        <v>2532</v>
      </c>
      <c r="C35" s="2556"/>
      <c r="D35" s="2556"/>
      <c r="E35" s="3570"/>
      <c r="F35" s="3570"/>
      <c r="G35" s="3570"/>
    </row>
    <row r="36" spans="1:7" hidden="1">
      <c r="A36" s="2559">
        <v>3</v>
      </c>
      <c r="B36" s="2556" t="s">
        <v>2533</v>
      </c>
      <c r="C36" s="2556"/>
      <c r="D36" s="2556"/>
      <c r="E36" s="3570"/>
      <c r="F36" s="3570"/>
      <c r="G36" s="3570"/>
    </row>
    <row r="37" spans="1:7" hidden="1">
      <c r="A37" s="2559">
        <v>4</v>
      </c>
      <c r="B37" s="2556" t="s">
        <v>2534</v>
      </c>
      <c r="C37" s="2556"/>
      <c r="D37" s="2556"/>
      <c r="E37" s="3570"/>
      <c r="F37" s="3570"/>
      <c r="G37" s="3570"/>
    </row>
    <row r="38" spans="1:7" hidden="1">
      <c r="A38" s="3566" t="s">
        <v>2535</v>
      </c>
      <c r="B38" s="3567"/>
      <c r="C38" s="3567"/>
      <c r="D38" s="3568"/>
      <c r="E38" s="3569"/>
      <c r="F38" s="3569"/>
      <c r="G38" s="35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198</v>
      </c>
      <c r="C2" s="2108"/>
      <c r="D2" s="2108"/>
      <c r="E2" s="2108"/>
      <c r="F2" s="2108"/>
      <c r="G2" s="2108"/>
    </row>
    <row r="3" spans="1:25" s="2059" customFormat="1" ht="18" customHeight="1">
      <c r="A3" s="1378" t="s">
        <v>1686</v>
      </c>
      <c r="B3" s="423">
        <f ca="1">ROUND(B2*10000/'数据-汇总表'!E3,0)</f>
        <v>198</v>
      </c>
      <c r="C3" s="2108"/>
      <c r="D3" s="2108"/>
      <c r="E3" s="2108"/>
      <c r="F3" s="2108"/>
      <c r="G3" s="2108"/>
    </row>
    <row r="4" spans="1:25" s="2059" customFormat="1" ht="18" customHeight="1">
      <c r="A4" s="424" t="s">
        <v>468</v>
      </c>
      <c r="B4" s="425">
        <f ca="1">ROUND(B2*10000/'数据-汇总表'!D3,0)</f>
        <v>952</v>
      </c>
      <c r="C4" s="2061"/>
      <c r="D4" s="2108"/>
      <c r="E4" s="2108"/>
      <c r="F4" s="2108"/>
      <c r="G4" s="2108"/>
    </row>
    <row r="5" spans="1:25" s="2059" customFormat="1" ht="18" customHeight="1" thickBot="1">
      <c r="A5" s="427"/>
      <c r="B5" s="428">
        <f ca="1">ROUND(B2/('数据-汇总表'!D3/666.67),0)</f>
        <v>63</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3">
        <v>1</v>
      </c>
      <c r="B7" s="746" t="s">
        <v>609</v>
      </c>
      <c r="C7" s="747">
        <f>C8+C9</f>
        <v>0</v>
      </c>
      <c r="D7" s="747"/>
      <c r="E7" s="748"/>
      <c r="F7" s="748"/>
      <c r="G7" s="2503"/>
    </row>
    <row r="8" spans="1:25" s="2183" customFormat="1" ht="13.5" customHeight="1">
      <c r="A8" s="2493" t="s">
        <v>2444</v>
      </c>
      <c r="B8" s="2496" t="s">
        <v>2446</v>
      </c>
      <c r="C8" s="2497"/>
      <c r="D8" s="747"/>
      <c r="E8" s="748"/>
      <c r="F8" s="748"/>
      <c r="G8" s="749"/>
    </row>
    <row r="9" spans="1:25" s="2183" customFormat="1" ht="13.5" customHeight="1">
      <c r="A9" s="2493" t="s">
        <v>2445</v>
      </c>
      <c r="B9" s="2496" t="s">
        <v>2447</v>
      </c>
      <c r="C9" s="2497"/>
      <c r="D9" s="747"/>
      <c r="E9" s="748"/>
      <c r="F9" s="748"/>
      <c r="G9" s="749"/>
    </row>
    <row r="10" spans="1:25" s="2183" customFormat="1" ht="36">
      <c r="A10" s="2493">
        <v>2</v>
      </c>
      <c r="B10" s="746" t="s">
        <v>613</v>
      </c>
      <c r="C10" s="747">
        <f>C11+C14+C15</f>
        <v>200</v>
      </c>
      <c r="D10" s="758">
        <f>'数据-汇总表'!E3</f>
        <v>10000</v>
      </c>
      <c r="E10" s="747">
        <f>'数据-取费表'!B31</f>
        <v>200</v>
      </c>
      <c r="F10" s="759"/>
      <c r="G10" s="757" t="s">
        <v>614</v>
      </c>
    </row>
    <row r="11" spans="1:25" s="2183" customFormat="1" ht="13.5" customHeight="1">
      <c r="A11" s="2493" t="s">
        <v>2444</v>
      </c>
      <c r="B11" s="750" t="s">
        <v>610</v>
      </c>
      <c r="C11" s="751">
        <f>'数据-取费表'!B29</f>
        <v>200</v>
      </c>
      <c r="D11" s="752"/>
      <c r="E11" s="751"/>
      <c r="F11" s="753"/>
      <c r="G11" s="2502" t="s">
        <v>2455</v>
      </c>
    </row>
    <row r="12" spans="1:25" s="2183" customFormat="1" ht="13.5" customHeight="1">
      <c r="A12" s="2500" t="s">
        <v>2452</v>
      </c>
      <c r="B12" s="754" t="s">
        <v>611</v>
      </c>
      <c r="C12" s="755">
        <f>ROUND(D12*E12/10000,0)</f>
        <v>0</v>
      </c>
      <c r="D12" s="756">
        <f>'数据-汇总表'!E5</f>
        <v>0</v>
      </c>
      <c r="E12" s="755">
        <f>'数据-取费表'!B27</f>
        <v>0</v>
      </c>
      <c r="F12" s="753"/>
      <c r="G12" s="757"/>
    </row>
    <row r="13" spans="1:25" s="2183" customFormat="1" ht="13.5" customHeight="1">
      <c r="A13" s="2500" t="s">
        <v>2451</v>
      </c>
      <c r="B13" s="754" t="s">
        <v>612</v>
      </c>
      <c r="C13" s="755">
        <f>ROUND(D13*E13/10000,0)</f>
        <v>200</v>
      </c>
      <c r="D13" s="756">
        <f>'数据-汇总表'!E6</f>
        <v>10000</v>
      </c>
      <c r="E13" s="755">
        <f>'数据-取费表'!B28</f>
        <v>200</v>
      </c>
      <c r="F13" s="753"/>
      <c r="G13" s="757"/>
    </row>
    <row r="14" spans="1:25" s="2183" customFormat="1" ht="13.5" customHeight="1">
      <c r="A14" s="2493" t="s">
        <v>2445</v>
      </c>
      <c r="B14" s="2499" t="s">
        <v>2448</v>
      </c>
      <c r="C14" s="2497"/>
      <c r="D14" s="756"/>
      <c r="E14" s="755"/>
      <c r="F14" s="2498"/>
      <c r="G14" s="2501" t="s">
        <v>2453</v>
      </c>
    </row>
    <row r="15" spans="1:25" s="2183" customFormat="1" ht="13.5" customHeight="1">
      <c r="A15" s="2493" t="s">
        <v>2450</v>
      </c>
      <c r="B15" s="2499" t="s">
        <v>2449</v>
      </c>
      <c r="C15" s="2497"/>
      <c r="D15" s="756"/>
      <c r="E15" s="755"/>
      <c r="F15" s="2498"/>
      <c r="G15" s="2501" t="s">
        <v>2454</v>
      </c>
    </row>
    <row r="16" spans="1:25" s="2184" customFormat="1" ht="48">
      <c r="A16" s="2493">
        <v>3</v>
      </c>
      <c r="B16" s="746" t="s">
        <v>615</v>
      </c>
      <c r="C16" s="2497"/>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6" t="s">
        <v>616</v>
      </c>
      <c r="C17" s="2597">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6" t="s">
        <v>617</v>
      </c>
      <c r="C18" s="747">
        <f>ROUND((C7+C10+C16)*F18,0)</f>
        <v>50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6" t="s">
        <v>619</v>
      </c>
      <c r="C19" s="747">
        <f ca="1">C7+C10+C16+C17+C18</f>
        <v>250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6" t="s">
        <v>623</v>
      </c>
      <c r="C21" s="747">
        <f ca="1">C19+C20</f>
        <v>250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6" t="s">
        <v>625</v>
      </c>
      <c r="C22" s="747">
        <f ca="1">ROUND(C21*F22,0)</f>
        <v>198</v>
      </c>
      <c r="D22" s="758"/>
      <c r="E22" s="747"/>
      <c r="F22" s="764">
        <f>'数据-取费表'!AP16</f>
        <v>0.79200000000000004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5" t="s">
        <v>627</v>
      </c>
      <c r="C23" s="766">
        <f ca="1">C22</f>
        <v>198</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7" t="s">
        <v>719</v>
      </c>
      <c r="C1" s="2648" t="s">
        <v>720</v>
      </c>
      <c r="D1" s="2649"/>
      <c r="E1" s="2650"/>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494" t="s">
        <v>522</v>
      </c>
      <c r="D4" s="3495"/>
      <c r="E4" s="3518" t="s">
        <v>523</v>
      </c>
      <c r="F4" s="3519"/>
      <c r="G4" s="3494" t="s">
        <v>524</v>
      </c>
      <c r="H4" s="3495"/>
      <c r="I4" s="3494" t="s">
        <v>525</v>
      </c>
      <c r="J4" s="3495"/>
      <c r="K4" s="851" t="s">
        <v>526</v>
      </c>
      <c r="L4" s="2133"/>
      <c r="M4" s="2134"/>
      <c r="N4" s="2134"/>
      <c r="O4" s="2134"/>
      <c r="P4" s="3496" t="s">
        <v>527</v>
      </c>
      <c r="Q4" s="3497"/>
      <c r="R4" s="3482" t="s">
        <v>523</v>
      </c>
      <c r="S4" s="3483"/>
      <c r="T4" s="3482" t="s">
        <v>524</v>
      </c>
      <c r="U4" s="3483"/>
      <c r="V4" s="3502" t="s">
        <v>525</v>
      </c>
      <c r="W4" s="3502"/>
      <c r="X4" s="1566"/>
      <c r="Y4" s="3482" t="s">
        <v>527</v>
      </c>
      <c r="Z4" s="3483"/>
      <c r="AA4" s="3477" t="s">
        <v>523</v>
      </c>
      <c r="AB4" s="3477" t="s">
        <v>524</v>
      </c>
      <c r="AC4" s="3477" t="s">
        <v>525</v>
      </c>
    </row>
    <row r="5" spans="1:29" ht="15">
      <c r="A5" s="513"/>
      <c r="B5" s="514"/>
      <c r="C5" s="3505" t="s">
        <v>2933</v>
      </c>
      <c r="D5" s="3506"/>
      <c r="E5" s="3520" t="s">
        <v>2934</v>
      </c>
      <c r="F5" s="3521"/>
      <c r="G5" s="3505" t="s">
        <v>2935</v>
      </c>
      <c r="H5" s="3506"/>
      <c r="I5" s="3505" t="s">
        <v>2936</v>
      </c>
      <c r="J5" s="3506"/>
      <c r="K5" s="852"/>
      <c r="L5" s="2133"/>
      <c r="M5" s="2134"/>
      <c r="N5" s="2134"/>
      <c r="O5" s="2134"/>
      <c r="P5" s="3498"/>
      <c r="Q5" s="3499"/>
      <c r="R5" s="3484"/>
      <c r="S5" s="3485"/>
      <c r="T5" s="3484"/>
      <c r="U5" s="3485"/>
      <c r="V5" s="3502"/>
      <c r="W5" s="3502"/>
      <c r="X5" s="1566"/>
      <c r="Y5" s="3484"/>
      <c r="Z5" s="3485"/>
      <c r="AA5" s="3478"/>
      <c r="AB5" s="3478"/>
      <c r="AC5" s="3478"/>
    </row>
    <row r="6" spans="1:29" ht="15.75" thickBot="1">
      <c r="A6" s="515"/>
      <c r="B6" s="516"/>
      <c r="C6" s="3503" t="s">
        <v>2937</v>
      </c>
      <c r="D6" s="3504"/>
      <c r="E6" s="3522" t="s">
        <v>2937</v>
      </c>
      <c r="F6" s="3523"/>
      <c r="G6" s="3503" t="s">
        <v>2937</v>
      </c>
      <c r="H6" s="3504"/>
      <c r="I6" s="3503" t="s">
        <v>2937</v>
      </c>
      <c r="J6" s="3504"/>
      <c r="K6" s="852" t="s">
        <v>528</v>
      </c>
      <c r="L6" s="2133"/>
      <c r="M6" s="2134"/>
      <c r="N6" s="2134"/>
      <c r="O6" s="2134"/>
      <c r="P6" s="3500"/>
      <c r="Q6" s="3501"/>
      <c r="R6" s="3484"/>
      <c r="S6" s="3485"/>
      <c r="T6" s="3486"/>
      <c r="U6" s="3487"/>
      <c r="V6" s="3502"/>
      <c r="W6" s="3502"/>
      <c r="X6" s="1566"/>
      <c r="Y6" s="3486"/>
      <c r="Z6" s="3487"/>
      <c r="AA6" s="3479"/>
      <c r="AB6" s="3479"/>
      <c r="AC6" s="3479"/>
    </row>
    <row r="7" spans="1:29" s="1218" customFormat="1" ht="15.75" thickBot="1">
      <c r="A7" s="2936"/>
      <c r="B7" s="2943"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480" t="s">
        <v>530</v>
      </c>
      <c r="Q7" s="3489"/>
      <c r="R7" s="1567" t="s">
        <v>13</v>
      </c>
      <c r="S7" s="1568">
        <f t="shared" ref="S7:S15" si="0">F7</f>
        <v>0</v>
      </c>
      <c r="T7" s="1567" t="s">
        <v>13</v>
      </c>
      <c r="U7" s="1568">
        <f t="shared" ref="U7:U15" si="1">H7</f>
        <v>0</v>
      </c>
      <c r="V7" s="1567" t="s">
        <v>13</v>
      </c>
      <c r="W7" s="1568">
        <f t="shared" ref="W7:W15" si="2">J7</f>
        <v>0</v>
      </c>
      <c r="X7" s="1569"/>
      <c r="Y7" s="3480" t="s">
        <v>530</v>
      </c>
      <c r="Z7" s="3481"/>
      <c r="AA7" s="1570" t="e">
        <f>D7/F7</f>
        <v>#DIV/0!</v>
      </c>
      <c r="AB7" s="1570" t="e">
        <f>D7/H7</f>
        <v>#DIV/0!</v>
      </c>
      <c r="AC7" s="1570" t="e">
        <f>D7/J7</f>
        <v>#DIV/0!</v>
      </c>
    </row>
    <row r="8" spans="1:29" s="1218" customFormat="1" ht="15.75" thickBot="1">
      <c r="A8" s="2937"/>
      <c r="B8" s="2944"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480" t="s">
        <v>533</v>
      </c>
      <c r="Q8" s="3481"/>
      <c r="R8" s="1567" t="s">
        <v>13</v>
      </c>
      <c r="S8" s="1568">
        <f t="shared" si="0"/>
        <v>0</v>
      </c>
      <c r="T8" s="1567" t="s">
        <v>13</v>
      </c>
      <c r="U8" s="1568">
        <f t="shared" si="1"/>
        <v>0</v>
      </c>
      <c r="V8" s="1567" t="s">
        <v>13</v>
      </c>
      <c r="W8" s="1568">
        <f t="shared" si="2"/>
        <v>0</v>
      </c>
      <c r="X8" s="1569"/>
      <c r="Y8" s="3480" t="s">
        <v>533</v>
      </c>
      <c r="Z8" s="3481"/>
      <c r="AA8" s="1570" t="e">
        <f t="shared" ref="AA8:AA46" si="3">D8/F8</f>
        <v>#DIV/0!</v>
      </c>
      <c r="AB8" s="1570" t="e">
        <f t="shared" ref="AB8:AB46" si="4">D8/H8</f>
        <v>#DIV/0!</v>
      </c>
      <c r="AC8" s="1570" t="e">
        <f t="shared" ref="AC8:AC46" si="5">D8/J8</f>
        <v>#DIV/0!</v>
      </c>
    </row>
    <row r="9" spans="1:29" s="1218" customFormat="1" ht="15">
      <c r="A9" s="2938"/>
      <c r="B9" s="2945"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488" t="s">
        <v>535</v>
      </c>
      <c r="Q9" s="1149" t="str">
        <f t="shared" ref="Q9:Q15" si="6">B9</f>
        <v>用途</v>
      </c>
      <c r="R9" s="1567" t="s">
        <v>8</v>
      </c>
      <c r="S9" s="1568">
        <f t="shared" si="0"/>
        <v>100</v>
      </c>
      <c r="T9" s="1567" t="s">
        <v>8</v>
      </c>
      <c r="U9" s="1568">
        <f t="shared" si="1"/>
        <v>100</v>
      </c>
      <c r="V9" s="1567" t="s">
        <v>8</v>
      </c>
      <c r="W9" s="1568">
        <f t="shared" si="2"/>
        <v>100</v>
      </c>
      <c r="X9" s="1569"/>
      <c r="Y9" s="3384"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488"/>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0"/>
      <c r="B11" s="2944"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488"/>
      <c r="Q11" s="1149" t="str">
        <f t="shared" si="6"/>
        <v>容积率</v>
      </c>
      <c r="R11" s="1567" t="s">
        <v>11</v>
      </c>
      <c r="S11" s="1568" t="e">
        <f t="shared" si="0"/>
        <v>#N/A</v>
      </c>
      <c r="T11" s="1567" t="s">
        <v>11</v>
      </c>
      <c r="U11" s="1568" t="e">
        <f t="shared" si="1"/>
        <v>#N/A</v>
      </c>
      <c r="V11" s="1567" t="s">
        <v>11</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488"/>
      <c r="Q12" s="1149">
        <f t="shared" si="6"/>
        <v>111</v>
      </c>
      <c r="R12" s="1567" t="s">
        <v>11</v>
      </c>
      <c r="S12" s="1568">
        <f t="shared" si="0"/>
        <v>100</v>
      </c>
      <c r="T12" s="1567" t="s">
        <v>11</v>
      </c>
      <c r="U12" s="1568">
        <f t="shared" si="1"/>
        <v>100</v>
      </c>
      <c r="V12" s="1567" t="s">
        <v>11</v>
      </c>
      <c r="W12" s="1568">
        <f t="shared" si="2"/>
        <v>100</v>
      </c>
      <c r="X12" s="1569"/>
      <c r="Y12" s="3384"/>
      <c r="Z12" s="1148">
        <f t="shared" si="7"/>
        <v>111</v>
      </c>
      <c r="AA12" s="1570">
        <f>D12/F12</f>
        <v>1</v>
      </c>
      <c r="AB12" s="1570">
        <f>D12/H12</f>
        <v>1</v>
      </c>
      <c r="AC12" s="1570">
        <f>D12/J12</f>
        <v>1</v>
      </c>
    </row>
    <row r="13" spans="1:29" ht="15">
      <c r="A13" s="2941"/>
      <c r="B13" s="2947">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488"/>
      <c r="Q13" s="1149">
        <f t="shared" si="6"/>
        <v>111</v>
      </c>
      <c r="R13" s="1567" t="s">
        <v>11</v>
      </c>
      <c r="S13" s="1568">
        <f t="shared" si="0"/>
        <v>100</v>
      </c>
      <c r="T13" s="1567" t="s">
        <v>11</v>
      </c>
      <c r="U13" s="1568">
        <f t="shared" si="1"/>
        <v>100</v>
      </c>
      <c r="V13" s="1567" t="s">
        <v>11</v>
      </c>
      <c r="W13" s="1568">
        <f t="shared" si="2"/>
        <v>100</v>
      </c>
      <c r="X13" s="1569"/>
      <c r="Y13" s="3384"/>
      <c r="Z13" s="1148">
        <f t="shared" si="7"/>
        <v>111</v>
      </c>
      <c r="AA13" s="1570">
        <f t="shared" si="3"/>
        <v>1</v>
      </c>
      <c r="AB13" s="1570">
        <f t="shared" si="4"/>
        <v>1</v>
      </c>
      <c r="AC13" s="1570">
        <f t="shared" si="5"/>
        <v>1</v>
      </c>
    </row>
    <row r="14" spans="1:29" ht="15.75" thickBot="1">
      <c r="A14" s="2942"/>
      <c r="B14" s="2948">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488"/>
      <c r="Q14" s="1149">
        <f t="shared" si="6"/>
        <v>111</v>
      </c>
      <c r="R14" s="1567" t="s">
        <v>11</v>
      </c>
      <c r="S14" s="1568">
        <f t="shared" si="0"/>
        <v>100</v>
      </c>
      <c r="T14" s="1567" t="s">
        <v>11</v>
      </c>
      <c r="U14" s="1568">
        <f t="shared" si="1"/>
        <v>100</v>
      </c>
      <c r="V14" s="1567" t="s">
        <v>11</v>
      </c>
      <c r="W14" s="1568">
        <f t="shared" si="2"/>
        <v>100</v>
      </c>
      <c r="X14" s="1569"/>
      <c r="Y14" s="3384"/>
      <c r="Z14" s="1148">
        <f t="shared" si="7"/>
        <v>111</v>
      </c>
      <c r="AA14" s="1570">
        <f t="shared" si="3"/>
        <v>1</v>
      </c>
      <c r="AB14" s="1570">
        <f t="shared" si="4"/>
        <v>1</v>
      </c>
      <c r="AC14" s="1570">
        <f t="shared" si="5"/>
        <v>1</v>
      </c>
    </row>
    <row r="15" spans="1:29" ht="99.75">
      <c r="A15" s="2934"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490" t="s">
        <v>540</v>
      </c>
      <c r="Q15" s="1571" t="str">
        <f t="shared" si="6"/>
        <v>居住社区成熟度</v>
      </c>
      <c r="R15" s="1572" t="s">
        <v>11</v>
      </c>
      <c r="S15" s="1573">
        <f t="shared" si="0"/>
        <v>100</v>
      </c>
      <c r="T15" s="1572" t="s">
        <v>11</v>
      </c>
      <c r="U15" s="1573">
        <f t="shared" si="1"/>
        <v>100</v>
      </c>
      <c r="V15" s="1572" t="s">
        <v>11</v>
      </c>
      <c r="W15" s="1573">
        <f t="shared" si="2"/>
        <v>100</v>
      </c>
      <c r="X15" s="1566"/>
      <c r="Y15" s="3490"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491"/>
      <c r="Q16" s="1571"/>
      <c r="R16" s="1572"/>
      <c r="S16" s="1573"/>
      <c r="T16" s="1572"/>
      <c r="U16" s="1573"/>
      <c r="V16" s="1572"/>
      <c r="W16" s="1573"/>
      <c r="X16" s="1566"/>
      <c r="Y16" s="3491"/>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491"/>
      <c r="Q17" s="1571" t="str">
        <f>B17</f>
        <v>交通便捷度</v>
      </c>
      <c r="R17" s="1572" t="s">
        <v>11</v>
      </c>
      <c r="S17" s="1573">
        <f>F17</f>
        <v>100</v>
      </c>
      <c r="T17" s="1572" t="s">
        <v>11</v>
      </c>
      <c r="U17" s="1573">
        <f>H17</f>
        <v>100</v>
      </c>
      <c r="V17" s="1572" t="s">
        <v>11</v>
      </c>
      <c r="W17" s="1573">
        <f>J17</f>
        <v>100</v>
      </c>
      <c r="X17" s="1566"/>
      <c r="Y17" s="349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491"/>
      <c r="Q18" s="1571"/>
      <c r="R18" s="1572"/>
      <c r="S18" s="1573"/>
      <c r="T18" s="1572"/>
      <c r="U18" s="1573"/>
      <c r="V18" s="1572"/>
      <c r="W18" s="1573"/>
      <c r="X18" s="1566"/>
      <c r="Y18" s="3491"/>
      <c r="Z18" s="1574"/>
      <c r="AA18" s="1575">
        <v>1</v>
      </c>
      <c r="AB18" s="1575">
        <v>1</v>
      </c>
      <c r="AC18" s="1575">
        <v>1</v>
      </c>
    </row>
    <row r="19" spans="1:29" ht="42.75">
      <c r="A19" s="530"/>
      <c r="B19" s="2624"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491"/>
      <c r="Q19" s="1571" t="str">
        <f>B19</f>
        <v>公共配套设施</v>
      </c>
      <c r="R19" s="1572" t="s">
        <v>11</v>
      </c>
      <c r="S19" s="1573">
        <f>F19</f>
        <v>100</v>
      </c>
      <c r="T19" s="1572" t="s">
        <v>11</v>
      </c>
      <c r="U19" s="1573">
        <f>H19</f>
        <v>100</v>
      </c>
      <c r="V19" s="1572" t="s">
        <v>11</v>
      </c>
      <c r="W19" s="1573">
        <f>J19</f>
        <v>100</v>
      </c>
      <c r="X19" s="1566"/>
      <c r="Y19" s="3491"/>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491"/>
      <c r="Q20" s="1571"/>
      <c r="R20" s="1572"/>
      <c r="S20" s="1573"/>
      <c r="T20" s="1572"/>
      <c r="U20" s="1573"/>
      <c r="V20" s="1572"/>
      <c r="W20" s="1573"/>
      <c r="X20" s="1566"/>
      <c r="Y20" s="3491"/>
      <c r="Z20" s="1574"/>
      <c r="AA20" s="1575">
        <v>1</v>
      </c>
      <c r="AB20" s="1575">
        <v>1</v>
      </c>
      <c r="AC20" s="1575">
        <v>1</v>
      </c>
    </row>
    <row r="21" spans="1:29" ht="28.5">
      <c r="A21" s="530"/>
      <c r="B21" s="2617"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491"/>
      <c r="Q21" s="2603" t="str">
        <f>B21</f>
        <v>基础设施水平</v>
      </c>
      <c r="R21" s="1572" t="s">
        <v>11</v>
      </c>
      <c r="S21" s="1573">
        <f>F21</f>
        <v>100</v>
      </c>
      <c r="T21" s="1572" t="s">
        <v>11</v>
      </c>
      <c r="U21" s="1573">
        <f>H21</f>
        <v>100</v>
      </c>
      <c r="V21" s="1572" t="s">
        <v>11</v>
      </c>
      <c r="W21" s="1573">
        <f>J21</f>
        <v>100</v>
      </c>
      <c r="X21" s="2605"/>
      <c r="Y21" s="3491"/>
      <c r="Z21" s="2604"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3"/>
      <c r="L22" s="2142"/>
      <c r="M22" s="2134"/>
      <c r="N22" s="2134"/>
      <c r="O22" s="2141"/>
      <c r="P22" s="3491"/>
      <c r="Q22" s="2603"/>
      <c r="R22" s="1572"/>
      <c r="S22" s="1573"/>
      <c r="T22" s="1572"/>
      <c r="U22" s="1573"/>
      <c r="V22" s="1572"/>
      <c r="W22" s="1573"/>
      <c r="X22" s="2605"/>
      <c r="Y22" s="3491"/>
      <c r="Z22" s="2604"/>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491"/>
      <c r="Q23" s="1571" t="str">
        <f>B23</f>
        <v>自然及人文环境</v>
      </c>
      <c r="R23" s="1572" t="s">
        <v>11</v>
      </c>
      <c r="S23" s="1573">
        <f>F23</f>
        <v>100</v>
      </c>
      <c r="T23" s="1572" t="s">
        <v>11</v>
      </c>
      <c r="U23" s="1573">
        <f>H23</f>
        <v>100</v>
      </c>
      <c r="V23" s="1572" t="s">
        <v>11</v>
      </c>
      <c r="W23" s="1573">
        <f>J23</f>
        <v>100</v>
      </c>
      <c r="X23" s="1566"/>
      <c r="Y23" s="3491"/>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491"/>
      <c r="Q24" s="1571"/>
      <c r="R24" s="1572"/>
      <c r="S24" s="1573"/>
      <c r="T24" s="1572"/>
      <c r="U24" s="1573"/>
      <c r="V24" s="1572"/>
      <c r="W24" s="1573"/>
      <c r="X24" s="1566"/>
      <c r="Y24" s="3491"/>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491"/>
      <c r="Q25" s="1571" t="str">
        <f t="shared" ref="Q25:Q46" si="11">B25</f>
        <v>楼层-1</v>
      </c>
      <c r="R25" s="1572" t="s">
        <v>11</v>
      </c>
      <c r="S25" s="1573">
        <f>F25</f>
        <v>100</v>
      </c>
      <c r="T25" s="1572" t="s">
        <v>11</v>
      </c>
      <c r="U25" s="1573">
        <f>H25</f>
        <v>100</v>
      </c>
      <c r="V25" s="1572" t="s">
        <v>11</v>
      </c>
      <c r="W25" s="1573">
        <f>J25</f>
        <v>100</v>
      </c>
      <c r="X25" s="1566"/>
      <c r="Y25" s="3491"/>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491"/>
      <c r="Q26" s="1571" t="str">
        <f t="shared" si="11"/>
        <v>朝向</v>
      </c>
      <c r="R26" s="1572" t="s">
        <v>11</v>
      </c>
      <c r="S26" s="1573">
        <f>F26</f>
        <v>100</v>
      </c>
      <c r="T26" s="1572" t="s">
        <v>11</v>
      </c>
      <c r="U26" s="1573">
        <f>H26</f>
        <v>100</v>
      </c>
      <c r="V26" s="1572" t="s">
        <v>11</v>
      </c>
      <c r="W26" s="1573">
        <f>J26</f>
        <v>100</v>
      </c>
      <c r="X26" s="1566"/>
      <c r="Y26" s="3491"/>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491"/>
      <c r="Q27" s="1149" t="str">
        <f t="shared" si="11"/>
        <v>道路级别</v>
      </c>
      <c r="R27" s="1567" t="s">
        <v>11</v>
      </c>
      <c r="S27" s="1568">
        <f>F27</f>
        <v>100</v>
      </c>
      <c r="T27" s="1567" t="s">
        <v>11</v>
      </c>
      <c r="U27" s="1568">
        <f>H27</f>
        <v>100</v>
      </c>
      <c r="V27" s="1567" t="s">
        <v>11</v>
      </c>
      <c r="W27" s="1568">
        <f>J27</f>
        <v>100</v>
      </c>
      <c r="X27" s="1569"/>
      <c r="Y27" s="3491"/>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49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91"/>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491"/>
      <c r="Q29" s="1571">
        <f t="shared" si="11"/>
        <v>111</v>
      </c>
      <c r="R29" s="1572" t="s">
        <v>11</v>
      </c>
      <c r="S29" s="1573">
        <f t="shared" si="12"/>
        <v>100</v>
      </c>
      <c r="T29" s="1572" t="s">
        <v>11</v>
      </c>
      <c r="U29" s="1573">
        <f t="shared" si="13"/>
        <v>100</v>
      </c>
      <c r="V29" s="1572" t="s">
        <v>11</v>
      </c>
      <c r="W29" s="1573">
        <f t="shared" si="14"/>
        <v>100</v>
      </c>
      <c r="X29" s="1566"/>
      <c r="Y29" s="3491"/>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491"/>
      <c r="Q30" s="1571">
        <f t="shared" si="11"/>
        <v>111</v>
      </c>
      <c r="R30" s="1572" t="s">
        <v>11</v>
      </c>
      <c r="S30" s="1573">
        <f t="shared" si="12"/>
        <v>100</v>
      </c>
      <c r="T30" s="1572" t="s">
        <v>11</v>
      </c>
      <c r="U30" s="1573">
        <f t="shared" si="13"/>
        <v>100</v>
      </c>
      <c r="V30" s="1572" t="s">
        <v>11</v>
      </c>
      <c r="W30" s="1573">
        <f t="shared" si="14"/>
        <v>100</v>
      </c>
      <c r="X30" s="1566"/>
      <c r="Y30" s="3491"/>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491"/>
      <c r="Q31" s="1571">
        <f t="shared" si="11"/>
        <v>111</v>
      </c>
      <c r="R31" s="1572" t="s">
        <v>11</v>
      </c>
      <c r="S31" s="1573">
        <f t="shared" si="12"/>
        <v>100</v>
      </c>
      <c r="T31" s="1572" t="s">
        <v>11</v>
      </c>
      <c r="U31" s="1573">
        <f t="shared" si="13"/>
        <v>100</v>
      </c>
      <c r="V31" s="1572" t="s">
        <v>11</v>
      </c>
      <c r="W31" s="1573">
        <f t="shared" si="14"/>
        <v>100</v>
      </c>
      <c r="X31" s="1566"/>
      <c r="Y31" s="3491"/>
      <c r="Z31" s="1574">
        <f t="shared" si="15"/>
        <v>111</v>
      </c>
      <c r="AA31" s="1575">
        <f t="shared" si="3"/>
        <v>1</v>
      </c>
      <c r="AB31" s="1575">
        <f t="shared" si="4"/>
        <v>1</v>
      </c>
      <c r="AC31" s="1575">
        <f t="shared" si="5"/>
        <v>1</v>
      </c>
    </row>
    <row r="32" spans="1:29" ht="15">
      <c r="A32" s="2931"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492" t="s">
        <v>550</v>
      </c>
      <c r="Q32" s="1571" t="str">
        <f t="shared" si="11"/>
        <v>建筑类型</v>
      </c>
      <c r="R32" s="1572" t="s">
        <v>11</v>
      </c>
      <c r="S32" s="1573">
        <f t="shared" si="12"/>
        <v>100</v>
      </c>
      <c r="T32" s="1572" t="s">
        <v>11</v>
      </c>
      <c r="U32" s="1573">
        <f t="shared" si="13"/>
        <v>100</v>
      </c>
      <c r="V32" s="1572" t="s">
        <v>11</v>
      </c>
      <c r="W32" s="1573">
        <f t="shared" si="14"/>
        <v>100</v>
      </c>
      <c r="X32" s="1566"/>
      <c r="Y32" s="3493"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493"/>
      <c r="Q33" s="1604" t="str">
        <f t="shared" si="11"/>
        <v>项目建筑规模</v>
      </c>
      <c r="R33" s="1576" t="s">
        <v>11</v>
      </c>
      <c r="S33" s="1577" t="e">
        <f t="shared" si="12"/>
        <v>#N/A</v>
      </c>
      <c r="T33" s="1576" t="s">
        <v>11</v>
      </c>
      <c r="U33" s="1577" t="e">
        <f t="shared" si="13"/>
        <v>#N/A</v>
      </c>
      <c r="V33" s="1576" t="s">
        <v>11</v>
      </c>
      <c r="W33" s="1577" t="e">
        <f t="shared" si="14"/>
        <v>#N/A</v>
      </c>
      <c r="X33" s="1578"/>
      <c r="Y33" s="3493"/>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493"/>
      <c r="Q34" s="1571" t="str">
        <f t="shared" si="11"/>
        <v>建筑结构</v>
      </c>
      <c r="R34" s="1572" t="s">
        <v>11</v>
      </c>
      <c r="S34" s="1573">
        <f t="shared" si="12"/>
        <v>100</v>
      </c>
      <c r="T34" s="1572" t="s">
        <v>11</v>
      </c>
      <c r="U34" s="1573">
        <f t="shared" si="13"/>
        <v>100</v>
      </c>
      <c r="V34" s="1572" t="s">
        <v>11</v>
      </c>
      <c r="W34" s="1573">
        <f t="shared" si="14"/>
        <v>100</v>
      </c>
      <c r="X34" s="1566"/>
      <c r="Y34" s="3493"/>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493"/>
      <c r="Q35" s="1571" t="str">
        <f t="shared" si="11"/>
        <v>建筑品质</v>
      </c>
      <c r="R35" s="1572" t="s">
        <v>11</v>
      </c>
      <c r="S35" s="1573">
        <f t="shared" si="12"/>
        <v>100</v>
      </c>
      <c r="T35" s="1572" t="s">
        <v>11</v>
      </c>
      <c r="U35" s="1573">
        <f t="shared" si="13"/>
        <v>100</v>
      </c>
      <c r="V35" s="1572" t="s">
        <v>11</v>
      </c>
      <c r="W35" s="1573">
        <f t="shared" si="14"/>
        <v>100</v>
      </c>
      <c r="X35" s="1566"/>
      <c r="Y35" s="3493"/>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493"/>
      <c r="Q36" s="1571" t="str">
        <f t="shared" si="11"/>
        <v>公共部分装修</v>
      </c>
      <c r="R36" s="1572" t="s">
        <v>11</v>
      </c>
      <c r="S36" s="1573">
        <f t="shared" si="12"/>
        <v>100</v>
      </c>
      <c r="T36" s="1572" t="s">
        <v>11</v>
      </c>
      <c r="U36" s="1573">
        <f t="shared" si="13"/>
        <v>100</v>
      </c>
      <c r="V36" s="1572" t="s">
        <v>11</v>
      </c>
      <c r="W36" s="1573">
        <f t="shared" si="14"/>
        <v>100</v>
      </c>
      <c r="X36" s="1566"/>
      <c r="Y36" s="3493"/>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493"/>
      <c r="Q37" s="1149" t="str">
        <f t="shared" si="11"/>
        <v>成新度</v>
      </c>
      <c r="R37" s="1567" t="s">
        <v>11</v>
      </c>
      <c r="S37" s="1568" t="e">
        <f t="shared" si="12"/>
        <v>#N/A</v>
      </c>
      <c r="T37" s="1567" t="s">
        <v>11</v>
      </c>
      <c r="U37" s="1568" t="e">
        <f t="shared" si="13"/>
        <v>#N/A</v>
      </c>
      <c r="V37" s="1567" t="s">
        <v>11</v>
      </c>
      <c r="W37" s="1568" t="e">
        <f t="shared" si="14"/>
        <v>#N/A</v>
      </c>
      <c r="X37" s="1569"/>
      <c r="Y37" s="3493"/>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493" t="s">
        <v>550</v>
      </c>
      <c r="Q38" s="1571" t="str">
        <f t="shared" si="11"/>
        <v>物业管理</v>
      </c>
      <c r="R38" s="1572" t="s">
        <v>11</v>
      </c>
      <c r="S38" s="1573">
        <f t="shared" si="12"/>
        <v>100</v>
      </c>
      <c r="T38" s="1572" t="s">
        <v>11</v>
      </c>
      <c r="U38" s="1573">
        <f t="shared" si="13"/>
        <v>100</v>
      </c>
      <c r="V38" s="1572" t="s">
        <v>11</v>
      </c>
      <c r="W38" s="1573">
        <f t="shared" si="14"/>
        <v>100</v>
      </c>
      <c r="X38" s="1566"/>
      <c r="Y38" s="3493"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493"/>
      <c r="Q39" s="1571" t="str">
        <f t="shared" si="11"/>
        <v>市政基础设施</v>
      </c>
      <c r="R39" s="1572" t="s">
        <v>11</v>
      </c>
      <c r="S39" s="1573">
        <f t="shared" si="12"/>
        <v>100</v>
      </c>
      <c r="T39" s="1572" t="s">
        <v>11</v>
      </c>
      <c r="U39" s="1573">
        <f t="shared" si="13"/>
        <v>100</v>
      </c>
      <c r="V39" s="1572" t="s">
        <v>11</v>
      </c>
      <c r="W39" s="1573">
        <f t="shared" si="14"/>
        <v>100</v>
      </c>
      <c r="X39" s="1566"/>
      <c r="Y39" s="3493"/>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493"/>
      <c r="Q40" s="1571" t="str">
        <f t="shared" si="11"/>
        <v>房型</v>
      </c>
      <c r="R40" s="1572" t="s">
        <v>11</v>
      </c>
      <c r="S40" s="1573">
        <f t="shared" si="12"/>
        <v>100</v>
      </c>
      <c r="T40" s="1572" t="s">
        <v>11</v>
      </c>
      <c r="U40" s="1573">
        <f t="shared" si="13"/>
        <v>100</v>
      </c>
      <c r="V40" s="1572" t="s">
        <v>11</v>
      </c>
      <c r="W40" s="1573">
        <f t="shared" si="14"/>
        <v>100</v>
      </c>
      <c r="X40" s="1566"/>
      <c r="Y40" s="3493"/>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493"/>
      <c r="Q41" s="1604" t="str">
        <f t="shared" si="11"/>
        <v>单套/主力户型建筑面积</v>
      </c>
      <c r="R41" s="1576" t="s">
        <v>11</v>
      </c>
      <c r="S41" s="1577">
        <f t="shared" si="12"/>
        <v>100</v>
      </c>
      <c r="T41" s="1576" t="s">
        <v>11</v>
      </c>
      <c r="U41" s="1577">
        <f t="shared" si="13"/>
        <v>100</v>
      </c>
      <c r="V41" s="1576" t="s">
        <v>11</v>
      </c>
      <c r="W41" s="1577">
        <f t="shared" si="14"/>
        <v>100</v>
      </c>
      <c r="X41" s="1578"/>
      <c r="Y41" s="3493"/>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493"/>
      <c r="Q42" s="1571" t="str">
        <f t="shared" si="11"/>
        <v>内部装修</v>
      </c>
      <c r="R42" s="1572" t="s">
        <v>11</v>
      </c>
      <c r="S42" s="1573">
        <f t="shared" si="12"/>
        <v>100</v>
      </c>
      <c r="T42" s="1572" t="s">
        <v>11</v>
      </c>
      <c r="U42" s="1573">
        <f t="shared" si="13"/>
        <v>100</v>
      </c>
      <c r="V42" s="1572" t="s">
        <v>11</v>
      </c>
      <c r="W42" s="1573">
        <f t="shared" si="14"/>
        <v>100</v>
      </c>
      <c r="X42" s="1566"/>
      <c r="Y42" s="3493"/>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493"/>
      <c r="Q43" s="1571" t="str">
        <f t="shared" si="11"/>
        <v>内部装修维护情况</v>
      </c>
      <c r="R43" s="1572" t="s">
        <v>11</v>
      </c>
      <c r="S43" s="1573">
        <f t="shared" si="12"/>
        <v>100</v>
      </c>
      <c r="T43" s="1572" t="s">
        <v>11</v>
      </c>
      <c r="U43" s="1573">
        <f t="shared" si="13"/>
        <v>100</v>
      </c>
      <c r="V43" s="1572" t="s">
        <v>11</v>
      </c>
      <c r="W43" s="1573">
        <f t="shared" si="14"/>
        <v>100</v>
      </c>
      <c r="X43" s="1566"/>
      <c r="Y43" s="3493"/>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493"/>
      <c r="Q44" s="1149">
        <f t="shared" si="11"/>
        <v>111</v>
      </c>
      <c r="R44" s="1567" t="s">
        <v>11</v>
      </c>
      <c r="S44" s="1568">
        <f t="shared" si="12"/>
        <v>100</v>
      </c>
      <c r="T44" s="1567" t="s">
        <v>11</v>
      </c>
      <c r="U44" s="1568">
        <f t="shared" si="13"/>
        <v>100</v>
      </c>
      <c r="V44" s="1567" t="s">
        <v>11</v>
      </c>
      <c r="W44" s="1568">
        <f t="shared" si="14"/>
        <v>100</v>
      </c>
      <c r="X44" s="1569"/>
      <c r="Y44" s="3493"/>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493"/>
      <c r="Q45" s="1571">
        <f t="shared" si="11"/>
        <v>111</v>
      </c>
      <c r="R45" s="1572" t="s">
        <v>11</v>
      </c>
      <c r="S45" s="1573">
        <f t="shared" si="12"/>
        <v>100</v>
      </c>
      <c r="T45" s="1572" t="s">
        <v>11</v>
      </c>
      <c r="U45" s="1573">
        <f t="shared" si="13"/>
        <v>100</v>
      </c>
      <c r="V45" s="1572" t="s">
        <v>11</v>
      </c>
      <c r="W45" s="1573">
        <f t="shared" si="14"/>
        <v>100</v>
      </c>
      <c r="X45" s="1566"/>
      <c r="Y45" s="3493"/>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589"/>
      <c r="Q46" s="1571">
        <f t="shared" si="11"/>
        <v>111</v>
      </c>
      <c r="R46" s="1572" t="s">
        <v>10</v>
      </c>
      <c r="S46" s="1573">
        <f t="shared" si="12"/>
        <v>100</v>
      </c>
      <c r="T46" s="1572" t="s">
        <v>10</v>
      </c>
      <c r="U46" s="1573">
        <f t="shared" si="13"/>
        <v>100</v>
      </c>
      <c r="V46" s="1572" t="s">
        <v>10</v>
      </c>
      <c r="W46" s="1573">
        <f t="shared" si="14"/>
        <v>100</v>
      </c>
      <c r="X46" s="1566"/>
      <c r="Y46" s="3589"/>
      <c r="Z46" s="1574">
        <f t="shared" si="15"/>
        <v>111</v>
      </c>
      <c r="AA46" s="1575">
        <f t="shared" si="3"/>
        <v>1</v>
      </c>
      <c r="AB46" s="1575">
        <f t="shared" si="4"/>
        <v>1</v>
      </c>
      <c r="AC46" s="1575">
        <f t="shared" si="5"/>
        <v>1</v>
      </c>
    </row>
    <row r="47" spans="1:29" ht="15">
      <c r="A47" s="605" t="s">
        <v>736</v>
      </c>
      <c r="B47" s="885"/>
      <c r="C47" s="2651" t="s">
        <v>9</v>
      </c>
      <c r="D47" s="2652"/>
      <c r="E47" s="2653"/>
      <c r="F47" s="2654"/>
      <c r="G47" s="2655"/>
      <c r="H47" s="2656"/>
      <c r="I47" s="2653"/>
      <c r="J47" s="2656"/>
      <c r="K47" s="1605"/>
      <c r="L47" s="2144"/>
      <c r="M47" s="2145"/>
      <c r="N47" s="2134"/>
      <c r="O47" s="2145"/>
      <c r="P47" s="3488" t="str">
        <f>A47</f>
        <v>成交单价（元/平方米）</v>
      </c>
      <c r="Q47" s="3488"/>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7" t="e">
        <f>R49</f>
        <v>#DIV/0!</v>
      </c>
      <c r="D48" s="2658"/>
      <c r="E48" s="2659" t="e">
        <f>R48</f>
        <v>#DIV/0!</v>
      </c>
      <c r="F48" s="2659"/>
      <c r="G48" s="2657" t="e">
        <f>T48</f>
        <v>#DIV/0!</v>
      </c>
      <c r="H48" s="2658"/>
      <c r="I48" s="2659" t="e">
        <f>V48</f>
        <v>#DIV/0!</v>
      </c>
      <c r="J48" s="2658"/>
      <c r="K48" s="1606"/>
      <c r="L48" s="2144"/>
      <c r="M48" s="2145"/>
      <c r="N48" s="2145"/>
      <c r="O48" s="2145"/>
      <c r="P48" s="3488" t="str">
        <f>A48</f>
        <v>比较价格（元/平方米）</v>
      </c>
      <c r="Q48" s="3488"/>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2939</v>
      </c>
      <c r="B49" s="620"/>
      <c r="C49" s="2660" t="e">
        <f>R49</f>
        <v>#DIV/0!</v>
      </c>
      <c r="D49" s="2660"/>
      <c r="E49" s="2660"/>
      <c r="F49" s="2660"/>
      <c r="G49" s="2660"/>
      <c r="H49" s="2660"/>
      <c r="I49" s="2660"/>
      <c r="J49" s="2660"/>
      <c r="K49" s="1607"/>
      <c r="L49" s="2144"/>
      <c r="M49" s="2145"/>
      <c r="N49" s="2145"/>
      <c r="O49" s="2145"/>
      <c r="P49" s="3509" t="str">
        <f>A49</f>
        <v>估价对象XX用房的比较价格（楼面单价，元/平方米）</v>
      </c>
      <c r="Q49" s="3510"/>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2562</v>
      </c>
      <c r="C82" s="2622" t="s">
        <v>2563</v>
      </c>
      <c r="D82" s="2622" t="s">
        <v>2564</v>
      </c>
      <c r="E82" s="2622" t="s">
        <v>2565</v>
      </c>
      <c r="F82" s="2622" t="s">
        <v>2566</v>
      </c>
      <c r="G82" s="2622" t="s">
        <v>2567</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494" t="s">
        <v>522</v>
      </c>
      <c r="D4" s="3495"/>
      <c r="E4" s="3518" t="s">
        <v>523</v>
      </c>
      <c r="F4" s="3519"/>
      <c r="G4" s="3494" t="s">
        <v>524</v>
      </c>
      <c r="H4" s="3495"/>
      <c r="I4" s="3494" t="s">
        <v>525</v>
      </c>
      <c r="J4" s="3495"/>
      <c r="K4" s="512" t="s">
        <v>526</v>
      </c>
      <c r="L4" s="2133"/>
      <c r="M4" s="2134"/>
      <c r="N4" s="2134"/>
      <c r="O4" s="2134"/>
      <c r="P4" s="3496" t="s">
        <v>527</v>
      </c>
      <c r="Q4" s="3497"/>
      <c r="R4" s="3482" t="s">
        <v>523</v>
      </c>
      <c r="S4" s="3483"/>
      <c r="T4" s="3482" t="s">
        <v>524</v>
      </c>
      <c r="U4" s="3483"/>
      <c r="V4" s="3502" t="s">
        <v>525</v>
      </c>
      <c r="W4" s="3502"/>
      <c r="X4" s="1566"/>
      <c r="Y4" s="3482" t="s">
        <v>527</v>
      </c>
      <c r="Z4" s="3483"/>
      <c r="AA4" s="3477" t="s">
        <v>523</v>
      </c>
      <c r="AB4" s="3502" t="s">
        <v>524</v>
      </c>
      <c r="AC4" s="3477" t="s">
        <v>525</v>
      </c>
    </row>
    <row r="5" spans="1:29" ht="15">
      <c r="A5" s="513"/>
      <c r="B5" s="514"/>
      <c r="C5" s="3505" t="s">
        <v>2933</v>
      </c>
      <c r="D5" s="3506"/>
      <c r="E5" s="3520" t="s">
        <v>2934</v>
      </c>
      <c r="F5" s="3521"/>
      <c r="G5" s="3505" t="s">
        <v>2935</v>
      </c>
      <c r="H5" s="3506"/>
      <c r="I5" s="3505" t="s">
        <v>2936</v>
      </c>
      <c r="J5" s="3506"/>
      <c r="K5" s="512"/>
      <c r="L5" s="2133"/>
      <c r="M5" s="2134"/>
      <c r="N5" s="2134"/>
      <c r="O5" s="2134"/>
      <c r="P5" s="3498"/>
      <c r="Q5" s="3499"/>
      <c r="R5" s="3484"/>
      <c r="S5" s="3485"/>
      <c r="T5" s="3484"/>
      <c r="U5" s="3485"/>
      <c r="V5" s="3502"/>
      <c r="W5" s="3502"/>
      <c r="X5" s="1566"/>
      <c r="Y5" s="3484"/>
      <c r="Z5" s="3485"/>
      <c r="AA5" s="3478"/>
      <c r="AB5" s="3502"/>
      <c r="AC5" s="3478"/>
    </row>
    <row r="6" spans="1:29" ht="15.75" thickBot="1">
      <c r="A6" s="515"/>
      <c r="B6" s="516"/>
      <c r="C6" s="3503" t="s">
        <v>2937</v>
      </c>
      <c r="D6" s="3504"/>
      <c r="E6" s="3522" t="s">
        <v>2937</v>
      </c>
      <c r="F6" s="3523"/>
      <c r="G6" s="3503" t="s">
        <v>2937</v>
      </c>
      <c r="H6" s="3504"/>
      <c r="I6" s="3503" t="s">
        <v>2937</v>
      </c>
      <c r="J6" s="3504"/>
      <c r="K6" s="512" t="s">
        <v>528</v>
      </c>
      <c r="L6" s="2133"/>
      <c r="M6" s="2134"/>
      <c r="N6" s="2134"/>
      <c r="O6" s="2134"/>
      <c r="P6" s="3500"/>
      <c r="Q6" s="3501"/>
      <c r="R6" s="3484"/>
      <c r="S6" s="3485"/>
      <c r="T6" s="3486"/>
      <c r="U6" s="3487"/>
      <c r="V6" s="3502"/>
      <c r="W6" s="3502"/>
      <c r="X6" s="1566"/>
      <c r="Y6" s="3486"/>
      <c r="Z6" s="3487"/>
      <c r="AA6" s="3479"/>
      <c r="AB6" s="3502"/>
      <c r="AC6" s="3479"/>
    </row>
    <row r="7" spans="1:29" s="1218" customFormat="1" ht="15.75" thickBot="1">
      <c r="A7" s="2936"/>
      <c r="B7" s="2943"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480" t="s">
        <v>530</v>
      </c>
      <c r="Q7" s="3489"/>
      <c r="R7" s="1567" t="s">
        <v>8</v>
      </c>
      <c r="S7" s="1568">
        <f t="shared" ref="S7:S15" si="0">F7</f>
        <v>0</v>
      </c>
      <c r="T7" s="1567" t="s">
        <v>8</v>
      </c>
      <c r="U7" s="1568">
        <f t="shared" ref="U7:U15" si="1">H7</f>
        <v>0</v>
      </c>
      <c r="V7" s="1567" t="s">
        <v>8</v>
      </c>
      <c r="W7" s="1568">
        <f t="shared" ref="W7:W15" si="2">J7</f>
        <v>0</v>
      </c>
      <c r="X7" s="1569"/>
      <c r="Y7" s="3480" t="s">
        <v>530</v>
      </c>
      <c r="Z7" s="3481"/>
      <c r="AA7" s="1570" t="e">
        <f>D7/F7</f>
        <v>#DIV/0!</v>
      </c>
      <c r="AB7" s="1570" t="e">
        <f>D7/H7</f>
        <v>#DIV/0!</v>
      </c>
      <c r="AC7" s="1570" t="e">
        <f>D7/J7</f>
        <v>#DIV/0!</v>
      </c>
    </row>
    <row r="8" spans="1:29" s="1218" customFormat="1" ht="15.75" thickBot="1">
      <c r="A8" s="2937"/>
      <c r="B8" s="2944"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480" t="s">
        <v>533</v>
      </c>
      <c r="Q8" s="3481"/>
      <c r="R8" s="1567" t="s">
        <v>8</v>
      </c>
      <c r="S8" s="1568">
        <f t="shared" si="0"/>
        <v>0</v>
      </c>
      <c r="T8" s="1567" t="s">
        <v>8</v>
      </c>
      <c r="U8" s="1568">
        <f t="shared" si="1"/>
        <v>0</v>
      </c>
      <c r="V8" s="1567" t="s">
        <v>8</v>
      </c>
      <c r="W8" s="1568">
        <f t="shared" si="2"/>
        <v>0</v>
      </c>
      <c r="X8" s="1569"/>
      <c r="Y8" s="3480" t="s">
        <v>533</v>
      </c>
      <c r="Z8" s="3481"/>
      <c r="AA8" s="1570" t="e">
        <f t="shared" ref="AA8:AA46" si="3">D8/F8</f>
        <v>#DIV/0!</v>
      </c>
      <c r="AB8" s="1570" t="e">
        <f t="shared" ref="AB8:AB46" si="4">D8/H8</f>
        <v>#DIV/0!</v>
      </c>
      <c r="AC8" s="1570" t="e">
        <f t="shared" ref="AC8:AC46" si="5">D8/J8</f>
        <v>#DIV/0!</v>
      </c>
    </row>
    <row r="9" spans="1:29" s="1218" customFormat="1" ht="15">
      <c r="A9" s="2938"/>
      <c r="B9" s="2945"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488" t="s">
        <v>535</v>
      </c>
      <c r="Q9" s="1149" t="str">
        <f t="shared" ref="Q9:Q15" si="6">B9</f>
        <v>用途</v>
      </c>
      <c r="R9" s="1567" t="s">
        <v>8</v>
      </c>
      <c r="S9" s="1568">
        <f t="shared" si="0"/>
        <v>100</v>
      </c>
      <c r="T9" s="1567" t="s">
        <v>8</v>
      </c>
      <c r="U9" s="1568">
        <f t="shared" si="1"/>
        <v>100</v>
      </c>
      <c r="V9" s="1567" t="s">
        <v>8</v>
      </c>
      <c r="W9" s="1568">
        <f t="shared" si="2"/>
        <v>100</v>
      </c>
      <c r="X9" s="1569"/>
      <c r="Y9" s="3384"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488"/>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0"/>
      <c r="B11" s="2944"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488"/>
      <c r="Q11" s="1149" t="str">
        <f t="shared" si="6"/>
        <v>容积率</v>
      </c>
      <c r="R11" s="1567" t="s">
        <v>8</v>
      </c>
      <c r="S11" s="1568" t="e">
        <f t="shared" si="0"/>
        <v>#N/A</v>
      </c>
      <c r="T11" s="1567" t="s">
        <v>8</v>
      </c>
      <c r="U11" s="1568" t="e">
        <f t="shared" si="1"/>
        <v>#N/A</v>
      </c>
      <c r="V11" s="1567" t="s">
        <v>8</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488"/>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c r="A13" s="2941"/>
      <c r="B13" s="2947">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488"/>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75" thickBot="1">
      <c r="A14" s="2942"/>
      <c r="B14" s="2948">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488"/>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71.25">
      <c r="A15" s="2934"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490" t="s">
        <v>540</v>
      </c>
      <c r="Q15" s="1571" t="str">
        <f t="shared" si="6"/>
        <v>商业繁华度</v>
      </c>
      <c r="R15" s="1572" t="s">
        <v>8</v>
      </c>
      <c r="S15" s="1573">
        <f t="shared" si="0"/>
        <v>100</v>
      </c>
      <c r="T15" s="1572" t="s">
        <v>8</v>
      </c>
      <c r="U15" s="1573">
        <f t="shared" si="1"/>
        <v>100</v>
      </c>
      <c r="V15" s="1572" t="s">
        <v>8</v>
      </c>
      <c r="W15" s="1573">
        <f t="shared" si="2"/>
        <v>100</v>
      </c>
      <c r="X15" s="1566"/>
      <c r="Y15" s="3490"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491"/>
      <c r="Q16" s="1571"/>
      <c r="R16" s="1572"/>
      <c r="S16" s="1573"/>
      <c r="T16" s="1572"/>
      <c r="U16" s="1573"/>
      <c r="V16" s="1572"/>
      <c r="W16" s="1573"/>
      <c r="X16" s="1566"/>
      <c r="Y16" s="3491"/>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491"/>
      <c r="Q17" s="1571" t="str">
        <f>B17</f>
        <v>交通便捷度</v>
      </c>
      <c r="R17" s="1572" t="s">
        <v>8</v>
      </c>
      <c r="S17" s="1573">
        <f>F17</f>
        <v>100</v>
      </c>
      <c r="T17" s="1572" t="s">
        <v>8</v>
      </c>
      <c r="U17" s="1573">
        <f>H17</f>
        <v>100</v>
      </c>
      <c r="V17" s="1572" t="s">
        <v>8</v>
      </c>
      <c r="W17" s="1573">
        <f>J17</f>
        <v>100</v>
      </c>
      <c r="X17" s="1566"/>
      <c r="Y17" s="349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491"/>
      <c r="Q18" s="1571"/>
      <c r="R18" s="1572"/>
      <c r="S18" s="1573"/>
      <c r="T18" s="1572"/>
      <c r="U18" s="1573"/>
      <c r="V18" s="1572"/>
      <c r="W18" s="1573"/>
      <c r="X18" s="1566"/>
      <c r="Y18" s="3491"/>
      <c r="Z18" s="1574"/>
      <c r="AA18" s="1575">
        <v>1</v>
      </c>
      <c r="AB18" s="1575">
        <v>1</v>
      </c>
      <c r="AC18" s="1575">
        <v>1</v>
      </c>
    </row>
    <row r="19" spans="1:29" ht="42.75">
      <c r="A19" s="530"/>
      <c r="B19" s="2624"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491"/>
      <c r="Q19" s="1571" t="str">
        <f>B19</f>
        <v>公共配套设施</v>
      </c>
      <c r="R19" s="1572" t="s">
        <v>8</v>
      </c>
      <c r="S19" s="1573">
        <f>F19</f>
        <v>100</v>
      </c>
      <c r="T19" s="1572" t="s">
        <v>8</v>
      </c>
      <c r="U19" s="1573">
        <f>H19</f>
        <v>100</v>
      </c>
      <c r="V19" s="1572" t="s">
        <v>8</v>
      </c>
      <c r="W19" s="1573">
        <f>J19</f>
        <v>100</v>
      </c>
      <c r="X19" s="1566"/>
      <c r="Y19" s="3491"/>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491"/>
      <c r="Q20" s="1571"/>
      <c r="R20" s="1572"/>
      <c r="S20" s="1573"/>
      <c r="T20" s="1572"/>
      <c r="U20" s="1573"/>
      <c r="V20" s="1572"/>
      <c r="W20" s="1573"/>
      <c r="X20" s="1566"/>
      <c r="Y20" s="3491"/>
      <c r="Z20" s="1574"/>
      <c r="AA20" s="1575">
        <v>1</v>
      </c>
      <c r="AB20" s="1575">
        <v>1</v>
      </c>
      <c r="AC20" s="1575">
        <v>1</v>
      </c>
    </row>
    <row r="21" spans="1:29" ht="28.5">
      <c r="A21" s="530"/>
      <c r="B21" s="2617"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491"/>
      <c r="Q21" s="2603" t="str">
        <f>B21</f>
        <v>基础设施水平</v>
      </c>
      <c r="R21" s="1572" t="s">
        <v>8</v>
      </c>
      <c r="S21" s="1573">
        <f>F21</f>
        <v>100</v>
      </c>
      <c r="T21" s="1572" t="s">
        <v>8</v>
      </c>
      <c r="U21" s="1573">
        <f>H21</f>
        <v>100</v>
      </c>
      <c r="V21" s="1572" t="s">
        <v>8</v>
      </c>
      <c r="W21" s="1573">
        <f>J21</f>
        <v>100</v>
      </c>
      <c r="X21" s="2605"/>
      <c r="Y21" s="3491"/>
      <c r="Z21" s="2604"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6"/>
      <c r="L22" s="2142"/>
      <c r="M22" s="2134"/>
      <c r="N22" s="2134"/>
      <c r="O22" s="2141"/>
      <c r="P22" s="3491"/>
      <c r="Q22" s="2603"/>
      <c r="R22" s="1572"/>
      <c r="S22" s="1573"/>
      <c r="T22" s="1572"/>
      <c r="U22" s="1573"/>
      <c r="V22" s="1572"/>
      <c r="W22" s="1573"/>
      <c r="X22" s="2605"/>
      <c r="Y22" s="3491"/>
      <c r="Z22" s="2604"/>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491"/>
      <c r="Q23" s="1571" t="str">
        <f>B23</f>
        <v>自然及人文环境</v>
      </c>
      <c r="R23" s="1572" t="s">
        <v>8</v>
      </c>
      <c r="S23" s="1573">
        <f>F23</f>
        <v>100</v>
      </c>
      <c r="T23" s="1572" t="s">
        <v>8</v>
      </c>
      <c r="U23" s="1573">
        <f>H23</f>
        <v>100</v>
      </c>
      <c r="V23" s="1572" t="s">
        <v>8</v>
      </c>
      <c r="W23" s="1573">
        <f>J23</f>
        <v>100</v>
      </c>
      <c r="X23" s="1566"/>
      <c r="Y23" s="3491"/>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491"/>
      <c r="Q24" s="1571"/>
      <c r="R24" s="1572"/>
      <c r="S24" s="1573"/>
      <c r="T24" s="1572"/>
      <c r="U24" s="1573"/>
      <c r="V24" s="1572"/>
      <c r="W24" s="1573"/>
      <c r="X24" s="1566"/>
      <c r="Y24" s="3491"/>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491"/>
      <c r="Q25" s="1571" t="str">
        <f t="shared" ref="Q25:Q46" si="11">B25</f>
        <v>临街状况</v>
      </c>
      <c r="R25" s="1572" t="s">
        <v>8</v>
      </c>
      <c r="S25" s="1573">
        <f>F25</f>
        <v>100</v>
      </c>
      <c r="T25" s="1572" t="s">
        <v>8</v>
      </c>
      <c r="U25" s="1573">
        <f>H25</f>
        <v>100</v>
      </c>
      <c r="V25" s="1572" t="s">
        <v>8</v>
      </c>
      <c r="W25" s="1573">
        <f>J25</f>
        <v>100</v>
      </c>
      <c r="X25" s="1566"/>
      <c r="Y25" s="3491"/>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491"/>
      <c r="Q26" s="1571" t="str">
        <f t="shared" si="11"/>
        <v>平面位置/可视性</v>
      </c>
      <c r="R26" s="1572" t="s">
        <v>8</v>
      </c>
      <c r="S26" s="1573">
        <f>F26</f>
        <v>100</v>
      </c>
      <c r="T26" s="1572" t="s">
        <v>8</v>
      </c>
      <c r="U26" s="1573">
        <f>H26</f>
        <v>100</v>
      </c>
      <c r="V26" s="1572" t="s">
        <v>8</v>
      </c>
      <c r="W26" s="1573">
        <f>J26</f>
        <v>100</v>
      </c>
      <c r="X26" s="1566"/>
      <c r="Y26" s="3491"/>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491"/>
      <c r="Q27" s="1149" t="str">
        <f t="shared" si="11"/>
        <v>人流量</v>
      </c>
      <c r="R27" s="1567" t="s">
        <v>8</v>
      </c>
      <c r="S27" s="1568">
        <f>F27</f>
        <v>100</v>
      </c>
      <c r="T27" s="1567" t="s">
        <v>8</v>
      </c>
      <c r="U27" s="1568">
        <f>H27</f>
        <v>100</v>
      </c>
      <c r="V27" s="1567" t="s">
        <v>8</v>
      </c>
      <c r="W27" s="1568">
        <f>J27</f>
        <v>100</v>
      </c>
      <c r="X27" s="1569"/>
      <c r="Y27" s="3491"/>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49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91"/>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491"/>
      <c r="Q29" s="1571">
        <f t="shared" si="11"/>
        <v>111</v>
      </c>
      <c r="R29" s="1572" t="s">
        <v>8</v>
      </c>
      <c r="S29" s="1573">
        <f t="shared" si="12"/>
        <v>100</v>
      </c>
      <c r="T29" s="1572" t="s">
        <v>8</v>
      </c>
      <c r="U29" s="1573">
        <f t="shared" si="13"/>
        <v>100</v>
      </c>
      <c r="V29" s="1572" t="s">
        <v>8</v>
      </c>
      <c r="W29" s="1573">
        <f t="shared" si="14"/>
        <v>100</v>
      </c>
      <c r="X29" s="1566"/>
      <c r="Y29" s="3491"/>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491"/>
      <c r="Q30" s="1571">
        <f t="shared" si="11"/>
        <v>111</v>
      </c>
      <c r="R30" s="1572" t="s">
        <v>8</v>
      </c>
      <c r="S30" s="1573">
        <f t="shared" si="12"/>
        <v>100</v>
      </c>
      <c r="T30" s="1572" t="s">
        <v>8</v>
      </c>
      <c r="U30" s="1573">
        <f t="shared" si="13"/>
        <v>100</v>
      </c>
      <c r="V30" s="1572" t="s">
        <v>8</v>
      </c>
      <c r="W30" s="1573">
        <f t="shared" si="14"/>
        <v>100</v>
      </c>
      <c r="X30" s="1566"/>
      <c r="Y30" s="3491"/>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491"/>
      <c r="Q31" s="1571">
        <f t="shared" si="11"/>
        <v>111</v>
      </c>
      <c r="R31" s="1572" t="s">
        <v>8</v>
      </c>
      <c r="S31" s="1573">
        <f t="shared" si="12"/>
        <v>100</v>
      </c>
      <c r="T31" s="1572" t="s">
        <v>8</v>
      </c>
      <c r="U31" s="1573">
        <f t="shared" si="13"/>
        <v>100</v>
      </c>
      <c r="V31" s="1572" t="s">
        <v>8</v>
      </c>
      <c r="W31" s="1573">
        <f t="shared" si="14"/>
        <v>100</v>
      </c>
      <c r="X31" s="1566"/>
      <c r="Y31" s="3491"/>
      <c r="Z31" s="1574">
        <f t="shared" si="15"/>
        <v>111</v>
      </c>
      <c r="AA31" s="1575">
        <f t="shared" si="3"/>
        <v>1</v>
      </c>
      <c r="AB31" s="1575">
        <f t="shared" si="4"/>
        <v>1</v>
      </c>
      <c r="AC31" s="1575">
        <f t="shared" si="5"/>
        <v>1</v>
      </c>
    </row>
    <row r="32" spans="1:29" ht="15">
      <c r="A32" s="2931"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492" t="s">
        <v>550</v>
      </c>
      <c r="Q32" s="1571" t="str">
        <f t="shared" si="11"/>
        <v>商业类型</v>
      </c>
      <c r="R32" s="1572" t="s">
        <v>8</v>
      </c>
      <c r="S32" s="1573">
        <f t="shared" si="12"/>
        <v>100</v>
      </c>
      <c r="T32" s="1572" t="s">
        <v>8</v>
      </c>
      <c r="U32" s="1573">
        <f t="shared" si="13"/>
        <v>100</v>
      </c>
      <c r="V32" s="1572" t="s">
        <v>8</v>
      </c>
      <c r="W32" s="1573">
        <f t="shared" si="14"/>
        <v>100</v>
      </c>
      <c r="X32" s="1566"/>
      <c r="Y32" s="3493"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493"/>
      <c r="Q33" s="1604" t="str">
        <f t="shared" si="11"/>
        <v>项目建筑规模</v>
      </c>
      <c r="R33" s="1576" t="s">
        <v>8</v>
      </c>
      <c r="S33" s="1577" t="e">
        <f t="shared" si="12"/>
        <v>#N/A</v>
      </c>
      <c r="T33" s="1576" t="s">
        <v>8</v>
      </c>
      <c r="U33" s="1577" t="e">
        <f t="shared" si="13"/>
        <v>#N/A</v>
      </c>
      <c r="V33" s="1576" t="s">
        <v>8</v>
      </c>
      <c r="W33" s="1577" t="e">
        <f t="shared" si="14"/>
        <v>#N/A</v>
      </c>
      <c r="X33" s="1578"/>
      <c r="Y33" s="3493"/>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493"/>
      <c r="Q34" s="1571" t="str">
        <f t="shared" si="11"/>
        <v>建筑结构</v>
      </c>
      <c r="R34" s="1572" t="s">
        <v>8</v>
      </c>
      <c r="S34" s="1573">
        <f t="shared" si="12"/>
        <v>100</v>
      </c>
      <c r="T34" s="1572" t="s">
        <v>8</v>
      </c>
      <c r="U34" s="1573">
        <f t="shared" si="13"/>
        <v>100</v>
      </c>
      <c r="V34" s="1572" t="s">
        <v>8</v>
      </c>
      <c r="W34" s="1573">
        <f t="shared" si="14"/>
        <v>100</v>
      </c>
      <c r="X34" s="1566"/>
      <c r="Y34" s="3493"/>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493"/>
      <c r="Q35" s="1571" t="str">
        <f t="shared" si="11"/>
        <v>公共部分装修</v>
      </c>
      <c r="R35" s="1572" t="s">
        <v>8</v>
      </c>
      <c r="S35" s="1573">
        <f t="shared" si="12"/>
        <v>100</v>
      </c>
      <c r="T35" s="1572" t="s">
        <v>8</v>
      </c>
      <c r="U35" s="1573">
        <f t="shared" si="13"/>
        <v>100</v>
      </c>
      <c r="V35" s="1572" t="s">
        <v>8</v>
      </c>
      <c r="W35" s="1573">
        <f t="shared" si="14"/>
        <v>100</v>
      </c>
      <c r="X35" s="1566"/>
      <c r="Y35" s="3493"/>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493"/>
      <c r="Q36" s="1571" t="str">
        <f t="shared" si="11"/>
        <v>成新度</v>
      </c>
      <c r="R36" s="1572" t="s">
        <v>8</v>
      </c>
      <c r="S36" s="1573" t="e">
        <f t="shared" si="12"/>
        <v>#N/A</v>
      </c>
      <c r="T36" s="1572" t="s">
        <v>8</v>
      </c>
      <c r="U36" s="1573" t="e">
        <f t="shared" si="13"/>
        <v>#N/A</v>
      </c>
      <c r="V36" s="1572" t="s">
        <v>8</v>
      </c>
      <c r="W36" s="1573" t="e">
        <f t="shared" si="14"/>
        <v>#N/A</v>
      </c>
      <c r="X36" s="1566"/>
      <c r="Y36" s="3493"/>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493"/>
      <c r="Q37" s="1149" t="str">
        <f t="shared" si="11"/>
        <v>市政基础设施</v>
      </c>
      <c r="R37" s="1567" t="s">
        <v>8</v>
      </c>
      <c r="S37" s="1568">
        <f t="shared" si="12"/>
        <v>100</v>
      </c>
      <c r="T37" s="1567" t="s">
        <v>8</v>
      </c>
      <c r="U37" s="1568">
        <f t="shared" si="13"/>
        <v>100</v>
      </c>
      <c r="V37" s="1567" t="s">
        <v>8</v>
      </c>
      <c r="W37" s="1568">
        <f t="shared" si="14"/>
        <v>100</v>
      </c>
      <c r="X37" s="1569"/>
      <c r="Y37" s="3493"/>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493" t="s">
        <v>766</v>
      </c>
      <c r="Q38" s="1571" t="str">
        <f t="shared" si="11"/>
        <v>业态</v>
      </c>
      <c r="R38" s="1572" t="s">
        <v>8</v>
      </c>
      <c r="S38" s="1573">
        <f t="shared" si="12"/>
        <v>100</v>
      </c>
      <c r="T38" s="1572" t="s">
        <v>8</v>
      </c>
      <c r="U38" s="1573">
        <f t="shared" si="13"/>
        <v>100</v>
      </c>
      <c r="V38" s="1572" t="s">
        <v>8</v>
      </c>
      <c r="W38" s="1573">
        <f t="shared" si="14"/>
        <v>100</v>
      </c>
      <c r="X38" s="1566"/>
      <c r="Y38" s="3493"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493"/>
      <c r="Q39" s="1571" t="str">
        <f t="shared" si="11"/>
        <v>层高</v>
      </c>
      <c r="R39" s="1572" t="s">
        <v>8</v>
      </c>
      <c r="S39" s="1573">
        <f t="shared" si="12"/>
        <v>100</v>
      </c>
      <c r="T39" s="1572" t="s">
        <v>8</v>
      </c>
      <c r="U39" s="1573">
        <f t="shared" si="13"/>
        <v>100</v>
      </c>
      <c r="V39" s="1572" t="s">
        <v>8</v>
      </c>
      <c r="W39" s="1573">
        <f t="shared" si="14"/>
        <v>100</v>
      </c>
      <c r="X39" s="1566"/>
      <c r="Y39" s="3493"/>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493"/>
      <c r="Q40" s="1571" t="str">
        <f t="shared" si="11"/>
        <v>单套建筑面积</v>
      </c>
      <c r="R40" s="1572" t="s">
        <v>8</v>
      </c>
      <c r="S40" s="1573">
        <f t="shared" si="12"/>
        <v>100</v>
      </c>
      <c r="T40" s="1572" t="s">
        <v>8</v>
      </c>
      <c r="U40" s="1573">
        <f t="shared" si="13"/>
        <v>100</v>
      </c>
      <c r="V40" s="1572" t="s">
        <v>8</v>
      </c>
      <c r="W40" s="1573">
        <f t="shared" si="14"/>
        <v>100</v>
      </c>
      <c r="X40" s="1566"/>
      <c r="Y40" s="3493"/>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493"/>
      <c r="Q41" s="1604" t="str">
        <f t="shared" si="11"/>
        <v>进深比</v>
      </c>
      <c r="R41" s="1576" t="s">
        <v>8</v>
      </c>
      <c r="S41" s="1577">
        <f t="shared" si="12"/>
        <v>100</v>
      </c>
      <c r="T41" s="1576" t="s">
        <v>8</v>
      </c>
      <c r="U41" s="1577">
        <f t="shared" si="13"/>
        <v>100</v>
      </c>
      <c r="V41" s="1576" t="s">
        <v>8</v>
      </c>
      <c r="W41" s="1577">
        <f t="shared" si="14"/>
        <v>100</v>
      </c>
      <c r="X41" s="1578"/>
      <c r="Y41" s="3493"/>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493"/>
      <c r="Q42" s="1571" t="str">
        <f t="shared" si="11"/>
        <v>内部装修</v>
      </c>
      <c r="R42" s="1572" t="s">
        <v>8</v>
      </c>
      <c r="S42" s="1573">
        <f t="shared" si="12"/>
        <v>100</v>
      </c>
      <c r="T42" s="1572" t="s">
        <v>8</v>
      </c>
      <c r="U42" s="1573">
        <f t="shared" si="13"/>
        <v>100</v>
      </c>
      <c r="V42" s="1572" t="s">
        <v>8</v>
      </c>
      <c r="W42" s="1573">
        <f t="shared" si="14"/>
        <v>100</v>
      </c>
      <c r="X42" s="1566"/>
      <c r="Y42" s="3493"/>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493"/>
      <c r="Q43" s="1571" t="str">
        <f t="shared" si="11"/>
        <v>内部装修维护情况</v>
      </c>
      <c r="R43" s="1572" t="s">
        <v>8</v>
      </c>
      <c r="S43" s="1573">
        <f t="shared" si="12"/>
        <v>100</v>
      </c>
      <c r="T43" s="1572" t="s">
        <v>8</v>
      </c>
      <c r="U43" s="1573">
        <f t="shared" si="13"/>
        <v>100</v>
      </c>
      <c r="V43" s="1572" t="s">
        <v>8</v>
      </c>
      <c r="W43" s="1573">
        <f t="shared" si="14"/>
        <v>100</v>
      </c>
      <c r="X43" s="1566"/>
      <c r="Y43" s="3493"/>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493"/>
      <c r="Q44" s="1149">
        <f t="shared" si="11"/>
        <v>111</v>
      </c>
      <c r="R44" s="1567" t="s">
        <v>8</v>
      </c>
      <c r="S44" s="1568">
        <f t="shared" si="12"/>
        <v>100</v>
      </c>
      <c r="T44" s="1567" t="s">
        <v>8</v>
      </c>
      <c r="U44" s="1568">
        <f t="shared" si="13"/>
        <v>100</v>
      </c>
      <c r="V44" s="1567" t="s">
        <v>8</v>
      </c>
      <c r="W44" s="1568">
        <f t="shared" si="14"/>
        <v>100</v>
      </c>
      <c r="X44" s="1569"/>
      <c r="Y44" s="3493"/>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493"/>
      <c r="Q45" s="1571">
        <f t="shared" si="11"/>
        <v>111</v>
      </c>
      <c r="R45" s="1572" t="s">
        <v>8</v>
      </c>
      <c r="S45" s="1573">
        <f t="shared" si="12"/>
        <v>100</v>
      </c>
      <c r="T45" s="1572" t="s">
        <v>8</v>
      </c>
      <c r="U45" s="1573">
        <f t="shared" si="13"/>
        <v>100</v>
      </c>
      <c r="V45" s="1572" t="s">
        <v>8</v>
      </c>
      <c r="W45" s="1573">
        <f t="shared" si="14"/>
        <v>100</v>
      </c>
      <c r="X45" s="1566"/>
      <c r="Y45" s="3493"/>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589"/>
      <c r="Q46" s="1571">
        <f t="shared" si="11"/>
        <v>111</v>
      </c>
      <c r="R46" s="1572" t="s">
        <v>8</v>
      </c>
      <c r="S46" s="1573">
        <f t="shared" si="12"/>
        <v>100</v>
      </c>
      <c r="T46" s="1572" t="s">
        <v>8</v>
      </c>
      <c r="U46" s="1573">
        <f t="shared" si="13"/>
        <v>100</v>
      </c>
      <c r="V46" s="1572" t="s">
        <v>8</v>
      </c>
      <c r="W46" s="1573">
        <f t="shared" si="14"/>
        <v>100</v>
      </c>
      <c r="X46" s="1566"/>
      <c r="Y46" s="3589"/>
      <c r="Z46" s="1574">
        <f t="shared" si="15"/>
        <v>111</v>
      </c>
      <c r="AA46" s="1575">
        <f t="shared" si="3"/>
        <v>1</v>
      </c>
      <c r="AB46" s="1575">
        <f t="shared" si="4"/>
        <v>1</v>
      </c>
      <c r="AC46" s="1575">
        <f t="shared" si="5"/>
        <v>1</v>
      </c>
    </row>
    <row r="47" spans="1:29" ht="15">
      <c r="A47" s="605" t="s">
        <v>736</v>
      </c>
      <c r="B47" s="885"/>
      <c r="C47" s="2651" t="s">
        <v>1</v>
      </c>
      <c r="D47" s="2652"/>
      <c r="E47" s="2653"/>
      <c r="F47" s="2654"/>
      <c r="G47" s="2655"/>
      <c r="H47" s="2656"/>
      <c r="I47" s="2653"/>
      <c r="J47" s="2656"/>
      <c r="K47" s="1610"/>
      <c r="L47" s="2144"/>
      <c r="M47" s="2145"/>
      <c r="N47" s="2134"/>
      <c r="O47" s="2145"/>
      <c r="P47" s="3488" t="str">
        <f>A47</f>
        <v>成交单价（元/平方米）</v>
      </c>
      <c r="Q47" s="3488"/>
      <c r="R47" s="3588">
        <f>E47</f>
        <v>0</v>
      </c>
      <c r="S47" s="3588"/>
      <c r="T47" s="3588">
        <f>G47</f>
        <v>0</v>
      </c>
      <c r="U47" s="3588"/>
      <c r="V47" s="3588">
        <f>I47</f>
        <v>0</v>
      </c>
      <c r="W47" s="3588"/>
      <c r="X47" s="1558"/>
      <c r="Y47" s="1580"/>
      <c r="Z47" s="1558"/>
      <c r="AA47" s="1558"/>
      <c r="AB47" s="1558"/>
      <c r="AC47" s="1558"/>
    </row>
    <row r="48" spans="1:29" ht="15.75" thickBot="1">
      <c r="A48" s="613" t="s">
        <v>2764</v>
      </c>
      <c r="B48" s="886"/>
      <c r="C48" s="2657" t="e">
        <f>R49</f>
        <v>#DIV/0!</v>
      </c>
      <c r="D48" s="2658"/>
      <c r="E48" s="2659" t="e">
        <f>R48</f>
        <v>#DIV/0!</v>
      </c>
      <c r="F48" s="2659"/>
      <c r="G48" s="2657" t="e">
        <f>T48</f>
        <v>#DIV/0!</v>
      </c>
      <c r="H48" s="2658"/>
      <c r="I48" s="2659" t="e">
        <f>V48</f>
        <v>#DIV/0!</v>
      </c>
      <c r="J48" s="2658"/>
      <c r="K48" s="1611"/>
      <c r="L48" s="2144"/>
      <c r="M48" s="2145"/>
      <c r="N48" s="2134"/>
      <c r="O48" s="2145"/>
      <c r="P48" s="3488" t="str">
        <f>A48</f>
        <v>比较价格（元/平方米）</v>
      </c>
      <c r="Q48" s="3488"/>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8"/>
      <c r="Y48" s="1558"/>
      <c r="Z48" s="1558"/>
      <c r="AA48" s="1558"/>
      <c r="AB48" s="1558"/>
      <c r="AC48" s="1558"/>
    </row>
    <row r="49" spans="1:29" ht="15.75" thickBot="1">
      <c r="A49" s="619" t="s">
        <v>2939</v>
      </c>
      <c r="B49" s="620"/>
      <c r="C49" s="2660" t="e">
        <f>R49</f>
        <v>#DIV/0!</v>
      </c>
      <c r="D49" s="2660"/>
      <c r="E49" s="2660"/>
      <c r="F49" s="2660"/>
      <c r="G49" s="2660"/>
      <c r="H49" s="2660"/>
      <c r="I49" s="2660"/>
      <c r="J49" s="2660"/>
      <c r="K49" s="1612"/>
      <c r="L49" s="2144"/>
      <c r="M49" s="2145"/>
      <c r="N49" s="2134"/>
      <c r="O49" s="2145"/>
      <c r="P49" s="3509" t="str">
        <f>A49</f>
        <v>估价对象XX用房的比较价格（楼面单价，元/平方米）</v>
      </c>
      <c r="Q49" s="3510"/>
      <c r="R49" s="3587" t="e">
        <f>IF(F1="售价",ROUND(AVERAGE(R48:V48),0),ROUND(AVERAGE(R48:V48),1))</f>
        <v>#DIV/0!</v>
      </c>
      <c r="S49" s="3587"/>
      <c r="T49" s="3587"/>
      <c r="U49" s="3587"/>
      <c r="V49" s="3587"/>
      <c r="W49" s="35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2562</v>
      </c>
      <c r="C82" s="2622" t="s">
        <v>2563</v>
      </c>
      <c r="D82" s="2622" t="s">
        <v>2564</v>
      </c>
      <c r="E82" s="2622" t="s">
        <v>2565</v>
      </c>
      <c r="F82" s="2622" t="s">
        <v>2566</v>
      </c>
      <c r="G82" s="2622" t="s">
        <v>2567</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K39" sqref="K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31" t="s">
        <v>3030</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46424</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46424</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494" t="s">
        <v>522</v>
      </c>
      <c r="D4" s="3495"/>
      <c r="E4" s="3518" t="s">
        <v>523</v>
      </c>
      <c r="F4" s="3519"/>
      <c r="G4" s="3494" t="s">
        <v>524</v>
      </c>
      <c r="H4" s="3495"/>
      <c r="I4" s="3494" t="s">
        <v>525</v>
      </c>
      <c r="J4" s="3495"/>
      <c r="K4" s="512" t="s">
        <v>526</v>
      </c>
      <c r="L4" s="2133"/>
      <c r="M4" s="2134"/>
      <c r="N4" s="2134"/>
      <c r="O4" s="2134"/>
      <c r="P4" s="3594" t="s">
        <v>527</v>
      </c>
      <c r="Q4" s="3497"/>
      <c r="R4" s="3482" t="s">
        <v>523</v>
      </c>
      <c r="S4" s="3483"/>
      <c r="T4" s="3482" t="s">
        <v>524</v>
      </c>
      <c r="U4" s="3483"/>
      <c r="V4" s="3502" t="s">
        <v>525</v>
      </c>
      <c r="W4" s="3502"/>
      <c r="X4" s="1566"/>
      <c r="Y4" s="3482" t="s">
        <v>527</v>
      </c>
      <c r="Z4" s="3483"/>
      <c r="AA4" s="3477" t="s">
        <v>523</v>
      </c>
      <c r="AB4" s="3477" t="s">
        <v>524</v>
      </c>
      <c r="AC4" s="3477" t="s">
        <v>525</v>
      </c>
    </row>
    <row r="5" spans="1:29" ht="15">
      <c r="A5" s="513"/>
      <c r="B5" s="514"/>
      <c r="C5" s="3505" t="s">
        <v>2933</v>
      </c>
      <c r="D5" s="3506"/>
      <c r="E5" s="3520" t="s">
        <v>2934</v>
      </c>
      <c r="F5" s="3521"/>
      <c r="G5" s="3505" t="s">
        <v>2935</v>
      </c>
      <c r="H5" s="3506"/>
      <c r="I5" s="3505" t="s">
        <v>2936</v>
      </c>
      <c r="J5" s="3506"/>
      <c r="K5" s="512"/>
      <c r="L5" s="2133"/>
      <c r="M5" s="2134"/>
      <c r="N5" s="2134"/>
      <c r="O5" s="2134"/>
      <c r="P5" s="3595"/>
      <c r="Q5" s="3499"/>
      <c r="R5" s="3484"/>
      <c r="S5" s="3485"/>
      <c r="T5" s="3484"/>
      <c r="U5" s="3485"/>
      <c r="V5" s="3502"/>
      <c r="W5" s="3502"/>
      <c r="X5" s="1566"/>
      <c r="Y5" s="3484"/>
      <c r="Z5" s="3485"/>
      <c r="AA5" s="3478"/>
      <c r="AB5" s="3478"/>
      <c r="AC5" s="3478"/>
    </row>
    <row r="6" spans="1:29" ht="15.75" customHeight="1" thickBot="1">
      <c r="A6" s="515"/>
      <c r="B6" s="516"/>
      <c r="C6" s="3590" t="s">
        <v>3037</v>
      </c>
      <c r="D6" s="3591"/>
      <c r="E6" s="3592" t="s">
        <v>3058</v>
      </c>
      <c r="F6" s="3523"/>
      <c r="G6" s="3593" t="s">
        <v>3062</v>
      </c>
      <c r="H6" s="3504"/>
      <c r="I6" s="3593" t="s">
        <v>3063</v>
      </c>
      <c r="J6" s="3504"/>
      <c r="K6" s="512" t="s">
        <v>528</v>
      </c>
      <c r="L6" s="2133"/>
      <c r="M6" s="2134"/>
      <c r="N6" s="2134"/>
      <c r="O6" s="2134"/>
      <c r="P6" s="3596"/>
      <c r="Q6" s="3501"/>
      <c r="R6" s="3484"/>
      <c r="S6" s="3485"/>
      <c r="T6" s="3486"/>
      <c r="U6" s="3487"/>
      <c r="V6" s="3502"/>
      <c r="W6" s="3502"/>
      <c r="X6" s="1566"/>
      <c r="Y6" s="3486"/>
      <c r="Z6" s="3487"/>
      <c r="AA6" s="3479"/>
      <c r="AB6" s="3479"/>
      <c r="AC6" s="3479"/>
    </row>
    <row r="7" spans="1:29" s="1218" customFormat="1" ht="15.75" thickBot="1">
      <c r="A7" s="2936"/>
      <c r="B7" s="2943"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489" t="s">
        <v>530</v>
      </c>
      <c r="Q7" s="3489"/>
      <c r="R7" s="1567" t="s">
        <v>8</v>
      </c>
      <c r="S7" s="1568">
        <f t="shared" ref="S7:S15" si="0">F7</f>
        <v>100</v>
      </c>
      <c r="T7" s="1567" t="s">
        <v>8</v>
      </c>
      <c r="U7" s="1568">
        <f t="shared" ref="U7:U15" si="1">H7</f>
        <v>100</v>
      </c>
      <c r="V7" s="1567" t="s">
        <v>8</v>
      </c>
      <c r="W7" s="1568">
        <f t="shared" ref="W7:W15" si="2">J7</f>
        <v>100</v>
      </c>
      <c r="X7" s="1569"/>
      <c r="Y7" s="3480" t="s">
        <v>530</v>
      </c>
      <c r="Z7" s="3481"/>
      <c r="AA7" s="1570">
        <f>D7/F7</f>
        <v>1</v>
      </c>
      <c r="AB7" s="1570">
        <f>D7/H7</f>
        <v>1</v>
      </c>
      <c r="AC7" s="1570">
        <f>D7/J7</f>
        <v>1</v>
      </c>
    </row>
    <row r="8" spans="1:29" s="1218" customFormat="1" ht="15.75" thickBot="1">
      <c r="A8" s="2937"/>
      <c r="B8" s="2944" t="s">
        <v>531</v>
      </c>
      <c r="C8" s="523" t="s">
        <v>576</v>
      </c>
      <c r="D8" s="518">
        <v>100</v>
      </c>
      <c r="E8" s="523" t="s">
        <v>3059</v>
      </c>
      <c r="F8" s="520">
        <f>SUMIF(62:62,E8,63:63)-SUMIF(62:62,C8,63:63)+100</f>
        <v>100</v>
      </c>
      <c r="G8" s="523" t="s">
        <v>3059</v>
      </c>
      <c r="H8" s="518">
        <f>SUMIF(62:62,G8,63:63)-SUMIF(62:62,C8,63:63)+100</f>
        <v>100</v>
      </c>
      <c r="I8" s="523" t="s">
        <v>3059</v>
      </c>
      <c r="J8" s="518">
        <f>SUMIF(62:62,I8,63:63)-SUMIF(62:62,C8,63:63)+100</f>
        <v>100</v>
      </c>
      <c r="K8" s="522"/>
      <c r="L8" s="2135"/>
      <c r="M8" s="2136"/>
      <c r="N8" s="2136"/>
      <c r="O8" s="2136"/>
      <c r="P8" s="3489" t="s">
        <v>533</v>
      </c>
      <c r="Q8" s="3481"/>
      <c r="R8" s="1567" t="s">
        <v>8</v>
      </c>
      <c r="S8" s="1568">
        <f t="shared" si="0"/>
        <v>100</v>
      </c>
      <c r="T8" s="1567" t="s">
        <v>8</v>
      </c>
      <c r="U8" s="1568">
        <f t="shared" si="1"/>
        <v>100</v>
      </c>
      <c r="V8" s="1567" t="s">
        <v>8</v>
      </c>
      <c r="W8" s="1568">
        <f t="shared" si="2"/>
        <v>100</v>
      </c>
      <c r="X8" s="1569"/>
      <c r="Y8" s="3480" t="s">
        <v>533</v>
      </c>
      <c r="Z8" s="3481"/>
      <c r="AA8" s="1570">
        <f t="shared" ref="AA8:AA47" si="3">D8/F8</f>
        <v>1</v>
      </c>
      <c r="AB8" s="1570">
        <f t="shared" ref="AB8:AB47" si="4">D8/H8</f>
        <v>1</v>
      </c>
      <c r="AC8" s="1570">
        <f t="shared" ref="AC8:AC47" si="5">D8/J8</f>
        <v>1</v>
      </c>
    </row>
    <row r="9" spans="1:29" s="1218" customFormat="1" ht="15">
      <c r="A9" s="2938"/>
      <c r="B9" s="2945" t="s">
        <v>2760</v>
      </c>
      <c r="C9" s="3196" t="s">
        <v>3031</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488" t="s">
        <v>535</v>
      </c>
      <c r="Q9" s="1149" t="str">
        <f t="shared" ref="Q9:Q15" si="6">B9</f>
        <v>用途</v>
      </c>
      <c r="R9" s="1567" t="s">
        <v>8</v>
      </c>
      <c r="S9" s="1568">
        <f t="shared" si="0"/>
        <v>100</v>
      </c>
      <c r="T9" s="1567" t="s">
        <v>8</v>
      </c>
      <c r="U9" s="1568">
        <f t="shared" si="1"/>
        <v>100</v>
      </c>
      <c r="V9" s="1567" t="s">
        <v>8</v>
      </c>
      <c r="W9" s="1568">
        <f t="shared" si="2"/>
        <v>100</v>
      </c>
      <c r="X9" s="1569"/>
      <c r="Y9" s="3384" t="s">
        <v>536</v>
      </c>
      <c r="Z9" s="1148" t="str">
        <f t="shared" ref="Z9:Z15" si="7">Q9</f>
        <v>用途</v>
      </c>
      <c r="AA9" s="1570">
        <f t="shared" si="3"/>
        <v>1</v>
      </c>
      <c r="AB9" s="1570">
        <f t="shared" si="4"/>
        <v>1</v>
      </c>
      <c r="AC9" s="1570">
        <f t="shared" si="5"/>
        <v>1</v>
      </c>
    </row>
    <row r="10" spans="1:29" s="1336" customFormat="1" ht="27.75" thickBot="1">
      <c r="A10" s="2939"/>
      <c r="B10" s="2944" t="s">
        <v>2761</v>
      </c>
      <c r="C10" s="859" t="s">
        <v>3032</v>
      </c>
      <c r="D10" s="253">
        <v>100</v>
      </c>
      <c r="E10" s="859" t="s">
        <v>3060</v>
      </c>
      <c r="F10" s="253">
        <f>SUMIF(66:66,E10,67:67)-SUMIF(66:66,C10,67:67)+100</f>
        <v>99.5</v>
      </c>
      <c r="G10" s="860" t="s">
        <v>3060</v>
      </c>
      <c r="H10" s="253">
        <f>SUMIF(66:66,G10,67:67)-SUMIF(66:66,C10,67:67)+100</f>
        <v>99.5</v>
      </c>
      <c r="I10" s="859" t="s">
        <v>3060</v>
      </c>
      <c r="J10" s="253">
        <f>SUMIF(66:66,I10,67:67)-SUMIF(66:66,C10,67:67)+100</f>
        <v>99.5</v>
      </c>
      <c r="K10" s="582">
        <v>0.5</v>
      </c>
      <c r="L10" s="2138"/>
      <c r="M10" s="2178"/>
      <c r="N10" s="2178"/>
      <c r="O10" s="2178"/>
      <c r="P10" s="3488"/>
      <c r="Q10" s="1149" t="str">
        <f t="shared" si="6"/>
        <v>土地使用年限（年）</v>
      </c>
      <c r="R10" s="1567" t="s">
        <v>8</v>
      </c>
      <c r="S10" s="1568">
        <f t="shared" si="0"/>
        <v>99.5</v>
      </c>
      <c r="T10" s="1567" t="s">
        <v>8</v>
      </c>
      <c r="U10" s="1568">
        <f t="shared" si="1"/>
        <v>99.5</v>
      </c>
      <c r="V10" s="1567" t="s">
        <v>8</v>
      </c>
      <c r="W10" s="1568">
        <f t="shared" si="2"/>
        <v>99.5</v>
      </c>
      <c r="X10" s="1569"/>
      <c r="Y10" s="3384"/>
      <c r="Z10" s="1148" t="str">
        <f t="shared" si="7"/>
        <v>土地使用年限（年）</v>
      </c>
      <c r="AA10" s="1570">
        <f t="shared" si="3"/>
        <v>1.0050251256281406</v>
      </c>
      <c r="AB10" s="1570">
        <f t="shared" si="4"/>
        <v>1.0050251256281406</v>
      </c>
      <c r="AC10" s="1570">
        <f t="shared" si="5"/>
        <v>1.0050251256281406</v>
      </c>
    </row>
    <row r="11" spans="1:29" ht="15" hidden="1">
      <c r="A11" s="2940"/>
      <c r="B11" s="2944"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488"/>
      <c r="Q11" s="1149" t="str">
        <f t="shared" si="6"/>
        <v>容积率</v>
      </c>
      <c r="R11" s="1567" t="s">
        <v>8</v>
      </c>
      <c r="S11" s="1568">
        <f t="shared" si="0"/>
        <v>100</v>
      </c>
      <c r="T11" s="1567" t="s">
        <v>8</v>
      </c>
      <c r="U11" s="1568">
        <f t="shared" si="1"/>
        <v>100</v>
      </c>
      <c r="V11" s="1567" t="s">
        <v>8</v>
      </c>
      <c r="W11" s="1568">
        <f t="shared" si="2"/>
        <v>100</v>
      </c>
      <c r="X11" s="1569"/>
      <c r="Y11" s="3384"/>
      <c r="Z11" s="1148" t="str">
        <f t="shared" si="7"/>
        <v>容积率</v>
      </c>
      <c r="AA11" s="1570">
        <f t="shared" si="3"/>
        <v>1</v>
      </c>
      <c r="AB11" s="1570">
        <f t="shared" si="4"/>
        <v>1</v>
      </c>
      <c r="AC11" s="1570">
        <f t="shared" si="5"/>
        <v>1</v>
      </c>
    </row>
    <row r="12" spans="1:29" s="1218" customFormat="1" ht="15" hidden="1">
      <c r="A12" s="2941"/>
      <c r="B12" s="2947">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488"/>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hidden="1">
      <c r="A13" s="2941"/>
      <c r="B13" s="2947">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488"/>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75" hidden="1" thickBot="1">
      <c r="A14" s="2942"/>
      <c r="B14" s="2948">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488"/>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71.25">
      <c r="A15" s="2934" t="s">
        <v>2758</v>
      </c>
      <c r="B15" s="545" t="s">
        <v>542</v>
      </c>
      <c r="C15" s="546" t="str">
        <f>估价对象房地状况!C5</f>
        <v>估价对象位于XX商圈，周边办公楼项目较多，入驻率高，办公集聚程度较好</v>
      </c>
      <c r="D15" s="547">
        <v>100</v>
      </c>
      <c r="E15" s="550"/>
      <c r="F15" s="547">
        <f>SUMIF(77:77,E16,78:78)-SUMIF(77:77,C16,78:78)+100</f>
        <v>102</v>
      </c>
      <c r="G15" s="548"/>
      <c r="H15" s="547">
        <f>SUMIF(77:77,G16,78:78)-SUMIF(77:77,C16,78:78)+100</f>
        <v>102</v>
      </c>
      <c r="I15" s="548"/>
      <c r="J15" s="547">
        <f>SUMIF(77:77,I16,78:78)-SUMIF(77:77,C16,78:78)+100</f>
        <v>102</v>
      </c>
      <c r="K15" s="896">
        <v>2</v>
      </c>
      <c r="L15" s="2142"/>
      <c r="M15" s="2134"/>
      <c r="N15" s="2134"/>
      <c r="O15" s="2134"/>
      <c r="P15" s="3490" t="s">
        <v>540</v>
      </c>
      <c r="Q15" s="1571" t="str">
        <f t="shared" si="6"/>
        <v>办公集聚程度</v>
      </c>
      <c r="R15" s="1572" t="s">
        <v>8</v>
      </c>
      <c r="S15" s="1573">
        <f t="shared" si="0"/>
        <v>102</v>
      </c>
      <c r="T15" s="1572" t="s">
        <v>8</v>
      </c>
      <c r="U15" s="1573">
        <f t="shared" si="1"/>
        <v>102</v>
      </c>
      <c r="V15" s="1572" t="s">
        <v>8</v>
      </c>
      <c r="W15" s="1573">
        <f t="shared" si="2"/>
        <v>102</v>
      </c>
      <c r="X15" s="1566"/>
      <c r="Y15" s="3490"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3061</v>
      </c>
      <c r="D16" s="553"/>
      <c r="E16" s="574" t="s">
        <v>3033</v>
      </c>
      <c r="F16" s="553"/>
      <c r="G16" s="552" t="s">
        <v>3033</v>
      </c>
      <c r="H16" s="557"/>
      <c r="I16" s="574" t="s">
        <v>3033</v>
      </c>
      <c r="J16" s="553"/>
      <c r="K16" s="897"/>
      <c r="L16" s="2142"/>
      <c r="M16" s="2134"/>
      <c r="N16" s="2134"/>
      <c r="O16" s="2134"/>
      <c r="P16" s="3491"/>
      <c r="Q16" s="1571"/>
      <c r="R16" s="1572"/>
      <c r="S16" s="1573"/>
      <c r="T16" s="1572"/>
      <c r="U16" s="1573"/>
      <c r="V16" s="1572"/>
      <c r="W16" s="1573"/>
      <c r="X16" s="1566"/>
      <c r="Y16" s="3491"/>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估价对象周边道路状况、公共交通通达情况、停车便捷程度，综合评价交通便捷度好</v>
      </c>
      <c r="D17" s="557">
        <v>100</v>
      </c>
      <c r="E17" s="562"/>
      <c r="F17" s="557">
        <f>SUMIF(79:79,E18,80:80)-SUMIF(79:79,C18,80:80)+100</f>
        <v>100</v>
      </c>
      <c r="G17" s="560"/>
      <c r="H17" s="563">
        <f>SUMIF(79:79,G18,80:80)-SUMIF(79:79,C18,80:80)+100</f>
        <v>100</v>
      </c>
      <c r="I17" s="560"/>
      <c r="J17" s="563">
        <f>SUMIF(79:79,I18,80:80)-SUMIF(79:79,C18,80:80)+100</f>
        <v>99</v>
      </c>
      <c r="K17" s="896">
        <v>1</v>
      </c>
      <c r="L17" s="2142"/>
      <c r="M17" s="2134"/>
      <c r="N17" s="2134"/>
      <c r="O17" s="2134"/>
      <c r="P17" s="3491"/>
      <c r="Q17" s="1571" t="str">
        <f>B17</f>
        <v>交通便捷度</v>
      </c>
      <c r="R17" s="1572" t="s">
        <v>8</v>
      </c>
      <c r="S17" s="1573">
        <f>F17</f>
        <v>100</v>
      </c>
      <c r="T17" s="1572" t="s">
        <v>8</v>
      </c>
      <c r="U17" s="1573">
        <f>H17</f>
        <v>100</v>
      </c>
      <c r="V17" s="1572" t="s">
        <v>8</v>
      </c>
      <c r="W17" s="1573">
        <f>J17</f>
        <v>99</v>
      </c>
      <c r="X17" s="1566"/>
      <c r="Y17" s="3491"/>
      <c r="Z17" s="1574" t="str">
        <f>Q17</f>
        <v>交通便捷度</v>
      </c>
      <c r="AA17" s="1575">
        <f t="shared" si="3"/>
        <v>1</v>
      </c>
      <c r="AB17" s="1575">
        <f t="shared" si="4"/>
        <v>1</v>
      </c>
      <c r="AC17" s="1575">
        <f t="shared" si="5"/>
        <v>1.0101010101010102</v>
      </c>
    </row>
    <row r="18" spans="1:29" ht="15">
      <c r="A18" s="530"/>
      <c r="B18" s="564"/>
      <c r="C18" s="565" t="s">
        <v>3033</v>
      </c>
      <c r="D18" s="557"/>
      <c r="E18" s="567" t="s">
        <v>3033</v>
      </c>
      <c r="F18" s="557"/>
      <c r="G18" s="566" t="s">
        <v>3033</v>
      </c>
      <c r="H18" s="553"/>
      <c r="I18" s="566" t="s">
        <v>3061</v>
      </c>
      <c r="J18" s="553"/>
      <c r="K18" s="897"/>
      <c r="L18" s="2142"/>
      <c r="M18" s="2134"/>
      <c r="N18" s="2134"/>
      <c r="O18" s="2134"/>
      <c r="P18" s="3491"/>
      <c r="Q18" s="1571"/>
      <c r="R18" s="1572"/>
      <c r="S18" s="1573"/>
      <c r="T18" s="1572"/>
      <c r="U18" s="1573"/>
      <c r="V18" s="1572"/>
      <c r="W18" s="1573"/>
      <c r="X18" s="1566"/>
      <c r="Y18" s="3491"/>
      <c r="Z18" s="1574"/>
      <c r="AA18" s="1575">
        <v>1</v>
      </c>
      <c r="AB18" s="1575">
        <v>1</v>
      </c>
      <c r="AC18" s="1575">
        <v>1</v>
      </c>
    </row>
    <row r="19" spans="1:29" ht="42.75">
      <c r="A19" s="530"/>
      <c r="B19" s="2627" t="s">
        <v>2550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2"/>
      <c r="M19" s="2134"/>
      <c r="N19" s="2134"/>
      <c r="O19" s="2134"/>
      <c r="P19" s="3491"/>
      <c r="Q19" s="1571" t="str">
        <f>B19</f>
        <v>公共配套设施</v>
      </c>
      <c r="R19" s="1572" t="s">
        <v>8</v>
      </c>
      <c r="S19" s="1573">
        <f>F19</f>
        <v>100</v>
      </c>
      <c r="T19" s="1572" t="s">
        <v>8</v>
      </c>
      <c r="U19" s="1573">
        <f>H19</f>
        <v>100</v>
      </c>
      <c r="V19" s="1572" t="s">
        <v>8</v>
      </c>
      <c r="W19" s="1573">
        <f>J19</f>
        <v>100</v>
      </c>
      <c r="X19" s="1566"/>
      <c r="Y19" s="3491"/>
      <c r="Z19" s="1574" t="str">
        <f>Q19</f>
        <v>公共配套设施</v>
      </c>
      <c r="AA19" s="1575">
        <f t="shared" si="3"/>
        <v>1</v>
      </c>
      <c r="AB19" s="1575">
        <f t="shared" si="4"/>
        <v>1</v>
      </c>
      <c r="AC19" s="1575">
        <f t="shared" si="5"/>
        <v>1</v>
      </c>
    </row>
    <row r="20" spans="1:29" ht="15">
      <c r="A20" s="530"/>
      <c r="B20" s="564"/>
      <c r="C20" s="552" t="s">
        <v>3035</v>
      </c>
      <c r="D20" s="553"/>
      <c r="E20" s="556" t="s">
        <v>3035</v>
      </c>
      <c r="F20" s="553"/>
      <c r="G20" s="554" t="s">
        <v>3035</v>
      </c>
      <c r="H20" s="553"/>
      <c r="I20" s="554" t="s">
        <v>3035</v>
      </c>
      <c r="J20" s="553"/>
      <c r="K20" s="897"/>
      <c r="L20" s="2142"/>
      <c r="M20" s="2134"/>
      <c r="N20" s="2134"/>
      <c r="O20" s="2134"/>
      <c r="P20" s="3491"/>
      <c r="Q20" s="1571"/>
      <c r="R20" s="1572"/>
      <c r="S20" s="1573"/>
      <c r="T20" s="1572"/>
      <c r="U20" s="1573"/>
      <c r="V20" s="1572"/>
      <c r="W20" s="1573"/>
      <c r="X20" s="1566"/>
      <c r="Y20" s="3491"/>
      <c r="Z20" s="1574"/>
      <c r="AA20" s="1575">
        <v>1</v>
      </c>
      <c r="AB20" s="1575">
        <v>1</v>
      </c>
      <c r="AC20" s="1575">
        <v>1</v>
      </c>
    </row>
    <row r="21" spans="1:29" ht="28.5">
      <c r="A21" s="530"/>
      <c r="B21" s="2615" t="s">
        <v>2562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2"/>
      <c r="M21" s="2134"/>
      <c r="N21" s="2134"/>
      <c r="O21" s="2134"/>
      <c r="P21" s="3491"/>
      <c r="Q21" s="2603" t="str">
        <f>B21</f>
        <v>基础设施水平</v>
      </c>
      <c r="R21" s="1572" t="s">
        <v>8</v>
      </c>
      <c r="S21" s="1573">
        <f>F21</f>
        <v>100</v>
      </c>
      <c r="T21" s="1572" t="s">
        <v>8</v>
      </c>
      <c r="U21" s="1573">
        <f>H21</f>
        <v>100</v>
      </c>
      <c r="V21" s="1572" t="s">
        <v>8</v>
      </c>
      <c r="W21" s="1573">
        <f>J21</f>
        <v>100</v>
      </c>
      <c r="X21" s="2605"/>
      <c r="Y21" s="3491"/>
      <c r="Z21" s="2604" t="str">
        <f>Q21</f>
        <v>基础设施水平</v>
      </c>
      <c r="AA21" s="1575">
        <f t="shared" ref="AA21" si="8">D21/F21</f>
        <v>1</v>
      </c>
      <c r="AB21" s="1575">
        <f t="shared" ref="AB21" si="9">D21/H21</f>
        <v>1</v>
      </c>
      <c r="AC21" s="1575">
        <f t="shared" ref="AC21" si="10">D21/J21</f>
        <v>1</v>
      </c>
    </row>
    <row r="22" spans="1:29" ht="15">
      <c r="A22" s="530"/>
      <c r="B22" s="576"/>
      <c r="C22" s="565" t="s">
        <v>3036</v>
      </c>
      <c r="D22" s="553"/>
      <c r="E22" s="574" t="s">
        <v>3036</v>
      </c>
      <c r="F22" s="553"/>
      <c r="G22" s="552" t="s">
        <v>3036</v>
      </c>
      <c r="H22" s="553"/>
      <c r="I22" s="552" t="s">
        <v>3036</v>
      </c>
      <c r="J22" s="553"/>
      <c r="K22" s="2626"/>
      <c r="L22" s="2142"/>
      <c r="M22" s="2134"/>
      <c r="N22" s="2134"/>
      <c r="O22" s="2134"/>
      <c r="P22" s="3491"/>
      <c r="Q22" s="2603"/>
      <c r="R22" s="1572"/>
      <c r="S22" s="1573"/>
      <c r="T22" s="1572"/>
      <c r="U22" s="1573"/>
      <c r="V22" s="1572"/>
      <c r="W22" s="1573"/>
      <c r="X22" s="2605"/>
      <c r="Y22" s="3491"/>
      <c r="Z22" s="2604"/>
      <c r="AA22" s="1575">
        <v>1</v>
      </c>
      <c r="AB22" s="1575">
        <v>1</v>
      </c>
      <c r="AC22" s="1575">
        <v>1</v>
      </c>
    </row>
    <row r="23" spans="1:29" ht="57">
      <c r="A23" s="530"/>
      <c r="B23" s="558" t="s">
        <v>778</v>
      </c>
      <c r="C23" s="571" t="str">
        <f>估价对象房地状况!C9</f>
        <v>区域自然环境：；人文环境；综合评价环境状况一般</v>
      </c>
      <c r="D23" s="557">
        <v>100</v>
      </c>
      <c r="E23" s="562"/>
      <c r="F23" s="557">
        <f>SUMIF(85:85,E24,86:86)-SUMIF(85:85,C24,86:86)+100</f>
        <v>98</v>
      </c>
      <c r="G23" s="560"/>
      <c r="H23" s="557">
        <f>SUMIF(85:85,G24,86:86)-SUMIF(85:85,C24,86:86)+100</f>
        <v>98</v>
      </c>
      <c r="I23" s="560"/>
      <c r="J23" s="557">
        <f>SUMIF(85:85,I24,86:86)-SUMIF(85:85,C24,86:86)+100</f>
        <v>98</v>
      </c>
      <c r="K23" s="896">
        <v>2</v>
      </c>
      <c r="L23" s="2142"/>
      <c r="M23" s="2134"/>
      <c r="N23" s="2134"/>
      <c r="O23" s="2134"/>
      <c r="P23" s="3491"/>
      <c r="Q23" s="1571" t="str">
        <f>B23</f>
        <v>环境质量</v>
      </c>
      <c r="R23" s="1572" t="s">
        <v>8</v>
      </c>
      <c r="S23" s="1573">
        <f>F23</f>
        <v>98</v>
      </c>
      <c r="T23" s="1572" t="s">
        <v>8</v>
      </c>
      <c r="U23" s="1573">
        <f>H23</f>
        <v>98</v>
      </c>
      <c r="V23" s="1572" t="s">
        <v>8</v>
      </c>
      <c r="W23" s="1573">
        <f>J23</f>
        <v>98</v>
      </c>
      <c r="X23" s="1566"/>
      <c r="Y23" s="3491"/>
      <c r="Z23" s="1574" t="str">
        <f>Q23</f>
        <v>环境质量</v>
      </c>
      <c r="AA23" s="1575">
        <f t="shared" si="3"/>
        <v>1.0204081632653061</v>
      </c>
      <c r="AB23" s="1575">
        <f t="shared" si="4"/>
        <v>1.0204081632653061</v>
      </c>
      <c r="AC23" s="1575">
        <f t="shared" si="5"/>
        <v>1.0204081632653061</v>
      </c>
    </row>
    <row r="24" spans="1:29" ht="15">
      <c r="A24" s="530"/>
      <c r="B24" s="576"/>
      <c r="C24" s="552" t="s">
        <v>3035</v>
      </c>
      <c r="D24" s="553"/>
      <c r="E24" s="556" t="s">
        <v>3033</v>
      </c>
      <c r="F24" s="553"/>
      <c r="G24" s="554" t="s">
        <v>3033</v>
      </c>
      <c r="H24" s="553"/>
      <c r="I24" s="554" t="s">
        <v>3033</v>
      </c>
      <c r="J24" s="553"/>
      <c r="K24" s="897"/>
      <c r="L24" s="2142"/>
      <c r="M24" s="2134"/>
      <c r="N24" s="2134"/>
      <c r="O24" s="2134"/>
      <c r="P24" s="3491"/>
      <c r="Q24" s="1571"/>
      <c r="R24" s="1572"/>
      <c r="S24" s="1573"/>
      <c r="T24" s="1572"/>
      <c r="U24" s="1573"/>
      <c r="V24" s="1572"/>
      <c r="W24" s="1573"/>
      <c r="X24" s="1566"/>
      <c r="Y24" s="3491"/>
      <c r="Z24" s="1574"/>
      <c r="AA24" s="1575">
        <v>1</v>
      </c>
      <c r="AB24" s="1575">
        <v>1</v>
      </c>
      <c r="AC24" s="1575">
        <v>1</v>
      </c>
    </row>
    <row r="25" spans="1:29" ht="27" hidden="1">
      <c r="A25" s="513"/>
      <c r="B25" s="558" t="s">
        <v>548</v>
      </c>
      <c r="C25" s="3198"/>
      <c r="D25" s="538">
        <v>100</v>
      </c>
      <c r="E25" s="3198"/>
      <c r="F25" s="538">
        <f>SUMIF(87:87,E26,88:88)-SUMIF(87:87,C26,88:88)+100</f>
        <v>100</v>
      </c>
      <c r="G25" s="3198"/>
      <c r="H25" s="538">
        <f>SUMIF(87:87,G26,88:88)-SUMIF(87:87,C26,88:88)+100</f>
        <v>100</v>
      </c>
      <c r="I25" s="3204"/>
      <c r="J25" s="538">
        <f>SUMIF(87:87,I26,88:88)-SUMIF(87:87,C26,88:88)+100</f>
        <v>100</v>
      </c>
      <c r="K25" s="896">
        <v>1</v>
      </c>
      <c r="L25" s="2142"/>
      <c r="M25" s="2134"/>
      <c r="N25" s="2134"/>
      <c r="O25" s="2134"/>
      <c r="P25" s="3491"/>
      <c r="Q25" s="1571" t="str">
        <f>B25</f>
        <v>毗邻道路的类型与等级</v>
      </c>
      <c r="R25" s="1572" t="s">
        <v>8</v>
      </c>
      <c r="S25" s="1573">
        <f>F25</f>
        <v>100</v>
      </c>
      <c r="T25" s="1572" t="s">
        <v>8</v>
      </c>
      <c r="U25" s="1573">
        <f>H25</f>
        <v>100</v>
      </c>
      <c r="V25" s="1572" t="s">
        <v>8</v>
      </c>
      <c r="W25" s="1573">
        <f>J25</f>
        <v>100</v>
      </c>
      <c r="X25" s="1566"/>
      <c r="Y25" s="3491"/>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491"/>
      <c r="Q26" s="1571"/>
      <c r="R26" s="1572"/>
      <c r="S26" s="1573"/>
      <c r="T26" s="1572"/>
      <c r="U26" s="1573"/>
      <c r="V26" s="1572"/>
      <c r="W26" s="1573"/>
      <c r="X26" s="1566"/>
      <c r="Y26" s="3491"/>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491"/>
      <c r="Q27" s="1571" t="str">
        <f t="shared" ref="Q27:Q47" si="11">B27</f>
        <v>楼层</v>
      </c>
      <c r="R27" s="1572" t="s">
        <v>8</v>
      </c>
      <c r="S27" s="1573">
        <f>F27</f>
        <v>100</v>
      </c>
      <c r="T27" s="1572" t="s">
        <v>8</v>
      </c>
      <c r="U27" s="1573">
        <f>H27</f>
        <v>100</v>
      </c>
      <c r="V27" s="1572" t="s">
        <v>8</v>
      </c>
      <c r="W27" s="1573">
        <f>J27</f>
        <v>100</v>
      </c>
      <c r="X27" s="1566"/>
      <c r="Y27" s="3491"/>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491"/>
      <c r="Q28" s="1149" t="str">
        <f t="shared" si="11"/>
        <v>朝向</v>
      </c>
      <c r="R28" s="1567" t="s">
        <v>8</v>
      </c>
      <c r="S28" s="1568">
        <f>F28</f>
        <v>100</v>
      </c>
      <c r="T28" s="1567" t="s">
        <v>8</v>
      </c>
      <c r="U28" s="1568">
        <f>H28</f>
        <v>100</v>
      </c>
      <c r="V28" s="1567" t="s">
        <v>8</v>
      </c>
      <c r="W28" s="1568">
        <f>J28</f>
        <v>100</v>
      </c>
      <c r="X28" s="1569"/>
      <c r="Y28" s="3491"/>
      <c r="Z28" s="1148" t="str">
        <f>Q28</f>
        <v>朝向</v>
      </c>
      <c r="AA28" s="1575">
        <f>D28/F28</f>
        <v>1</v>
      </c>
      <c r="AB28" s="1575">
        <f>D28/H28</f>
        <v>1</v>
      </c>
      <c r="AC28" s="1575">
        <f>D28/J28</f>
        <v>1</v>
      </c>
    </row>
    <row r="29" spans="1:29" ht="27.75" thickBot="1">
      <c r="A29" s="530"/>
      <c r="B29" s="3205" t="s">
        <v>548</v>
      </c>
      <c r="C29" s="3198" t="s">
        <v>3103</v>
      </c>
      <c r="D29" s="538">
        <v>100</v>
      </c>
      <c r="E29" s="3198" t="s">
        <v>3104</v>
      </c>
      <c r="F29" s="538">
        <f>SUMIF(93:93,E29,94:94)-SUMIF(93:93,C29,94:94)+100</f>
        <v>100</v>
      </c>
      <c r="G29" s="3198" t="s">
        <v>3064</v>
      </c>
      <c r="H29" s="538">
        <f>SUMIF(93:93,G29,94:94)-SUMIF(93:93,C29,94:94)+100</f>
        <v>98</v>
      </c>
      <c r="I29" s="3204" t="s">
        <v>3065</v>
      </c>
      <c r="J29" s="538">
        <f>SUMIF(93:93,I29,94:94)-SUMIF(93:93,C29,94:94)+100</f>
        <v>96</v>
      </c>
      <c r="K29" s="579"/>
      <c r="L29" s="2142"/>
      <c r="M29" s="2134"/>
      <c r="N29" s="2134"/>
      <c r="O29" s="2134"/>
      <c r="P29" s="3491"/>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491"/>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491"/>
      <c r="Q30" s="1571">
        <f t="shared" si="11"/>
        <v>111</v>
      </c>
      <c r="R30" s="1572" t="s">
        <v>8</v>
      </c>
      <c r="S30" s="1573">
        <f t="shared" si="12"/>
        <v>100</v>
      </c>
      <c r="T30" s="1572" t="s">
        <v>8</v>
      </c>
      <c r="U30" s="1573">
        <f t="shared" si="13"/>
        <v>100</v>
      </c>
      <c r="V30" s="1572" t="s">
        <v>8</v>
      </c>
      <c r="W30" s="1573">
        <f t="shared" si="14"/>
        <v>100</v>
      </c>
      <c r="X30" s="1566"/>
      <c r="Y30" s="3491"/>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491"/>
      <c r="Q31" s="1571">
        <f t="shared" si="11"/>
        <v>111</v>
      </c>
      <c r="R31" s="1572" t="s">
        <v>8</v>
      </c>
      <c r="S31" s="1573">
        <f t="shared" si="12"/>
        <v>100</v>
      </c>
      <c r="T31" s="1572" t="s">
        <v>8</v>
      </c>
      <c r="U31" s="1573">
        <f t="shared" si="13"/>
        <v>100</v>
      </c>
      <c r="V31" s="1572" t="s">
        <v>8</v>
      </c>
      <c r="W31" s="1573">
        <f t="shared" si="14"/>
        <v>100</v>
      </c>
      <c r="X31" s="1566"/>
      <c r="Y31" s="3491"/>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491"/>
      <c r="Q32" s="1571">
        <f t="shared" si="11"/>
        <v>111</v>
      </c>
      <c r="R32" s="1572" t="s">
        <v>8</v>
      </c>
      <c r="S32" s="1573">
        <f t="shared" si="12"/>
        <v>100</v>
      </c>
      <c r="T32" s="1572" t="s">
        <v>8</v>
      </c>
      <c r="U32" s="1573">
        <f t="shared" si="13"/>
        <v>100</v>
      </c>
      <c r="V32" s="1572" t="s">
        <v>8</v>
      </c>
      <c r="W32" s="1573">
        <f t="shared" si="14"/>
        <v>100</v>
      </c>
      <c r="X32" s="1566"/>
      <c r="Y32" s="3491"/>
      <c r="Z32" s="1574">
        <f t="shared" si="15"/>
        <v>111</v>
      </c>
      <c r="AA32" s="1575">
        <f t="shared" si="3"/>
        <v>1</v>
      </c>
      <c r="AB32" s="1575">
        <f t="shared" si="4"/>
        <v>1</v>
      </c>
      <c r="AC32" s="1575">
        <f t="shared" si="5"/>
        <v>1</v>
      </c>
    </row>
    <row r="33" spans="1:29" ht="15">
      <c r="A33" s="2931" t="s">
        <v>2759</v>
      </c>
      <c r="B33" s="170" t="s">
        <v>780</v>
      </c>
      <c r="C33" s="3199" t="s">
        <v>3038</v>
      </c>
      <c r="D33" s="595">
        <v>100</v>
      </c>
      <c r="E33" s="914" t="s">
        <v>3044</v>
      </c>
      <c r="F33" s="573">
        <f>SUMIF(101:101,E33,102:102)-SUMIF(101:101,C33,102:102)+100</f>
        <v>103</v>
      </c>
      <c r="G33" s="914" t="s">
        <v>3044</v>
      </c>
      <c r="H33" s="538">
        <f>SUMIF(101:101,G33,102:102)-SUMIF(101:101,C33,102:102)+100</f>
        <v>103</v>
      </c>
      <c r="I33" s="914" t="s">
        <v>3044</v>
      </c>
      <c r="J33" s="595">
        <f>SUMIF(101:101,I33,102:102)-SUMIF(101:101,C33,102:102)+100</f>
        <v>103</v>
      </c>
      <c r="K33" s="582">
        <v>3</v>
      </c>
      <c r="L33" s="2142"/>
      <c r="M33" s="2134"/>
      <c r="N33" s="2134"/>
      <c r="O33" s="2134"/>
      <c r="P33" s="3492" t="s">
        <v>550</v>
      </c>
      <c r="Q33" s="1571" t="str">
        <f t="shared" si="11"/>
        <v>建筑类型</v>
      </c>
      <c r="R33" s="1572" t="s">
        <v>8</v>
      </c>
      <c r="S33" s="1573">
        <f t="shared" si="12"/>
        <v>103</v>
      </c>
      <c r="T33" s="1572" t="s">
        <v>8</v>
      </c>
      <c r="U33" s="1573">
        <f t="shared" si="13"/>
        <v>103</v>
      </c>
      <c r="V33" s="1572" t="s">
        <v>8</v>
      </c>
      <c r="W33" s="1573">
        <f t="shared" si="14"/>
        <v>103</v>
      </c>
      <c r="X33" s="1566"/>
      <c r="Y33" s="3493"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878">
        <v>3350.88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493"/>
      <c r="Q34" s="1604" t="str">
        <f t="shared" si="11"/>
        <v>项目建筑规模</v>
      </c>
      <c r="R34" s="1576" t="s">
        <v>8</v>
      </c>
      <c r="S34" s="1577">
        <f t="shared" si="12"/>
        <v>104</v>
      </c>
      <c r="T34" s="1576" t="s">
        <v>8</v>
      </c>
      <c r="U34" s="1577">
        <f t="shared" si="13"/>
        <v>103</v>
      </c>
      <c r="V34" s="1576" t="s">
        <v>8</v>
      </c>
      <c r="W34" s="1577">
        <f t="shared" si="14"/>
        <v>100</v>
      </c>
      <c r="X34" s="1578"/>
      <c r="Y34" s="3493"/>
      <c r="Z34" s="1579" t="str">
        <f t="shared" si="15"/>
        <v>项目建筑规模</v>
      </c>
      <c r="AA34" s="1575">
        <f t="shared" si="3"/>
        <v>0.96153846153846156</v>
      </c>
      <c r="AB34" s="1575">
        <f t="shared" si="4"/>
        <v>0.970873786407767</v>
      </c>
      <c r="AC34" s="1575">
        <f t="shared" si="5"/>
        <v>1</v>
      </c>
    </row>
    <row r="35" spans="1:29" ht="15">
      <c r="A35" s="592"/>
      <c r="B35" s="525" t="s">
        <v>727</v>
      </c>
      <c r="C35" s="572" t="s">
        <v>3039</v>
      </c>
      <c r="D35" s="538">
        <v>100</v>
      </c>
      <c r="E35" s="572" t="s">
        <v>3042</v>
      </c>
      <c r="F35" s="573">
        <f>SUMIF(106:106,E35,107:107)-SUMIF(106:106,C35,107:107)+100</f>
        <v>102</v>
      </c>
      <c r="G35" s="572" t="s">
        <v>3042</v>
      </c>
      <c r="H35" s="538">
        <f>SUMIF(106:106,G35,107:107)-SUMIF(106:106,C35,107:107)+100</f>
        <v>102</v>
      </c>
      <c r="I35" s="572" t="s">
        <v>3042</v>
      </c>
      <c r="J35" s="538">
        <f>SUMIF(106:106,I35,107:107)-SUMIF(106:106,C35,107:107)+100</f>
        <v>102</v>
      </c>
      <c r="K35" s="582">
        <v>1</v>
      </c>
      <c r="L35" s="2142"/>
      <c r="M35" s="2134"/>
      <c r="N35" s="2134"/>
      <c r="O35" s="2134"/>
      <c r="P35" s="3493"/>
      <c r="Q35" s="1571" t="str">
        <f t="shared" si="11"/>
        <v>建筑结构</v>
      </c>
      <c r="R35" s="1572" t="s">
        <v>8</v>
      </c>
      <c r="S35" s="1573">
        <f t="shared" si="12"/>
        <v>102</v>
      </c>
      <c r="T35" s="1572" t="s">
        <v>8</v>
      </c>
      <c r="U35" s="1573">
        <f t="shared" si="13"/>
        <v>102</v>
      </c>
      <c r="V35" s="1572" t="s">
        <v>8</v>
      </c>
      <c r="W35" s="1573">
        <f t="shared" si="14"/>
        <v>102</v>
      </c>
      <c r="X35" s="1566"/>
      <c r="Y35" s="3493"/>
      <c r="Z35" s="1574" t="str">
        <f t="shared" si="15"/>
        <v>建筑结构</v>
      </c>
      <c r="AA35" s="1575">
        <f t="shared" si="3"/>
        <v>0.98039215686274506</v>
      </c>
      <c r="AB35" s="1575">
        <f t="shared" si="4"/>
        <v>0.98039215686274506</v>
      </c>
      <c r="AC35" s="1575">
        <f t="shared" si="5"/>
        <v>0.98039215686274506</v>
      </c>
    </row>
    <row r="36" spans="1:29" ht="15">
      <c r="A36" s="592"/>
      <c r="B36" s="525" t="s">
        <v>763</v>
      </c>
      <c r="C36" s="572" t="s">
        <v>3052</v>
      </c>
      <c r="D36" s="538">
        <v>100</v>
      </c>
      <c r="E36" s="572" t="s">
        <v>3054</v>
      </c>
      <c r="F36" s="573">
        <f>SUMIF(108:108,E36,109:109)-SUMIF(108:108,C36,109:109)+100</f>
        <v>97</v>
      </c>
      <c r="G36" s="572" t="s">
        <v>3054</v>
      </c>
      <c r="H36" s="538">
        <f>SUMIF(108:108,G36,109:109)-SUMIF(108:108,C36,109:109)+100</f>
        <v>97</v>
      </c>
      <c r="I36" s="572" t="s">
        <v>3054</v>
      </c>
      <c r="J36" s="538">
        <f>SUMIF(108:108,I36,109:109)-SUMIF(108:108,C36,109:109)+100</f>
        <v>97</v>
      </c>
      <c r="K36" s="582">
        <v>3</v>
      </c>
      <c r="L36" s="2142"/>
      <c r="M36" s="2134"/>
      <c r="N36" s="2134"/>
      <c r="O36" s="2134"/>
      <c r="P36" s="3493"/>
      <c r="Q36" s="1571" t="str">
        <f t="shared" si="11"/>
        <v>公共部分装修</v>
      </c>
      <c r="R36" s="1572" t="s">
        <v>8</v>
      </c>
      <c r="S36" s="1573">
        <f t="shared" si="12"/>
        <v>97</v>
      </c>
      <c r="T36" s="1572" t="s">
        <v>8</v>
      </c>
      <c r="U36" s="1573">
        <f t="shared" si="13"/>
        <v>97</v>
      </c>
      <c r="V36" s="1572" t="s">
        <v>8</v>
      </c>
      <c r="W36" s="1573">
        <f t="shared" si="14"/>
        <v>97</v>
      </c>
      <c r="X36" s="1566"/>
      <c r="Y36" s="3493"/>
      <c r="Z36" s="1574" t="str">
        <f t="shared" si="15"/>
        <v>公共部分装修</v>
      </c>
      <c r="AA36" s="1575">
        <f t="shared" si="3"/>
        <v>1.0309278350515463</v>
      </c>
      <c r="AB36" s="1575">
        <f t="shared" si="4"/>
        <v>1.0309278350515463</v>
      </c>
      <c r="AC36" s="1575">
        <f t="shared" si="5"/>
        <v>1.0309278350515463</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493"/>
      <c r="Q37" s="1571" t="str">
        <f t="shared" si="11"/>
        <v>成新度</v>
      </c>
      <c r="R37" s="1572" t="s">
        <v>8</v>
      </c>
      <c r="S37" s="1573">
        <f t="shared" si="12"/>
        <v>100</v>
      </c>
      <c r="T37" s="1572" t="s">
        <v>8</v>
      </c>
      <c r="U37" s="1573">
        <f t="shared" si="13"/>
        <v>100</v>
      </c>
      <c r="V37" s="1572" t="s">
        <v>8</v>
      </c>
      <c r="W37" s="1573">
        <f t="shared" si="14"/>
        <v>100</v>
      </c>
      <c r="X37" s="1566"/>
      <c r="Y37" s="3493"/>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493"/>
      <c r="Q38" s="1149" t="str">
        <f t="shared" si="11"/>
        <v>写字楼等级</v>
      </c>
      <c r="R38" s="1567" t="s">
        <v>8</v>
      </c>
      <c r="S38" s="1568">
        <f t="shared" si="12"/>
        <v>100</v>
      </c>
      <c r="T38" s="1567" t="s">
        <v>8</v>
      </c>
      <c r="U38" s="1568">
        <f t="shared" si="13"/>
        <v>100</v>
      </c>
      <c r="V38" s="1567" t="s">
        <v>8</v>
      </c>
      <c r="W38" s="1568">
        <f t="shared" si="14"/>
        <v>100</v>
      </c>
      <c r="X38" s="1569"/>
      <c r="Y38" s="3493"/>
      <c r="Z38" s="1148" t="str">
        <f t="shared" si="15"/>
        <v>写字楼等级</v>
      </c>
      <c r="AA38" s="1570">
        <f t="shared" si="3"/>
        <v>1</v>
      </c>
      <c r="AB38" s="1570">
        <f t="shared" si="4"/>
        <v>1</v>
      </c>
      <c r="AC38" s="1570">
        <f t="shared" si="5"/>
        <v>1</v>
      </c>
    </row>
    <row r="39" spans="1:29" ht="15">
      <c r="A39" s="592"/>
      <c r="B39" s="525" t="s">
        <v>782</v>
      </c>
      <c r="C39" s="572" t="s">
        <v>3048</v>
      </c>
      <c r="D39" s="538">
        <v>100</v>
      </c>
      <c r="E39" s="572" t="s">
        <v>3046</v>
      </c>
      <c r="F39" s="573">
        <f>SUMIF(115:115,E39,116:116)-SUMIF(115:115,C39,116:116)+100</f>
        <v>102</v>
      </c>
      <c r="G39" s="572" t="s">
        <v>3046</v>
      </c>
      <c r="H39" s="538">
        <f>SUMIF(115:115,G39,116:116)-SUMIF(115:115,C39,116:116)+100</f>
        <v>102</v>
      </c>
      <c r="I39" s="572" t="s">
        <v>3046</v>
      </c>
      <c r="J39" s="538">
        <f>SUMIF(115:115,I39,116:116)-SUMIF(115:115,C39,116:116)+100</f>
        <v>102</v>
      </c>
      <c r="K39" s="582">
        <v>2</v>
      </c>
      <c r="L39" s="2142"/>
      <c r="M39" s="2134"/>
      <c r="N39" s="2134"/>
      <c r="O39" s="2134"/>
      <c r="P39" s="3493" t="s">
        <v>550</v>
      </c>
      <c r="Q39" s="1571" t="str">
        <f t="shared" si="11"/>
        <v>物业管理</v>
      </c>
      <c r="R39" s="1572" t="s">
        <v>8</v>
      </c>
      <c r="S39" s="1573">
        <f t="shared" si="12"/>
        <v>102</v>
      </c>
      <c r="T39" s="1572" t="s">
        <v>8</v>
      </c>
      <c r="U39" s="1573">
        <f t="shared" si="13"/>
        <v>102</v>
      </c>
      <c r="V39" s="1572" t="s">
        <v>8</v>
      </c>
      <c r="W39" s="1573">
        <f t="shared" si="14"/>
        <v>102</v>
      </c>
      <c r="X39" s="1566"/>
      <c r="Y39" s="3493"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3036</v>
      </c>
      <c r="D40" s="538">
        <v>100</v>
      </c>
      <c r="E40" s="572" t="s">
        <v>3036</v>
      </c>
      <c r="F40" s="573">
        <f>SUMIF(117:117,E40,118:118)-SUMIF(117:117,C40,118:118)+100</f>
        <v>100</v>
      </c>
      <c r="G40" s="572" t="s">
        <v>3036</v>
      </c>
      <c r="H40" s="538">
        <f>SUMIF(117:117,G40,118:118)-SUMIF(117:117,C40,118:118)+100</f>
        <v>100</v>
      </c>
      <c r="I40" s="572" t="s">
        <v>3036</v>
      </c>
      <c r="J40" s="538">
        <f>SUMIF(117:117,I40,118:118)-SUMIF(117:117,C40,118:118)+100</f>
        <v>100</v>
      </c>
      <c r="K40" s="582"/>
      <c r="L40" s="2142"/>
      <c r="M40" s="2134"/>
      <c r="N40" s="2134"/>
      <c r="O40" s="2134"/>
      <c r="P40" s="3493"/>
      <c r="Q40" s="1571" t="str">
        <f t="shared" si="11"/>
        <v>市政基础设施</v>
      </c>
      <c r="R40" s="1572" t="s">
        <v>8</v>
      </c>
      <c r="S40" s="1573">
        <f t="shared" si="12"/>
        <v>100</v>
      </c>
      <c r="T40" s="1572" t="s">
        <v>8</v>
      </c>
      <c r="U40" s="1573">
        <f t="shared" si="13"/>
        <v>100</v>
      </c>
      <c r="V40" s="1572" t="s">
        <v>8</v>
      </c>
      <c r="W40" s="1573">
        <f t="shared" si="14"/>
        <v>100</v>
      </c>
      <c r="X40" s="1566"/>
      <c r="Y40" s="3493"/>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493"/>
      <c r="Q41" s="1571" t="str">
        <f t="shared" si="11"/>
        <v>层高</v>
      </c>
      <c r="R41" s="1572" t="s">
        <v>8</v>
      </c>
      <c r="S41" s="1573">
        <f t="shared" si="12"/>
        <v>100</v>
      </c>
      <c r="T41" s="1572" t="s">
        <v>8</v>
      </c>
      <c r="U41" s="1573">
        <f t="shared" si="13"/>
        <v>100</v>
      </c>
      <c r="V41" s="1572" t="s">
        <v>8</v>
      </c>
      <c r="W41" s="1573">
        <f t="shared" si="14"/>
        <v>100</v>
      </c>
      <c r="X41" s="1566"/>
      <c r="Y41" s="3493"/>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493"/>
      <c r="Q42" s="1604" t="str">
        <f t="shared" si="11"/>
        <v>单套建筑面积</v>
      </c>
      <c r="R42" s="1576" t="s">
        <v>8</v>
      </c>
      <c r="S42" s="1577">
        <f t="shared" si="12"/>
        <v>100</v>
      </c>
      <c r="T42" s="1576" t="s">
        <v>8</v>
      </c>
      <c r="U42" s="1577">
        <f t="shared" si="13"/>
        <v>100</v>
      </c>
      <c r="V42" s="1576" t="s">
        <v>8</v>
      </c>
      <c r="W42" s="1577">
        <f t="shared" si="14"/>
        <v>100</v>
      </c>
      <c r="X42" s="1578"/>
      <c r="Y42" s="3493"/>
      <c r="Z42" s="1579" t="str">
        <f t="shared" si="15"/>
        <v>单套建筑面积</v>
      </c>
      <c r="AA42" s="1575">
        <f t="shared" si="3"/>
        <v>1</v>
      </c>
      <c r="AB42" s="1575">
        <f t="shared" si="4"/>
        <v>1</v>
      </c>
      <c r="AC42" s="1575">
        <f t="shared" si="5"/>
        <v>1</v>
      </c>
    </row>
    <row r="43" spans="1:29" ht="15">
      <c r="A43" s="592"/>
      <c r="B43" s="525" t="s">
        <v>770</v>
      </c>
      <c r="C43" s="572" t="s">
        <v>3052</v>
      </c>
      <c r="D43" s="538">
        <v>100</v>
      </c>
      <c r="E43" s="572" t="s">
        <v>3054</v>
      </c>
      <c r="F43" s="573">
        <f>SUMIF(123:123,E43,124:124)-SUMIF(123:123,C43,124:124)+100</f>
        <v>97</v>
      </c>
      <c r="G43" s="572" t="s">
        <v>3054</v>
      </c>
      <c r="H43" s="538">
        <f>SUMIF(123:123,G43,124:124)-SUMIF(123:123,C43,124:124)+100</f>
        <v>97</v>
      </c>
      <c r="I43" s="572" t="s">
        <v>3054</v>
      </c>
      <c r="J43" s="538">
        <f>SUMIF(123:123,I43,124:124)-SUMIF(123:123,C43,124:124)+100</f>
        <v>97</v>
      </c>
      <c r="K43" s="582">
        <v>3</v>
      </c>
      <c r="L43" s="2142"/>
      <c r="M43" s="2134"/>
      <c r="N43" s="2134"/>
      <c r="O43" s="2134"/>
      <c r="P43" s="3493"/>
      <c r="Q43" s="1571" t="str">
        <f t="shared" si="11"/>
        <v>内部装修</v>
      </c>
      <c r="R43" s="1572" t="s">
        <v>8</v>
      </c>
      <c r="S43" s="1573">
        <f t="shared" si="12"/>
        <v>97</v>
      </c>
      <c r="T43" s="1572" t="s">
        <v>8</v>
      </c>
      <c r="U43" s="1573">
        <f t="shared" si="13"/>
        <v>97</v>
      </c>
      <c r="V43" s="1572" t="s">
        <v>8</v>
      </c>
      <c r="W43" s="1573">
        <f t="shared" si="14"/>
        <v>97</v>
      </c>
      <c r="X43" s="1566"/>
      <c r="Y43" s="3493"/>
      <c r="Z43" s="1574" t="str">
        <f t="shared" si="15"/>
        <v>内部装修</v>
      </c>
      <c r="AA43" s="1575">
        <f t="shared" si="3"/>
        <v>1.0309278350515463</v>
      </c>
      <c r="AB43" s="1575">
        <f t="shared" si="4"/>
        <v>1.0309278350515463</v>
      </c>
      <c r="AC43" s="1575">
        <f t="shared" si="5"/>
        <v>1.0309278350515463</v>
      </c>
    </row>
    <row r="44" spans="1:29" ht="27">
      <c r="A44" s="592"/>
      <c r="B44" s="525" t="s">
        <v>735</v>
      </c>
      <c r="C44" s="572" t="s">
        <v>3033</v>
      </c>
      <c r="D44" s="538">
        <v>100</v>
      </c>
      <c r="E44" s="597" t="s">
        <v>3033</v>
      </c>
      <c r="F44" s="573">
        <f>SUMIF(125:125,E44,126:126)-SUMIF(125:125,C44,126:126)+100</f>
        <v>100</v>
      </c>
      <c r="G44" s="597" t="s">
        <v>3033</v>
      </c>
      <c r="H44" s="538">
        <f>SUMIF(125:125,G44,126:126)-SUMIF(125:125,C44,126:126)+100</f>
        <v>100</v>
      </c>
      <c r="I44" s="597" t="s">
        <v>3033</v>
      </c>
      <c r="J44" s="538">
        <f>SUMIF(125:125,I44,126:126)-SUMIF(125:125,C44,126:126)+100</f>
        <v>100</v>
      </c>
      <c r="K44" s="582"/>
      <c r="L44" s="2142"/>
      <c r="M44" s="2134"/>
      <c r="N44" s="2134"/>
      <c r="O44" s="2134"/>
      <c r="P44" s="3493"/>
      <c r="Q44" s="1571" t="str">
        <f t="shared" si="11"/>
        <v>内部装修维护情况</v>
      </c>
      <c r="R44" s="1572" t="s">
        <v>8</v>
      </c>
      <c r="S44" s="1573">
        <f t="shared" si="12"/>
        <v>100</v>
      </c>
      <c r="T44" s="1572" t="s">
        <v>8</v>
      </c>
      <c r="U44" s="1573">
        <f t="shared" si="13"/>
        <v>100</v>
      </c>
      <c r="V44" s="1572" t="s">
        <v>8</v>
      </c>
      <c r="W44" s="1573">
        <f t="shared" si="14"/>
        <v>100</v>
      </c>
      <c r="X44" s="1566"/>
      <c r="Y44" s="3493"/>
      <c r="Z44" s="1574" t="str">
        <f t="shared" si="15"/>
        <v>内部装修维护情况</v>
      </c>
      <c r="AA44" s="1575">
        <f t="shared" si="3"/>
        <v>1</v>
      </c>
      <c r="AB44" s="1575">
        <f t="shared" si="4"/>
        <v>1</v>
      </c>
      <c r="AC44" s="1575">
        <f t="shared" si="5"/>
        <v>1</v>
      </c>
    </row>
    <row r="45" spans="1:29" s="1218" customFormat="1" ht="15">
      <c r="A45" s="598"/>
      <c r="B45" s="3203" t="s">
        <v>3057</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493"/>
      <c r="Q45" s="1149" t="str">
        <f t="shared" si="11"/>
        <v>建成年代</v>
      </c>
      <c r="R45" s="1567" t="s">
        <v>8</v>
      </c>
      <c r="S45" s="1568">
        <f t="shared" si="12"/>
        <v>94.5</v>
      </c>
      <c r="T45" s="1567" t="s">
        <v>8</v>
      </c>
      <c r="U45" s="1568">
        <f t="shared" si="13"/>
        <v>95.5</v>
      </c>
      <c r="V45" s="1567" t="s">
        <v>8</v>
      </c>
      <c r="W45" s="1568">
        <f t="shared" si="14"/>
        <v>93</v>
      </c>
      <c r="X45" s="1569"/>
      <c r="Y45" s="3493"/>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493"/>
      <c r="Q46" s="1571">
        <f t="shared" si="11"/>
        <v>111</v>
      </c>
      <c r="R46" s="1572" t="s">
        <v>8</v>
      </c>
      <c r="S46" s="1573">
        <f t="shared" si="12"/>
        <v>100</v>
      </c>
      <c r="T46" s="1572" t="s">
        <v>8</v>
      </c>
      <c r="U46" s="1573">
        <f t="shared" si="13"/>
        <v>100</v>
      </c>
      <c r="V46" s="1572" t="s">
        <v>8</v>
      </c>
      <c r="W46" s="1573">
        <f t="shared" si="14"/>
        <v>100</v>
      </c>
      <c r="X46" s="1566"/>
      <c r="Y46" s="3493"/>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589"/>
      <c r="Q47" s="1571">
        <f t="shared" si="11"/>
        <v>111</v>
      </c>
      <c r="R47" s="1572" t="s">
        <v>8</v>
      </c>
      <c r="S47" s="1573">
        <f t="shared" si="12"/>
        <v>100</v>
      </c>
      <c r="T47" s="1572" t="s">
        <v>8</v>
      </c>
      <c r="U47" s="1573">
        <f t="shared" si="13"/>
        <v>100</v>
      </c>
      <c r="V47" s="1572" t="s">
        <v>8</v>
      </c>
      <c r="W47" s="1573">
        <f t="shared" si="14"/>
        <v>100</v>
      </c>
      <c r="X47" s="1566"/>
      <c r="Y47" s="3589"/>
      <c r="Z47" s="1574">
        <f t="shared" si="15"/>
        <v>111</v>
      </c>
      <c r="AA47" s="1575">
        <f t="shared" si="3"/>
        <v>1</v>
      </c>
      <c r="AB47" s="1575">
        <f t="shared" si="4"/>
        <v>1</v>
      </c>
      <c r="AC47" s="1575">
        <f t="shared" si="5"/>
        <v>1</v>
      </c>
    </row>
    <row r="48" spans="1:29" ht="15">
      <c r="A48" s="605" t="s">
        <v>736</v>
      </c>
      <c r="B48" s="885"/>
      <c r="C48" s="2651" t="s">
        <v>1</v>
      </c>
      <c r="D48" s="2652"/>
      <c r="E48" s="2653">
        <v>43359</v>
      </c>
      <c r="F48" s="2654"/>
      <c r="G48" s="2655">
        <v>41948</v>
      </c>
      <c r="H48" s="2656"/>
      <c r="I48" s="2653">
        <v>45991</v>
      </c>
      <c r="J48" s="2656"/>
      <c r="K48" s="1610"/>
      <c r="L48" s="2144"/>
      <c r="M48" s="2134"/>
      <c r="N48" s="2134"/>
      <c r="O48" s="2134"/>
      <c r="P48" s="3510" t="str">
        <f>A48</f>
        <v>成交单价（元/平方米）</v>
      </c>
      <c r="Q48" s="3488"/>
      <c r="R48" s="3588">
        <f>E48</f>
        <v>43359</v>
      </c>
      <c r="S48" s="3588"/>
      <c r="T48" s="3588">
        <f>G48</f>
        <v>41948</v>
      </c>
      <c r="U48" s="3588"/>
      <c r="V48" s="3588">
        <f>I48</f>
        <v>45991</v>
      </c>
      <c r="W48" s="3588"/>
      <c r="X48" s="1558"/>
      <c r="Y48" s="1580"/>
      <c r="Z48" s="1558"/>
      <c r="AA48" s="1558"/>
      <c r="AB48" s="1558"/>
      <c r="AC48" s="1558"/>
    </row>
    <row r="49" spans="1:29" ht="15.75" thickBot="1">
      <c r="A49" s="613" t="s">
        <v>2764</v>
      </c>
      <c r="B49" s="886"/>
      <c r="C49" s="2657">
        <f>R50</f>
        <v>46424</v>
      </c>
      <c r="D49" s="2658"/>
      <c r="E49" s="2659">
        <f>R49</f>
        <v>43993</v>
      </c>
      <c r="F49" s="2659"/>
      <c r="G49" s="2657">
        <f>T49</f>
        <v>43392</v>
      </c>
      <c r="H49" s="2658"/>
      <c r="I49" s="2659">
        <f>V49</f>
        <v>51886</v>
      </c>
      <c r="J49" s="2658"/>
      <c r="K49" s="1611"/>
      <c r="L49" s="2144"/>
      <c r="M49" s="2134"/>
      <c r="N49" s="2134"/>
      <c r="O49" s="2134"/>
      <c r="P49" s="3510" t="str">
        <f>A49</f>
        <v>比较价格（元/平方米）</v>
      </c>
      <c r="Q49" s="3488"/>
      <c r="R49" s="3588">
        <f>IF(F1="售价",ROUND(PRODUCT(R48,AA7:AA47),0),ROUND(PRODUCT(R48,AA7:AA47),1))</f>
        <v>43993</v>
      </c>
      <c r="S49" s="3588"/>
      <c r="T49" s="3588">
        <f>IF(F1="售价",ROUND(PRODUCT(T48,AB7:AB47),0),ROUND(PRODUCT(T48,AB7:AB47),1))</f>
        <v>43392</v>
      </c>
      <c r="U49" s="3588"/>
      <c r="V49" s="3588">
        <f>IF(F1="售价",ROUND(PRODUCT(V48,AC7:AC47),0),ROUND(PRODUCT(V48,AC7:AC47),1))</f>
        <v>51886</v>
      </c>
      <c r="W49" s="3588"/>
      <c r="X49" s="1558"/>
      <c r="Y49" s="1558"/>
      <c r="Z49" s="1558"/>
      <c r="AA49" s="1558"/>
      <c r="AB49" s="1558"/>
      <c r="AC49" s="1558"/>
    </row>
    <row r="50" spans="1:29" ht="15.75" thickBot="1">
      <c r="A50" s="619" t="s">
        <v>2939</v>
      </c>
      <c r="B50" s="620"/>
      <c r="C50" s="2660">
        <f>R50</f>
        <v>46424</v>
      </c>
      <c r="D50" s="2660"/>
      <c r="E50" s="2660"/>
      <c r="F50" s="2660"/>
      <c r="G50" s="2660"/>
      <c r="H50" s="2660"/>
      <c r="I50" s="2660"/>
      <c r="J50" s="2660"/>
      <c r="K50" s="1612"/>
      <c r="L50" s="2144"/>
      <c r="M50" s="2134"/>
      <c r="N50" s="2134"/>
      <c r="O50" s="2134"/>
      <c r="P50" s="3597" t="str">
        <f>A50</f>
        <v>估价对象XX用房的比较价格（楼面单价，元/平方米）</v>
      </c>
      <c r="Q50" s="3510"/>
      <c r="R50" s="3587">
        <f>IF(F1="售价",ROUND(AVERAGE(R49:V49),0),ROUND(AVERAGE(R49:V49),1))</f>
        <v>46424</v>
      </c>
      <c r="S50" s="3587"/>
      <c r="T50" s="3587"/>
      <c r="U50" s="3587"/>
      <c r="V50" s="3587"/>
      <c r="W50" s="35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1.4622108443460347E-2</v>
      </c>
      <c r="F53" s="625" t="str">
        <f>IF(OR(E53&gt;=0.3,E53&lt;=-0.3),"超过30%","")</f>
        <v/>
      </c>
      <c r="G53" s="624">
        <f>IF(G48&lt;G49,G49/G48-1,G48/G49-1)</f>
        <v>3.4423572041575312E-2</v>
      </c>
      <c r="H53" s="625" t="str">
        <f>IF(OR(G53&gt;=0.3,G53&lt;=-0.3),"超过30%","")</f>
        <v/>
      </c>
      <c r="I53" s="624">
        <f>IF(I48&lt;I49,I49/I48-1,I48/I49-1)</f>
        <v>0.12817725207105735</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1.3850479351032341E-2</v>
      </c>
      <c r="F54" s="625" t="str">
        <f>IF(OR(E54&gt;=0.2,E54&lt;=-0.2),"超过20%","")</f>
        <v/>
      </c>
      <c r="G54" s="624">
        <f>IF(G49&lt;I49,I49/G49-1,G49/I49-1)</f>
        <v>0.19575036873156337</v>
      </c>
      <c r="H54" s="625" t="str">
        <f>IF(OR(G54&gt;=0.2,G54&lt;=-0.2),"超过20%","")</f>
        <v/>
      </c>
      <c r="I54" s="624">
        <f>IF(I49&lt;E49,E49/I49-1,I49/E49-1)</f>
        <v>0.17941490691700945</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99.5</v>
      </c>
      <c r="G67" s="677">
        <f>F67-$K10</f>
        <v>99</v>
      </c>
      <c r="H67" s="677">
        <f>G67-$K10</f>
        <v>98.5</v>
      </c>
      <c r="I67" s="677">
        <f>H67-$K10</f>
        <v>98</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21" t="s">
        <v>2562</v>
      </c>
      <c r="C83" s="2622" t="s">
        <v>2563</v>
      </c>
      <c r="D83" s="2622" t="s">
        <v>2564</v>
      </c>
      <c r="E83" s="2622" t="s">
        <v>2565</v>
      </c>
      <c r="F83" s="2622" t="s">
        <v>2566</v>
      </c>
      <c r="G83" s="2622" t="s">
        <v>2567</v>
      </c>
      <c r="H83" s="672"/>
      <c r="I83" s="672"/>
      <c r="J83" s="672"/>
      <c r="K83" s="672"/>
      <c r="L83" s="672"/>
      <c r="M83" s="2625"/>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8"/>
      <c r="D87" s="3198"/>
      <c r="E87" s="3198"/>
      <c r="F87" s="3204"/>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8" t="s">
        <v>3103</v>
      </c>
      <c r="D93" s="3198" t="s">
        <v>3104</v>
      </c>
      <c r="E93" s="3198" t="s">
        <v>3064</v>
      </c>
      <c r="F93" s="3204" t="s">
        <v>3065</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202" t="s">
        <v>3045</v>
      </c>
      <c r="D101" s="596" t="s">
        <v>3038</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201" t="s">
        <v>3043</v>
      </c>
      <c r="D106" s="3200" t="s">
        <v>3041</v>
      </c>
      <c r="E106" s="3200" t="s">
        <v>3040</v>
      </c>
      <c r="F106" s="3200"/>
      <c r="G106" s="3200"/>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200" t="s">
        <v>3053</v>
      </c>
      <c r="D108" s="3200" t="s">
        <v>3055</v>
      </c>
      <c r="E108" s="3200" t="s">
        <v>3056</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97</v>
      </c>
      <c r="E109" s="677">
        <f t="shared" si="25"/>
        <v>94</v>
      </c>
      <c r="F109" s="677">
        <f t="shared" si="25"/>
        <v>91</v>
      </c>
      <c r="G109" s="677">
        <f t="shared" si="25"/>
        <v>88</v>
      </c>
      <c r="H109" s="677">
        <f t="shared" si="25"/>
        <v>85</v>
      </c>
      <c r="I109" s="677">
        <f t="shared" si="25"/>
        <v>82</v>
      </c>
      <c r="J109" s="677">
        <f t="shared" si="25"/>
        <v>79</v>
      </c>
      <c r="K109" s="677">
        <f t="shared" si="25"/>
        <v>76</v>
      </c>
      <c r="L109" s="677">
        <f t="shared" si="25"/>
        <v>73</v>
      </c>
      <c r="M109" s="678">
        <f t="shared" si="25"/>
        <v>70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200" t="s">
        <v>3047</v>
      </c>
      <c r="D115" s="3200" t="s">
        <v>3049</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200" t="s">
        <v>3050</v>
      </c>
      <c r="D117" s="3200" t="s">
        <v>3051</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200" t="s">
        <v>3053</v>
      </c>
      <c r="D123" s="3200" t="s">
        <v>3055</v>
      </c>
      <c r="E123" s="3200" t="s">
        <v>3056</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97</v>
      </c>
      <c r="E124" s="677">
        <f t="shared" si="30"/>
        <v>94</v>
      </c>
      <c r="F124" s="677">
        <f t="shared" si="30"/>
        <v>91</v>
      </c>
      <c r="G124" s="677">
        <f t="shared" si="30"/>
        <v>88</v>
      </c>
      <c r="H124" s="677">
        <f t="shared" si="30"/>
        <v>85</v>
      </c>
      <c r="I124" s="677">
        <f t="shared" si="30"/>
        <v>82</v>
      </c>
      <c r="J124" s="677">
        <f t="shared" si="30"/>
        <v>79</v>
      </c>
      <c r="K124" s="677">
        <f t="shared" si="30"/>
        <v>76</v>
      </c>
      <c r="L124" s="677">
        <f t="shared" si="30"/>
        <v>73</v>
      </c>
      <c r="M124" s="678">
        <f t="shared" si="30"/>
        <v>70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6">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6">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31"/>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494" t="s">
        <v>522</v>
      </c>
      <c r="D4" s="3495"/>
      <c r="E4" s="3518" t="s">
        <v>523</v>
      </c>
      <c r="F4" s="3519"/>
      <c r="G4" s="3494" t="s">
        <v>524</v>
      </c>
      <c r="H4" s="3495"/>
      <c r="I4" s="3494" t="s">
        <v>525</v>
      </c>
      <c r="J4" s="3495"/>
      <c r="K4" s="512" t="s">
        <v>526</v>
      </c>
      <c r="L4" s="2133"/>
      <c r="M4" s="2134"/>
      <c r="N4" s="2134"/>
      <c r="O4" s="2134"/>
      <c r="P4" s="3496" t="s">
        <v>527</v>
      </c>
      <c r="Q4" s="3497"/>
      <c r="R4" s="3482" t="s">
        <v>523</v>
      </c>
      <c r="S4" s="3483"/>
      <c r="T4" s="3482" t="s">
        <v>524</v>
      </c>
      <c r="U4" s="3483"/>
      <c r="V4" s="3502" t="s">
        <v>525</v>
      </c>
      <c r="W4" s="3502"/>
      <c r="X4" s="1566"/>
      <c r="Y4" s="3482" t="s">
        <v>527</v>
      </c>
      <c r="Z4" s="3483"/>
      <c r="AA4" s="3477" t="s">
        <v>523</v>
      </c>
      <c r="AB4" s="3478" t="s">
        <v>524</v>
      </c>
      <c r="AC4" s="3477" t="s">
        <v>525</v>
      </c>
    </row>
    <row r="5" spans="1:29" ht="15">
      <c r="A5" s="513"/>
      <c r="B5" s="514"/>
      <c r="C5" s="3505" t="s">
        <v>2933</v>
      </c>
      <c r="D5" s="3506"/>
      <c r="E5" s="3520" t="s">
        <v>2934</v>
      </c>
      <c r="F5" s="3521"/>
      <c r="G5" s="3505" t="s">
        <v>2935</v>
      </c>
      <c r="H5" s="3506"/>
      <c r="I5" s="3505" t="s">
        <v>2936</v>
      </c>
      <c r="J5" s="3506"/>
      <c r="K5" s="512"/>
      <c r="L5" s="2133"/>
      <c r="M5" s="2134"/>
      <c r="N5" s="2134"/>
      <c r="O5" s="2134"/>
      <c r="P5" s="3498"/>
      <c r="Q5" s="3499"/>
      <c r="R5" s="3484"/>
      <c r="S5" s="3485"/>
      <c r="T5" s="3484"/>
      <c r="U5" s="3485"/>
      <c r="V5" s="3502"/>
      <c r="W5" s="3502"/>
      <c r="X5" s="1566"/>
      <c r="Y5" s="3484"/>
      <c r="Z5" s="3485"/>
      <c r="AA5" s="3478"/>
      <c r="AB5" s="3478"/>
      <c r="AC5" s="3478"/>
    </row>
    <row r="6" spans="1:29" ht="15.75" thickBot="1">
      <c r="A6" s="515"/>
      <c r="B6" s="516"/>
      <c r="C6" s="3503" t="s">
        <v>2937</v>
      </c>
      <c r="D6" s="3504"/>
      <c r="E6" s="3522" t="s">
        <v>2937</v>
      </c>
      <c r="F6" s="3523"/>
      <c r="G6" s="3503" t="s">
        <v>2937</v>
      </c>
      <c r="H6" s="3504"/>
      <c r="I6" s="3503" t="s">
        <v>2937</v>
      </c>
      <c r="J6" s="3504"/>
      <c r="K6" s="512" t="s">
        <v>528</v>
      </c>
      <c r="L6" s="2133"/>
      <c r="M6" s="2134"/>
      <c r="N6" s="2134"/>
      <c r="O6" s="2134"/>
      <c r="P6" s="3500"/>
      <c r="Q6" s="3501"/>
      <c r="R6" s="3484"/>
      <c r="S6" s="3485"/>
      <c r="T6" s="3486"/>
      <c r="U6" s="3487"/>
      <c r="V6" s="3502"/>
      <c r="W6" s="3502"/>
      <c r="X6" s="1566"/>
      <c r="Y6" s="3486"/>
      <c r="Z6" s="3487"/>
      <c r="AA6" s="3479"/>
      <c r="AB6" s="3479"/>
      <c r="AC6" s="3479"/>
    </row>
    <row r="7" spans="1:29" s="1218" customFormat="1" ht="15.75" thickBot="1">
      <c r="A7" s="2936"/>
      <c r="B7" s="2943"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480" t="s">
        <v>530</v>
      </c>
      <c r="Q7" s="3489"/>
      <c r="R7" s="1567" t="s">
        <v>8</v>
      </c>
      <c r="S7" s="1568">
        <f t="shared" ref="S7:S15" si="0">F7</f>
        <v>0</v>
      </c>
      <c r="T7" s="1567" t="s">
        <v>8</v>
      </c>
      <c r="U7" s="1568">
        <f t="shared" ref="U7:U15" si="1">H7</f>
        <v>0</v>
      </c>
      <c r="V7" s="1567" t="s">
        <v>8</v>
      </c>
      <c r="W7" s="1568">
        <f t="shared" ref="W7:W15" si="2">J7</f>
        <v>0</v>
      </c>
      <c r="X7" s="1569"/>
      <c r="Y7" s="3480" t="s">
        <v>530</v>
      </c>
      <c r="Z7" s="3481"/>
      <c r="AA7" s="1570" t="e">
        <f>D7/F7</f>
        <v>#DIV/0!</v>
      </c>
      <c r="AB7" s="1570" t="e">
        <f>D7/H7</f>
        <v>#DIV/0!</v>
      </c>
      <c r="AC7" s="1570" t="e">
        <f>D7/J7</f>
        <v>#DIV/0!</v>
      </c>
    </row>
    <row r="8" spans="1:29" s="1218" customFormat="1" ht="15.75" thickBot="1">
      <c r="A8" s="2937"/>
      <c r="B8" s="2944"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480" t="s">
        <v>533</v>
      </c>
      <c r="Q8" s="3481"/>
      <c r="R8" s="1567" t="s">
        <v>8</v>
      </c>
      <c r="S8" s="1568">
        <f t="shared" si="0"/>
        <v>0</v>
      </c>
      <c r="T8" s="1567" t="s">
        <v>8</v>
      </c>
      <c r="U8" s="1568">
        <f t="shared" si="1"/>
        <v>0</v>
      </c>
      <c r="V8" s="1567" t="s">
        <v>8</v>
      </c>
      <c r="W8" s="1568">
        <f t="shared" si="2"/>
        <v>0</v>
      </c>
      <c r="X8" s="1569"/>
      <c r="Y8" s="3480" t="s">
        <v>533</v>
      </c>
      <c r="Z8" s="3481"/>
      <c r="AA8" s="1570" t="e">
        <f t="shared" ref="AA8:AA40" si="3">D8/F8</f>
        <v>#DIV/0!</v>
      </c>
      <c r="AB8" s="1570" t="e">
        <f t="shared" ref="AB8:AB40" si="4">D8/H8</f>
        <v>#DIV/0!</v>
      </c>
      <c r="AC8" s="1570" t="e">
        <f t="shared" ref="AC8:AC40" si="5">D8/J8</f>
        <v>#DIV/0!</v>
      </c>
    </row>
    <row r="9" spans="1:29" s="1218" customFormat="1" ht="15">
      <c r="A9" s="2938"/>
      <c r="B9" s="2945"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488" t="s">
        <v>535</v>
      </c>
      <c r="Q9" s="1149" t="str">
        <f t="shared" ref="Q9:Q15" si="6">B9</f>
        <v>用途</v>
      </c>
      <c r="R9" s="1567" t="s">
        <v>8</v>
      </c>
      <c r="S9" s="1568">
        <f t="shared" si="0"/>
        <v>100</v>
      </c>
      <c r="T9" s="1567" t="s">
        <v>8</v>
      </c>
      <c r="U9" s="1568">
        <f t="shared" si="1"/>
        <v>100</v>
      </c>
      <c r="V9" s="1567" t="s">
        <v>8</v>
      </c>
      <c r="W9" s="1568">
        <f t="shared" si="2"/>
        <v>100</v>
      </c>
      <c r="X9" s="1569"/>
      <c r="Y9" s="3384" t="s">
        <v>536</v>
      </c>
      <c r="Z9" s="1148" t="str">
        <f t="shared" ref="Z9:Z15" si="7">Q9</f>
        <v>用途</v>
      </c>
      <c r="AA9" s="1570">
        <f t="shared" si="3"/>
        <v>1</v>
      </c>
      <c r="AB9" s="1570">
        <f t="shared" si="4"/>
        <v>1</v>
      </c>
      <c r="AC9" s="1570">
        <f t="shared" si="5"/>
        <v>1</v>
      </c>
    </row>
    <row r="10" spans="1:29" s="1336" customFormat="1" ht="27">
      <c r="A10" s="2939"/>
      <c r="B10" s="2944"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488"/>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0"/>
      <c r="B11" s="2944"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488"/>
      <c r="Q11" s="1149" t="str">
        <f t="shared" si="6"/>
        <v>容积率</v>
      </c>
      <c r="R11" s="1567" t="s">
        <v>8</v>
      </c>
      <c r="S11" s="1568" t="e">
        <f t="shared" si="0"/>
        <v>#N/A</v>
      </c>
      <c r="T11" s="1567" t="s">
        <v>8</v>
      </c>
      <c r="U11" s="1568" t="e">
        <f t="shared" si="1"/>
        <v>#N/A</v>
      </c>
      <c r="V11" s="1567" t="s">
        <v>8</v>
      </c>
      <c r="W11" s="1568" t="e">
        <f t="shared" si="2"/>
        <v>#N/A</v>
      </c>
      <c r="X11" s="1569"/>
      <c r="Y11" s="3384"/>
      <c r="Z11" s="1148" t="str">
        <f t="shared" si="7"/>
        <v>容积率</v>
      </c>
      <c r="AA11" s="1570" t="e">
        <f t="shared" si="3"/>
        <v>#N/A</v>
      </c>
      <c r="AB11" s="1570" t="e">
        <f t="shared" si="4"/>
        <v>#N/A</v>
      </c>
      <c r="AC11" s="1570" t="e">
        <f t="shared" si="5"/>
        <v>#N/A</v>
      </c>
    </row>
    <row r="12" spans="1:29" s="1218" customFormat="1" ht="15">
      <c r="A12" s="2941"/>
      <c r="B12" s="2947">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488"/>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
      <c r="A13" s="2941"/>
      <c r="B13" s="2947">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488"/>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15.75" thickBot="1">
      <c r="A14" s="2942"/>
      <c r="B14" s="2948">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488"/>
      <c r="Q14" s="1149">
        <f t="shared" si="6"/>
        <v>111</v>
      </c>
      <c r="R14" s="1567" t="s">
        <v>8</v>
      </c>
      <c r="S14" s="1568">
        <f t="shared" si="0"/>
        <v>100</v>
      </c>
      <c r="T14" s="1567" t="s">
        <v>8</v>
      </c>
      <c r="U14" s="1568">
        <f t="shared" si="1"/>
        <v>100</v>
      </c>
      <c r="V14" s="1567" t="s">
        <v>8</v>
      </c>
      <c r="W14" s="1568">
        <f t="shared" si="2"/>
        <v>100</v>
      </c>
      <c r="X14" s="1569"/>
      <c r="Y14" s="3384"/>
      <c r="Z14" s="1148">
        <f t="shared" si="7"/>
        <v>111</v>
      </c>
      <c r="AA14" s="1570">
        <f t="shared" si="3"/>
        <v>1</v>
      </c>
      <c r="AB14" s="1570">
        <f t="shared" si="4"/>
        <v>1</v>
      </c>
      <c r="AC14" s="1570">
        <f t="shared" si="5"/>
        <v>1</v>
      </c>
    </row>
    <row r="15" spans="1:29" ht="57">
      <c r="A15" s="2934"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490" t="s">
        <v>540</v>
      </c>
      <c r="Q15" s="1571" t="str">
        <f t="shared" si="6"/>
        <v>产业集聚程度</v>
      </c>
      <c r="R15" s="1572" t="s">
        <v>8</v>
      </c>
      <c r="S15" s="1573">
        <f t="shared" si="0"/>
        <v>100</v>
      </c>
      <c r="T15" s="1572" t="s">
        <v>8</v>
      </c>
      <c r="U15" s="1573">
        <f t="shared" si="1"/>
        <v>100</v>
      </c>
      <c r="V15" s="1572" t="s">
        <v>8</v>
      </c>
      <c r="W15" s="1573">
        <f t="shared" si="2"/>
        <v>100</v>
      </c>
      <c r="X15" s="1566"/>
      <c r="Y15" s="3490"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491"/>
      <c r="Q16" s="1571"/>
      <c r="R16" s="1572"/>
      <c r="S16" s="1573"/>
      <c r="T16" s="1572"/>
      <c r="U16" s="1573"/>
      <c r="V16" s="1572"/>
      <c r="W16" s="1573"/>
      <c r="X16" s="1566"/>
      <c r="Y16" s="3491"/>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491"/>
      <c r="Q17" s="1571" t="str">
        <f>B17</f>
        <v>交通便捷度</v>
      </c>
      <c r="R17" s="1572" t="s">
        <v>8</v>
      </c>
      <c r="S17" s="1573">
        <f>F17</f>
        <v>100</v>
      </c>
      <c r="T17" s="1572" t="s">
        <v>8</v>
      </c>
      <c r="U17" s="1573">
        <f>H17</f>
        <v>100</v>
      </c>
      <c r="V17" s="1572" t="s">
        <v>8</v>
      </c>
      <c r="W17" s="1573">
        <f>J17</f>
        <v>100</v>
      </c>
      <c r="X17" s="1566"/>
      <c r="Y17" s="349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491"/>
      <c r="Q18" s="1571"/>
      <c r="R18" s="1572"/>
      <c r="S18" s="1573"/>
      <c r="T18" s="1572"/>
      <c r="U18" s="1573"/>
      <c r="V18" s="1572"/>
      <c r="W18" s="1573"/>
      <c r="X18" s="1566"/>
      <c r="Y18" s="3491"/>
      <c r="Z18" s="1574"/>
      <c r="AA18" s="1575">
        <v>1</v>
      </c>
      <c r="AB18" s="1575">
        <v>1</v>
      </c>
      <c r="AC18" s="1575">
        <v>1</v>
      </c>
    </row>
    <row r="19" spans="1:29" ht="42.75">
      <c r="A19" s="530"/>
      <c r="B19" s="2627"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491"/>
      <c r="Q19" s="1571" t="str">
        <f>B19</f>
        <v>公共配套设施</v>
      </c>
      <c r="R19" s="1572" t="s">
        <v>8</v>
      </c>
      <c r="S19" s="1573">
        <f>F19</f>
        <v>100</v>
      </c>
      <c r="T19" s="1572" t="s">
        <v>8</v>
      </c>
      <c r="U19" s="1573">
        <f>H19</f>
        <v>100</v>
      </c>
      <c r="V19" s="1572" t="s">
        <v>8</v>
      </c>
      <c r="W19" s="1573">
        <f>J19</f>
        <v>100</v>
      </c>
      <c r="X19" s="1566"/>
      <c r="Y19" s="3491"/>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491"/>
      <c r="Q20" s="1571"/>
      <c r="R20" s="1572"/>
      <c r="S20" s="1573"/>
      <c r="T20" s="1572"/>
      <c r="U20" s="1573"/>
      <c r="V20" s="1572"/>
      <c r="W20" s="1573"/>
      <c r="X20" s="1566"/>
      <c r="Y20" s="3491"/>
      <c r="Z20" s="1574"/>
      <c r="AA20" s="1575">
        <v>1</v>
      </c>
      <c r="AB20" s="1575">
        <v>1</v>
      </c>
      <c r="AC20" s="1575">
        <v>1</v>
      </c>
    </row>
    <row r="21" spans="1:29" ht="28.5">
      <c r="A21" s="530"/>
      <c r="B21" s="2615"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491"/>
      <c r="Q21" s="2603" t="str">
        <f>B21</f>
        <v>基础设施水平</v>
      </c>
      <c r="R21" s="1572" t="s">
        <v>8</v>
      </c>
      <c r="S21" s="1573">
        <f>F21</f>
        <v>100</v>
      </c>
      <c r="T21" s="1572" t="s">
        <v>8</v>
      </c>
      <c r="U21" s="1573">
        <f>H21</f>
        <v>100</v>
      </c>
      <c r="V21" s="1572" t="s">
        <v>8</v>
      </c>
      <c r="W21" s="1573">
        <f>J21</f>
        <v>100</v>
      </c>
      <c r="X21" s="2605"/>
      <c r="Y21" s="3491"/>
      <c r="Z21" s="2604"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6"/>
      <c r="L22" s="2142"/>
      <c r="M22" s="2134"/>
      <c r="N22" s="2134"/>
      <c r="O22" s="2141"/>
      <c r="P22" s="3491"/>
      <c r="Q22" s="2603"/>
      <c r="R22" s="1572"/>
      <c r="S22" s="1573"/>
      <c r="T22" s="1572"/>
      <c r="U22" s="1573"/>
      <c r="V22" s="1572"/>
      <c r="W22" s="1573"/>
      <c r="X22" s="2605"/>
      <c r="Y22" s="3491"/>
      <c r="Z22" s="2604"/>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491"/>
      <c r="Q23" s="1571" t="str">
        <f>B23</f>
        <v>环境质量</v>
      </c>
      <c r="R23" s="1572" t="s">
        <v>8</v>
      </c>
      <c r="S23" s="1573">
        <f>F23</f>
        <v>100</v>
      </c>
      <c r="T23" s="1572" t="s">
        <v>8</v>
      </c>
      <c r="U23" s="1573">
        <f>H23</f>
        <v>100</v>
      </c>
      <c r="V23" s="1572" t="s">
        <v>8</v>
      </c>
      <c r="W23" s="1573">
        <f>J23</f>
        <v>100</v>
      </c>
      <c r="X23" s="1566"/>
      <c r="Y23" s="3491"/>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491"/>
      <c r="Q24" s="1571"/>
      <c r="R24" s="1572"/>
      <c r="S24" s="1573"/>
      <c r="T24" s="1572"/>
      <c r="U24" s="1573"/>
      <c r="V24" s="1572"/>
      <c r="W24" s="1573"/>
      <c r="X24" s="1566"/>
      <c r="Y24" s="3491"/>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491"/>
      <c r="Q25" s="1571">
        <f>B25</f>
        <v>111</v>
      </c>
      <c r="R25" s="1572" t="s">
        <v>8</v>
      </c>
      <c r="S25" s="1573">
        <f>F25</f>
        <v>100</v>
      </c>
      <c r="T25" s="1572" t="s">
        <v>8</v>
      </c>
      <c r="U25" s="1573">
        <f>H25</f>
        <v>100</v>
      </c>
      <c r="V25" s="1572" t="s">
        <v>8</v>
      </c>
      <c r="W25" s="1573">
        <f>J25</f>
        <v>100</v>
      </c>
      <c r="X25" s="1566"/>
      <c r="Y25" s="3491"/>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491"/>
      <c r="Q26" s="1571">
        <f t="shared" ref="Q26:Q40" si="11">B26</f>
        <v>111</v>
      </c>
      <c r="R26" s="1572" t="s">
        <v>8</v>
      </c>
      <c r="S26" s="1573">
        <f>F26</f>
        <v>100</v>
      </c>
      <c r="T26" s="1572" t="s">
        <v>8</v>
      </c>
      <c r="U26" s="1573">
        <f>H26</f>
        <v>100</v>
      </c>
      <c r="V26" s="1572" t="s">
        <v>8</v>
      </c>
      <c r="W26" s="1573">
        <f>J26</f>
        <v>100</v>
      </c>
      <c r="X26" s="1566"/>
      <c r="Y26" s="3491"/>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491"/>
      <c r="Q27" s="1149">
        <f t="shared" si="11"/>
        <v>111</v>
      </c>
      <c r="R27" s="1567" t="s">
        <v>8</v>
      </c>
      <c r="S27" s="1568">
        <f>F27</f>
        <v>100</v>
      </c>
      <c r="T27" s="1567" t="s">
        <v>8</v>
      </c>
      <c r="U27" s="1568">
        <f>H27</f>
        <v>100</v>
      </c>
      <c r="V27" s="1567" t="s">
        <v>8</v>
      </c>
      <c r="W27" s="1568">
        <f>J27</f>
        <v>100</v>
      </c>
      <c r="X27" s="1569"/>
      <c r="Y27" s="3491"/>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491"/>
      <c r="Q28" s="1571">
        <f t="shared" si="11"/>
        <v>111</v>
      </c>
      <c r="R28" s="1572" t="s">
        <v>8</v>
      </c>
      <c r="S28" s="1573">
        <f t="shared" ref="S28:S40" si="12">F28</f>
        <v>100</v>
      </c>
      <c r="T28" s="1572" t="s">
        <v>8</v>
      </c>
      <c r="U28" s="1573">
        <f t="shared" ref="U28:U40" si="13">H28</f>
        <v>100</v>
      </c>
      <c r="V28" s="1572" t="s">
        <v>8</v>
      </c>
      <c r="W28" s="1573">
        <f t="shared" ref="W28:W40" si="14">J28</f>
        <v>100</v>
      </c>
      <c r="X28" s="1566"/>
      <c r="Y28" s="3491"/>
      <c r="Z28" s="1574">
        <f t="shared" ref="Z28:Z40" si="15">Q28</f>
        <v>111</v>
      </c>
      <c r="AA28" s="1575">
        <f t="shared" si="3"/>
        <v>1</v>
      </c>
      <c r="AB28" s="1575">
        <f t="shared" si="4"/>
        <v>1</v>
      </c>
      <c r="AC28" s="1575">
        <f t="shared" si="5"/>
        <v>1</v>
      </c>
    </row>
    <row r="29" spans="1:29" ht="15">
      <c r="A29" s="2931"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492" t="s">
        <v>550</v>
      </c>
      <c r="Q29" s="1571" t="str">
        <f t="shared" si="11"/>
        <v>建筑类型</v>
      </c>
      <c r="R29" s="1572" t="s">
        <v>8</v>
      </c>
      <c r="S29" s="1573">
        <f t="shared" si="12"/>
        <v>100</v>
      </c>
      <c r="T29" s="1572" t="s">
        <v>8</v>
      </c>
      <c r="U29" s="1573">
        <f t="shared" si="13"/>
        <v>100</v>
      </c>
      <c r="V29" s="1572" t="s">
        <v>8</v>
      </c>
      <c r="W29" s="1573">
        <f t="shared" si="14"/>
        <v>100</v>
      </c>
      <c r="X29" s="1566"/>
      <c r="Y29" s="3493"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493"/>
      <c r="Q30" s="1604" t="str">
        <f t="shared" si="11"/>
        <v>项目建筑规模</v>
      </c>
      <c r="R30" s="1576" t="s">
        <v>8</v>
      </c>
      <c r="S30" s="1577" t="e">
        <f t="shared" si="12"/>
        <v>#N/A</v>
      </c>
      <c r="T30" s="1576" t="s">
        <v>8</v>
      </c>
      <c r="U30" s="1577" t="e">
        <f t="shared" si="13"/>
        <v>#N/A</v>
      </c>
      <c r="V30" s="1576" t="s">
        <v>8</v>
      </c>
      <c r="W30" s="1577" t="e">
        <f t="shared" si="14"/>
        <v>#N/A</v>
      </c>
      <c r="X30" s="1578"/>
      <c r="Y30" s="3493"/>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493"/>
      <c r="Q31" s="1571" t="str">
        <f t="shared" si="11"/>
        <v>建筑结构</v>
      </c>
      <c r="R31" s="1572" t="s">
        <v>8</v>
      </c>
      <c r="S31" s="1573">
        <f t="shared" si="12"/>
        <v>100</v>
      </c>
      <c r="T31" s="1572" t="s">
        <v>8</v>
      </c>
      <c r="U31" s="1573">
        <f t="shared" si="13"/>
        <v>100</v>
      </c>
      <c r="V31" s="1572" t="s">
        <v>8</v>
      </c>
      <c r="W31" s="1573">
        <f t="shared" si="14"/>
        <v>100</v>
      </c>
      <c r="X31" s="1566"/>
      <c r="Y31" s="3493"/>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493"/>
      <c r="Q32" s="1571" t="str">
        <f t="shared" si="11"/>
        <v>公共部分装修</v>
      </c>
      <c r="R32" s="1572" t="s">
        <v>8</v>
      </c>
      <c r="S32" s="1573">
        <f t="shared" si="12"/>
        <v>100</v>
      </c>
      <c r="T32" s="1572" t="s">
        <v>8</v>
      </c>
      <c r="U32" s="1573">
        <f t="shared" si="13"/>
        <v>100</v>
      </c>
      <c r="V32" s="1572" t="s">
        <v>8</v>
      </c>
      <c r="W32" s="1573">
        <f t="shared" si="14"/>
        <v>100</v>
      </c>
      <c r="X32" s="1566"/>
      <c r="Y32" s="3493"/>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493"/>
      <c r="Q33" s="1571" t="str">
        <f t="shared" si="11"/>
        <v>成新度</v>
      </c>
      <c r="R33" s="1572" t="s">
        <v>8</v>
      </c>
      <c r="S33" s="1573" t="e">
        <f t="shared" si="12"/>
        <v>#N/A</v>
      </c>
      <c r="T33" s="1572" t="s">
        <v>8</v>
      </c>
      <c r="U33" s="1573" t="e">
        <f t="shared" si="13"/>
        <v>#N/A</v>
      </c>
      <c r="V33" s="1572" t="s">
        <v>8</v>
      </c>
      <c r="W33" s="1573" t="e">
        <f t="shared" si="14"/>
        <v>#N/A</v>
      </c>
      <c r="X33" s="1566"/>
      <c r="Y33" s="3493"/>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493"/>
      <c r="Q34" s="1149" t="str">
        <f t="shared" si="11"/>
        <v>物业管理</v>
      </c>
      <c r="R34" s="1567" t="s">
        <v>8</v>
      </c>
      <c r="S34" s="1568">
        <f t="shared" si="12"/>
        <v>100</v>
      </c>
      <c r="T34" s="1567" t="s">
        <v>8</v>
      </c>
      <c r="U34" s="1568">
        <f t="shared" si="13"/>
        <v>100</v>
      </c>
      <c r="V34" s="1567" t="s">
        <v>8</v>
      </c>
      <c r="W34" s="1568">
        <f t="shared" si="14"/>
        <v>100</v>
      </c>
      <c r="X34" s="1569"/>
      <c r="Y34" s="3493"/>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493" t="s">
        <v>550</v>
      </c>
      <c r="Q35" s="1571" t="str">
        <f t="shared" si="11"/>
        <v>市政基础设施</v>
      </c>
      <c r="R35" s="1572" t="s">
        <v>8</v>
      </c>
      <c r="S35" s="1573">
        <f t="shared" si="12"/>
        <v>100</v>
      </c>
      <c r="T35" s="1572" t="s">
        <v>8</v>
      </c>
      <c r="U35" s="1573">
        <f t="shared" si="13"/>
        <v>100</v>
      </c>
      <c r="V35" s="1572" t="s">
        <v>8</v>
      </c>
      <c r="W35" s="1573">
        <f t="shared" si="14"/>
        <v>100</v>
      </c>
      <c r="X35" s="1566"/>
      <c r="Y35" s="3493"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493"/>
      <c r="Q36" s="1571" t="str">
        <f t="shared" si="11"/>
        <v>内部装修</v>
      </c>
      <c r="R36" s="1572" t="s">
        <v>8</v>
      </c>
      <c r="S36" s="1573">
        <f t="shared" si="12"/>
        <v>100</v>
      </c>
      <c r="T36" s="1572" t="s">
        <v>8</v>
      </c>
      <c r="U36" s="1573">
        <f t="shared" si="13"/>
        <v>100</v>
      </c>
      <c r="V36" s="1572" t="s">
        <v>8</v>
      </c>
      <c r="W36" s="1573">
        <f t="shared" si="14"/>
        <v>100</v>
      </c>
      <c r="X36" s="1566"/>
      <c r="Y36" s="3493"/>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493"/>
      <c r="Q37" s="1571" t="str">
        <f t="shared" si="11"/>
        <v>内部装修状况</v>
      </c>
      <c r="R37" s="1572" t="s">
        <v>8</v>
      </c>
      <c r="S37" s="1573">
        <f t="shared" si="12"/>
        <v>100</v>
      </c>
      <c r="T37" s="1572" t="s">
        <v>8</v>
      </c>
      <c r="U37" s="1573">
        <f t="shared" si="13"/>
        <v>100</v>
      </c>
      <c r="V37" s="1572" t="s">
        <v>8</v>
      </c>
      <c r="W37" s="1573">
        <f t="shared" si="14"/>
        <v>100</v>
      </c>
      <c r="X37" s="1566"/>
      <c r="Y37" s="3493"/>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493"/>
      <c r="Q38" s="1604">
        <f t="shared" si="11"/>
        <v>111</v>
      </c>
      <c r="R38" s="1576" t="s">
        <v>8</v>
      </c>
      <c r="S38" s="1577">
        <f t="shared" si="12"/>
        <v>100</v>
      </c>
      <c r="T38" s="1576" t="s">
        <v>8</v>
      </c>
      <c r="U38" s="1577">
        <f t="shared" si="13"/>
        <v>100</v>
      </c>
      <c r="V38" s="1576" t="s">
        <v>8</v>
      </c>
      <c r="W38" s="1577">
        <f t="shared" si="14"/>
        <v>100</v>
      </c>
      <c r="X38" s="1578"/>
      <c r="Y38" s="3493"/>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493"/>
      <c r="Q39" s="1571">
        <f t="shared" si="11"/>
        <v>111</v>
      </c>
      <c r="R39" s="1572" t="s">
        <v>8</v>
      </c>
      <c r="S39" s="1573">
        <f t="shared" si="12"/>
        <v>100</v>
      </c>
      <c r="T39" s="1572" t="s">
        <v>8</v>
      </c>
      <c r="U39" s="1573">
        <f t="shared" si="13"/>
        <v>100</v>
      </c>
      <c r="V39" s="1572" t="s">
        <v>8</v>
      </c>
      <c r="W39" s="1573">
        <f t="shared" si="14"/>
        <v>100</v>
      </c>
      <c r="X39" s="1566"/>
      <c r="Y39" s="3493"/>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589"/>
      <c r="Q40" s="1571">
        <f t="shared" si="11"/>
        <v>111</v>
      </c>
      <c r="R40" s="1572" t="s">
        <v>8</v>
      </c>
      <c r="S40" s="1573">
        <f t="shared" si="12"/>
        <v>100</v>
      </c>
      <c r="T40" s="1572" t="s">
        <v>8</v>
      </c>
      <c r="U40" s="1573">
        <f t="shared" si="13"/>
        <v>100</v>
      </c>
      <c r="V40" s="1572" t="s">
        <v>8</v>
      </c>
      <c r="W40" s="1573">
        <f t="shared" si="14"/>
        <v>100</v>
      </c>
      <c r="X40" s="1566"/>
      <c r="Y40" s="3589"/>
      <c r="Z40" s="1574">
        <f t="shared" si="15"/>
        <v>111</v>
      </c>
      <c r="AA40" s="1575">
        <f t="shared" si="3"/>
        <v>1</v>
      </c>
      <c r="AB40" s="1575">
        <f t="shared" si="4"/>
        <v>1</v>
      </c>
      <c r="AC40" s="1575">
        <f t="shared" si="5"/>
        <v>1</v>
      </c>
    </row>
    <row r="41" spans="1:29" ht="15">
      <c r="A41" s="605" t="s">
        <v>736</v>
      </c>
      <c r="B41" s="885"/>
      <c r="C41" s="2651" t="s">
        <v>1</v>
      </c>
      <c r="D41" s="2652"/>
      <c r="E41" s="2653"/>
      <c r="F41" s="2654"/>
      <c r="G41" s="2655"/>
      <c r="H41" s="2656"/>
      <c r="I41" s="2653"/>
      <c r="J41" s="2656"/>
      <c r="K41" s="1610"/>
      <c r="L41" s="2144"/>
      <c r="M41" s="2145"/>
      <c r="N41" s="2134"/>
      <c r="O41" s="2145"/>
      <c r="P41" s="3488" t="str">
        <f>A41</f>
        <v>成交单价（元/平方米）</v>
      </c>
      <c r="Q41" s="3488"/>
      <c r="R41" s="3588">
        <f>E41</f>
        <v>0</v>
      </c>
      <c r="S41" s="3588"/>
      <c r="T41" s="3588">
        <f>G41</f>
        <v>0</v>
      </c>
      <c r="U41" s="3588"/>
      <c r="V41" s="3588">
        <f>I41</f>
        <v>0</v>
      </c>
      <c r="W41" s="3588"/>
      <c r="X41" s="1558"/>
      <c r="Y41" s="1580"/>
      <c r="Z41" s="1558"/>
      <c r="AA41" s="1558"/>
      <c r="AB41" s="1558"/>
      <c r="AC41" s="1558"/>
    </row>
    <row r="42" spans="1:29" ht="15.75" thickBot="1">
      <c r="A42" s="613" t="s">
        <v>2764</v>
      </c>
      <c r="B42" s="886"/>
      <c r="C42" s="2657" t="e">
        <f>R43</f>
        <v>#DIV/0!</v>
      </c>
      <c r="D42" s="2658"/>
      <c r="E42" s="2659" t="e">
        <f>R42</f>
        <v>#DIV/0!</v>
      </c>
      <c r="F42" s="2659"/>
      <c r="G42" s="2657" t="e">
        <f>T42</f>
        <v>#DIV/0!</v>
      </c>
      <c r="H42" s="2658"/>
      <c r="I42" s="2659" t="e">
        <f>V42</f>
        <v>#DIV/0!</v>
      </c>
      <c r="J42" s="2658"/>
      <c r="K42" s="1611"/>
      <c r="L42" s="2144"/>
      <c r="M42" s="2145"/>
      <c r="N42" s="2134"/>
      <c r="O42" s="2145"/>
      <c r="P42" s="3488" t="str">
        <f>A42</f>
        <v>比较价格（元/平方米）</v>
      </c>
      <c r="Q42" s="3488"/>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558"/>
      <c r="Y42" s="1558"/>
      <c r="Z42" s="1558"/>
      <c r="AA42" s="1558"/>
      <c r="AB42" s="1558"/>
      <c r="AC42" s="1558"/>
    </row>
    <row r="43" spans="1:29" ht="15.75" thickBot="1">
      <c r="A43" s="619" t="s">
        <v>2939</v>
      </c>
      <c r="B43" s="620"/>
      <c r="C43" s="2660" t="e">
        <f>R43</f>
        <v>#DIV/0!</v>
      </c>
      <c r="D43" s="2660"/>
      <c r="E43" s="2660"/>
      <c r="F43" s="2660"/>
      <c r="G43" s="2660"/>
      <c r="H43" s="2660"/>
      <c r="I43" s="2660"/>
      <c r="J43" s="2660"/>
      <c r="K43" s="1612"/>
      <c r="L43" s="2144"/>
      <c r="M43" s="2145"/>
      <c r="N43" s="2145"/>
      <c r="O43" s="2145"/>
      <c r="P43" s="3509" t="str">
        <f>A43</f>
        <v>估价对象XX用房的比较价格（楼面单价，元/平方米）</v>
      </c>
      <c r="Q43" s="3510"/>
      <c r="R43" s="3587" t="e">
        <f>IF(F1="售价",ROUND(AVERAGE(R42:V42),0),ROUND(AVERAGE(R42:V42),1))</f>
        <v>#DIV/0!</v>
      </c>
      <c r="S43" s="3587"/>
      <c r="T43" s="3587"/>
      <c r="U43" s="3587"/>
      <c r="V43" s="3587"/>
      <c r="W43" s="35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21" t="s">
        <v>2562</v>
      </c>
      <c r="C76" s="2622" t="s">
        <v>2563</v>
      </c>
      <c r="D76" s="2622" t="s">
        <v>2564</v>
      </c>
      <c r="E76" s="2622" t="s">
        <v>2565</v>
      </c>
      <c r="F76" s="2622" t="s">
        <v>2566</v>
      </c>
      <c r="G76" s="2622"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94" t="s">
        <v>798</v>
      </c>
      <c r="D4" s="3495"/>
      <c r="E4" s="3494" t="s">
        <v>799</v>
      </c>
      <c r="F4" s="3495"/>
      <c r="G4" s="3494" t="s">
        <v>800</v>
      </c>
      <c r="H4" s="3495"/>
      <c r="I4" s="3494" t="s">
        <v>801</v>
      </c>
      <c r="J4" s="3495"/>
      <c r="K4" s="512" t="s">
        <v>802</v>
      </c>
      <c r="L4" s="2133"/>
      <c r="M4" s="2134"/>
      <c r="N4" s="2134"/>
      <c r="O4" s="2134"/>
      <c r="P4" s="3496" t="s">
        <v>803</v>
      </c>
      <c r="Q4" s="3497"/>
      <c r="R4" s="3482" t="s">
        <v>799</v>
      </c>
      <c r="S4" s="3483"/>
      <c r="T4" s="3482" t="s">
        <v>800</v>
      </c>
      <c r="U4" s="3483"/>
      <c r="V4" s="3502" t="s">
        <v>801</v>
      </c>
      <c r="W4" s="3502"/>
      <c r="X4" s="1566"/>
      <c r="Y4" s="3482" t="s">
        <v>803</v>
      </c>
      <c r="Z4" s="3483"/>
      <c r="AA4" s="3477" t="s">
        <v>799</v>
      </c>
      <c r="AB4" s="3478" t="s">
        <v>800</v>
      </c>
      <c r="AC4" s="3477" t="s">
        <v>801</v>
      </c>
    </row>
    <row r="5" spans="1:29" ht="15">
      <c r="A5" s="513"/>
      <c r="B5" s="514"/>
      <c r="C5" s="3505" t="s">
        <v>2933</v>
      </c>
      <c r="D5" s="3506"/>
      <c r="E5" s="3505" t="s">
        <v>2934</v>
      </c>
      <c r="F5" s="3506"/>
      <c r="G5" s="3505" t="s">
        <v>2935</v>
      </c>
      <c r="H5" s="3506"/>
      <c r="I5" s="3505" t="s">
        <v>2936</v>
      </c>
      <c r="J5" s="3506"/>
      <c r="K5" s="512"/>
      <c r="L5" s="2133"/>
      <c r="M5" s="2134"/>
      <c r="N5" s="2134"/>
      <c r="O5" s="2134"/>
      <c r="P5" s="3498"/>
      <c r="Q5" s="3499"/>
      <c r="R5" s="3484"/>
      <c r="S5" s="3485"/>
      <c r="T5" s="3484"/>
      <c r="U5" s="3485"/>
      <c r="V5" s="3502"/>
      <c r="W5" s="3502"/>
      <c r="X5" s="1566"/>
      <c r="Y5" s="3484"/>
      <c r="Z5" s="3485"/>
      <c r="AA5" s="3478"/>
      <c r="AB5" s="3478"/>
      <c r="AC5" s="3478"/>
    </row>
    <row r="6" spans="1:29" ht="15.75" thickBot="1">
      <c r="A6" s="515"/>
      <c r="B6" s="516"/>
      <c r="C6" s="3503" t="s">
        <v>2937</v>
      </c>
      <c r="D6" s="3504"/>
      <c r="E6" s="3507" t="s">
        <v>2937</v>
      </c>
      <c r="F6" s="3508"/>
      <c r="G6" s="3503" t="s">
        <v>2937</v>
      </c>
      <c r="H6" s="3504"/>
      <c r="I6" s="3503" t="s">
        <v>2937</v>
      </c>
      <c r="J6" s="3504"/>
      <c r="K6" s="512" t="s">
        <v>528</v>
      </c>
      <c r="L6" s="2133"/>
      <c r="M6" s="2134"/>
      <c r="N6" s="2134"/>
      <c r="O6" s="2134"/>
      <c r="P6" s="3500"/>
      <c r="Q6" s="3501"/>
      <c r="R6" s="3484"/>
      <c r="S6" s="3485"/>
      <c r="T6" s="3486"/>
      <c r="U6" s="3487"/>
      <c r="V6" s="3502"/>
      <c r="W6" s="3502"/>
      <c r="X6" s="1566"/>
      <c r="Y6" s="3486"/>
      <c r="Z6" s="3487"/>
      <c r="AA6" s="3479"/>
      <c r="AB6" s="3479"/>
      <c r="AC6" s="3479"/>
    </row>
    <row r="7" spans="1:29" s="1218" customFormat="1" ht="15.75" thickBot="1">
      <c r="A7" s="2936"/>
      <c r="B7" s="2943"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480" t="s">
        <v>530</v>
      </c>
      <c r="Q7" s="3489"/>
      <c r="R7" s="1567" t="s">
        <v>8</v>
      </c>
      <c r="S7" s="1568">
        <f t="shared" ref="S7:S14" si="0">F7</f>
        <v>0</v>
      </c>
      <c r="T7" s="1567" t="s">
        <v>8</v>
      </c>
      <c r="U7" s="1568">
        <f t="shared" ref="U7:U14" si="1">H7</f>
        <v>0</v>
      </c>
      <c r="V7" s="1567" t="s">
        <v>8</v>
      </c>
      <c r="W7" s="1568">
        <f t="shared" ref="W7:W14" si="2">J7</f>
        <v>0</v>
      </c>
      <c r="X7" s="1569"/>
      <c r="Y7" s="3480" t="s">
        <v>530</v>
      </c>
      <c r="Z7" s="3481"/>
      <c r="AA7" s="1570" t="e">
        <f>D7/F7</f>
        <v>#DIV/0!</v>
      </c>
      <c r="AB7" s="1570" t="e">
        <f>D7/H7</f>
        <v>#DIV/0!</v>
      </c>
      <c r="AC7" s="1570" t="e">
        <f>D7/J7</f>
        <v>#DIV/0!</v>
      </c>
    </row>
    <row r="8" spans="1:29" s="1218" customFormat="1" ht="15.75" thickBot="1">
      <c r="A8" s="2937"/>
      <c r="B8" s="2944"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480" t="s">
        <v>533</v>
      </c>
      <c r="Q8" s="3481"/>
      <c r="R8" s="1567" t="s">
        <v>8</v>
      </c>
      <c r="S8" s="1568">
        <f t="shared" si="0"/>
        <v>0</v>
      </c>
      <c r="T8" s="1567" t="s">
        <v>8</v>
      </c>
      <c r="U8" s="1568">
        <f t="shared" si="1"/>
        <v>0</v>
      </c>
      <c r="V8" s="1567" t="s">
        <v>8</v>
      </c>
      <c r="W8" s="1568">
        <f t="shared" si="2"/>
        <v>0</v>
      </c>
      <c r="X8" s="1569"/>
      <c r="Y8" s="3480" t="s">
        <v>533</v>
      </c>
      <c r="Z8" s="3481"/>
      <c r="AA8" s="1570" t="e">
        <f t="shared" ref="AA8:AA36" si="3">D8/F8</f>
        <v>#DIV/0!</v>
      </c>
      <c r="AB8" s="1570" t="e">
        <f t="shared" ref="AB8:AB36" si="4">D8/H8</f>
        <v>#DIV/0!</v>
      </c>
      <c r="AC8" s="1570" t="e">
        <f t="shared" ref="AC8:AC36" si="5">D8/J8</f>
        <v>#DIV/0!</v>
      </c>
    </row>
    <row r="9" spans="1:29" s="1218" customFormat="1" ht="15">
      <c r="A9" s="2938"/>
      <c r="B9" s="2945"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488" t="s">
        <v>535</v>
      </c>
      <c r="Q9" s="1149" t="str">
        <f t="shared" ref="Q9:Q14" si="6">B9</f>
        <v>用途</v>
      </c>
      <c r="R9" s="1567" t="s">
        <v>8</v>
      </c>
      <c r="S9" s="1568">
        <f t="shared" si="0"/>
        <v>100</v>
      </c>
      <c r="T9" s="1567" t="s">
        <v>8</v>
      </c>
      <c r="U9" s="1568">
        <f t="shared" si="1"/>
        <v>100</v>
      </c>
      <c r="V9" s="1567" t="s">
        <v>8</v>
      </c>
      <c r="W9" s="1568">
        <f t="shared" si="2"/>
        <v>100</v>
      </c>
      <c r="X9" s="1569"/>
      <c r="Y9" s="3384" t="s">
        <v>536</v>
      </c>
      <c r="Z9" s="1148" t="str">
        <f t="shared" ref="Z9:Z14" si="7">Q9</f>
        <v>用途</v>
      </c>
      <c r="AA9" s="1570">
        <f t="shared" si="3"/>
        <v>1</v>
      </c>
      <c r="AB9" s="1570">
        <f t="shared" si="4"/>
        <v>1</v>
      </c>
      <c r="AC9" s="1570">
        <f t="shared" si="5"/>
        <v>1</v>
      </c>
    </row>
    <row r="10" spans="1:29" s="1336" customFormat="1" ht="27">
      <c r="A10" s="2939"/>
      <c r="B10" s="2944"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488"/>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1"/>
      <c r="B11" s="2947">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488"/>
      <c r="Q11" s="1149">
        <f t="shared" si="6"/>
        <v>111</v>
      </c>
      <c r="R11" s="1567" t="s">
        <v>8</v>
      </c>
      <c r="S11" s="1568">
        <f t="shared" si="0"/>
        <v>100</v>
      </c>
      <c r="T11" s="1567" t="s">
        <v>8</v>
      </c>
      <c r="U11" s="1568">
        <f t="shared" si="1"/>
        <v>100</v>
      </c>
      <c r="V11" s="1567" t="s">
        <v>8</v>
      </c>
      <c r="W11" s="1568">
        <f t="shared" si="2"/>
        <v>100</v>
      </c>
      <c r="X11" s="1569"/>
      <c r="Y11" s="3384"/>
      <c r="Z11" s="1148">
        <f t="shared" si="7"/>
        <v>111</v>
      </c>
      <c r="AA11" s="1570">
        <f t="shared" si="3"/>
        <v>1</v>
      </c>
      <c r="AB11" s="1570">
        <f t="shared" si="4"/>
        <v>1</v>
      </c>
      <c r="AC11" s="1570">
        <f t="shared" si="5"/>
        <v>1</v>
      </c>
    </row>
    <row r="12" spans="1:29" s="1218" customFormat="1" ht="15">
      <c r="A12" s="2941"/>
      <c r="B12" s="2947">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488"/>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75" thickBot="1">
      <c r="A13" s="2942"/>
      <c r="B13" s="2948">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488"/>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85.5">
      <c r="A14" s="2934" t="s">
        <v>2758</v>
      </c>
      <c r="B14" s="545" t="s">
        <v>543</v>
      </c>
      <c r="C14" s="919" t="str">
        <f>IF(B1="工业",估价对象房地状况!G4,估价对象房地状况!C6)</f>
        <v>估价对象周边道路状况、公共交通通达情况、停车便捷程度，综合评价交通便捷度好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490" t="s">
        <v>540</v>
      </c>
      <c r="Q14" s="1571" t="str">
        <f t="shared" si="6"/>
        <v>交通便捷度</v>
      </c>
      <c r="R14" s="1572" t="s">
        <v>8</v>
      </c>
      <c r="S14" s="1573">
        <f t="shared" si="0"/>
        <v>100</v>
      </c>
      <c r="T14" s="1572" t="s">
        <v>8</v>
      </c>
      <c r="U14" s="1573">
        <f t="shared" si="1"/>
        <v>100</v>
      </c>
      <c r="V14" s="1572" t="s">
        <v>8</v>
      </c>
      <c r="W14" s="1573">
        <f t="shared" si="2"/>
        <v>100</v>
      </c>
      <c r="X14" s="1566"/>
      <c r="Y14" s="3490"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491"/>
      <c r="Q15" s="1571"/>
      <c r="R15" s="1572"/>
      <c r="S15" s="1573"/>
      <c r="T15" s="1572"/>
      <c r="U15" s="1573"/>
      <c r="V15" s="1572"/>
      <c r="W15" s="1573"/>
      <c r="X15" s="1566"/>
      <c r="Y15" s="3491"/>
      <c r="Z15" s="1574"/>
      <c r="AA15" s="1575">
        <v>1</v>
      </c>
      <c r="AB15" s="1575">
        <v>1</v>
      </c>
      <c r="AC15" s="1575">
        <v>1</v>
      </c>
    </row>
    <row r="16" spans="1:29" ht="42.75">
      <c r="A16" s="513"/>
      <c r="B16" s="2627" t="s">
        <v>2550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491"/>
      <c r="Q16" s="1571" t="str">
        <f>B16</f>
        <v>公共配套设施</v>
      </c>
      <c r="R16" s="1572" t="s">
        <v>8</v>
      </c>
      <c r="S16" s="1573">
        <f>F16</f>
        <v>100</v>
      </c>
      <c r="T16" s="1572" t="s">
        <v>8</v>
      </c>
      <c r="U16" s="1573">
        <f>H16</f>
        <v>100</v>
      </c>
      <c r="V16" s="1572" t="s">
        <v>8</v>
      </c>
      <c r="W16" s="1573">
        <f>J16</f>
        <v>100</v>
      </c>
      <c r="X16" s="1566"/>
      <c r="Y16" s="3491"/>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491"/>
      <c r="Q17" s="1571"/>
      <c r="R17" s="1572"/>
      <c r="S17" s="1573"/>
      <c r="T17" s="1572"/>
      <c r="U17" s="1573"/>
      <c r="V17" s="1572"/>
      <c r="W17" s="1573"/>
      <c r="X17" s="1566"/>
      <c r="Y17" s="3491"/>
      <c r="Z17" s="1574"/>
      <c r="AA17" s="1575">
        <v>1</v>
      </c>
      <c r="AB17" s="1575">
        <v>1</v>
      </c>
      <c r="AC17" s="1575">
        <v>1</v>
      </c>
    </row>
    <row r="18" spans="1:29" ht="28.5">
      <c r="A18" s="513"/>
      <c r="B18" s="2615" t="s">
        <v>2562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491"/>
      <c r="Q18" s="2603" t="str">
        <f>B18</f>
        <v>基础设施水平</v>
      </c>
      <c r="R18" s="1572" t="s">
        <v>8</v>
      </c>
      <c r="S18" s="1573">
        <f>F18</f>
        <v>100</v>
      </c>
      <c r="T18" s="1572" t="s">
        <v>8</v>
      </c>
      <c r="U18" s="1573">
        <f>H18</f>
        <v>100</v>
      </c>
      <c r="V18" s="1572" t="s">
        <v>8</v>
      </c>
      <c r="W18" s="1573">
        <f>J18</f>
        <v>100</v>
      </c>
      <c r="X18" s="2605"/>
      <c r="Y18" s="3491"/>
      <c r="Z18" s="2604"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6"/>
      <c r="L19" s="2142"/>
      <c r="M19" s="2134"/>
      <c r="N19" s="2134"/>
      <c r="O19" s="2141"/>
      <c r="P19" s="3491"/>
      <c r="Q19" s="2603"/>
      <c r="R19" s="1572"/>
      <c r="S19" s="1573"/>
      <c r="T19" s="1572"/>
      <c r="U19" s="1573"/>
      <c r="V19" s="1572"/>
      <c r="W19" s="1573"/>
      <c r="X19" s="2605"/>
      <c r="Y19" s="3491"/>
      <c r="Z19" s="2604"/>
      <c r="AA19" s="1575">
        <v>1</v>
      </c>
      <c r="AB19" s="1575">
        <v>1</v>
      </c>
      <c r="AC19" s="1575">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491"/>
      <c r="Q20" s="1571" t="str">
        <f>B20</f>
        <v>自然及人文环境</v>
      </c>
      <c r="R20" s="1572" t="s">
        <v>8</v>
      </c>
      <c r="S20" s="1573">
        <f>F20</f>
        <v>100</v>
      </c>
      <c r="T20" s="1572" t="s">
        <v>8</v>
      </c>
      <c r="U20" s="1573">
        <f>H20</f>
        <v>100</v>
      </c>
      <c r="V20" s="1572" t="s">
        <v>8</v>
      </c>
      <c r="W20" s="1573">
        <f>J20</f>
        <v>100</v>
      </c>
      <c r="X20" s="1566"/>
      <c r="Y20" s="3491"/>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491"/>
      <c r="Q21" s="1571"/>
      <c r="R21" s="1572"/>
      <c r="S21" s="1573"/>
      <c r="T21" s="1572"/>
      <c r="U21" s="1573"/>
      <c r="V21" s="1572"/>
      <c r="W21" s="1573"/>
      <c r="X21" s="1566"/>
      <c r="Y21" s="3491"/>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491"/>
      <c r="Q22" s="1571" t="str">
        <f>B22</f>
        <v>楼层</v>
      </c>
      <c r="R22" s="1572" t="s">
        <v>8</v>
      </c>
      <c r="S22" s="1573">
        <f>F22</f>
        <v>100</v>
      </c>
      <c r="T22" s="1572" t="s">
        <v>8</v>
      </c>
      <c r="U22" s="1573">
        <f>H22</f>
        <v>100</v>
      </c>
      <c r="V22" s="1572" t="s">
        <v>8</v>
      </c>
      <c r="W22" s="1573">
        <f>J22</f>
        <v>100</v>
      </c>
      <c r="X22" s="1566"/>
      <c r="Y22" s="3491"/>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491"/>
      <c r="Q23" s="1571">
        <f>B23</f>
        <v>111</v>
      </c>
      <c r="R23" s="1572" t="s">
        <v>8</v>
      </c>
      <c r="S23" s="1573">
        <f>F23</f>
        <v>100</v>
      </c>
      <c r="T23" s="1572" t="s">
        <v>8</v>
      </c>
      <c r="U23" s="1573">
        <f>H23</f>
        <v>100</v>
      </c>
      <c r="V23" s="1572" t="s">
        <v>8</v>
      </c>
      <c r="W23" s="1573">
        <f>J23</f>
        <v>100</v>
      </c>
      <c r="X23" s="1566"/>
      <c r="Y23" s="3491"/>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491"/>
      <c r="Q24" s="1571">
        <f t="shared" ref="Q24:Q36" si="11">B24</f>
        <v>111</v>
      </c>
      <c r="R24" s="1572" t="s">
        <v>8</v>
      </c>
      <c r="S24" s="1573">
        <f>F24</f>
        <v>100</v>
      </c>
      <c r="T24" s="1572" t="s">
        <v>8</v>
      </c>
      <c r="U24" s="1573">
        <f>H24</f>
        <v>100</v>
      </c>
      <c r="V24" s="1572" t="s">
        <v>8</v>
      </c>
      <c r="W24" s="1573">
        <f>J24</f>
        <v>100</v>
      </c>
      <c r="X24" s="1566"/>
      <c r="Y24" s="3491"/>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491"/>
      <c r="Q25" s="1149">
        <f t="shared" si="11"/>
        <v>111</v>
      </c>
      <c r="R25" s="1567" t="s">
        <v>8</v>
      </c>
      <c r="S25" s="1568">
        <f>F25</f>
        <v>100</v>
      </c>
      <c r="T25" s="1567" t="s">
        <v>8</v>
      </c>
      <c r="U25" s="1568">
        <f>H25</f>
        <v>100</v>
      </c>
      <c r="V25" s="1567" t="s">
        <v>8</v>
      </c>
      <c r="W25" s="1568">
        <f>J25</f>
        <v>100</v>
      </c>
      <c r="X25" s="1569"/>
      <c r="Y25" s="3491"/>
      <c r="Z25" s="1148">
        <f>Q25</f>
        <v>111</v>
      </c>
      <c r="AA25" s="1575">
        <f>D25/F25</f>
        <v>1</v>
      </c>
      <c r="AB25" s="1575">
        <f>D25/H25</f>
        <v>1</v>
      </c>
      <c r="AC25" s="1575">
        <f>D25/J25</f>
        <v>1</v>
      </c>
    </row>
    <row r="26" spans="1:29" ht="15">
      <c r="A26" s="2931"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49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93"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493"/>
      <c r="Q27" s="1604" t="str">
        <f t="shared" si="11"/>
        <v>项目停车位配比</v>
      </c>
      <c r="R27" s="1576" t="s">
        <v>8</v>
      </c>
      <c r="S27" s="1577">
        <f t="shared" si="12"/>
        <v>100</v>
      </c>
      <c r="T27" s="1576" t="s">
        <v>8</v>
      </c>
      <c r="U27" s="1577">
        <f t="shared" si="13"/>
        <v>100</v>
      </c>
      <c r="V27" s="1576" t="s">
        <v>8</v>
      </c>
      <c r="W27" s="1577">
        <f t="shared" si="14"/>
        <v>100</v>
      </c>
      <c r="X27" s="1578"/>
      <c r="Y27" s="3493"/>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493"/>
      <c r="Q28" s="1571" t="str">
        <f t="shared" si="11"/>
        <v>公共部分装修</v>
      </c>
      <c r="R28" s="1572" t="s">
        <v>8</v>
      </c>
      <c r="S28" s="1573">
        <f t="shared" si="12"/>
        <v>100</v>
      </c>
      <c r="T28" s="1572" t="s">
        <v>8</v>
      </c>
      <c r="U28" s="1573">
        <f t="shared" si="13"/>
        <v>100</v>
      </c>
      <c r="V28" s="1572" t="s">
        <v>8</v>
      </c>
      <c r="W28" s="1573">
        <f t="shared" si="14"/>
        <v>100</v>
      </c>
      <c r="X28" s="1566"/>
      <c r="Y28" s="3493"/>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493"/>
      <c r="Q29" s="1571" t="str">
        <f t="shared" si="11"/>
        <v>成新率</v>
      </c>
      <c r="R29" s="1572" t="s">
        <v>8</v>
      </c>
      <c r="S29" s="1573" t="e">
        <f t="shared" si="12"/>
        <v>#N/A</v>
      </c>
      <c r="T29" s="1572" t="s">
        <v>8</v>
      </c>
      <c r="U29" s="1573" t="e">
        <f t="shared" si="13"/>
        <v>#N/A</v>
      </c>
      <c r="V29" s="1572" t="s">
        <v>8</v>
      </c>
      <c r="W29" s="1573" t="e">
        <f t="shared" si="14"/>
        <v>#N/A</v>
      </c>
      <c r="X29" s="1566"/>
      <c r="Y29" s="3493"/>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493"/>
      <c r="Q30" s="1571" t="str">
        <f t="shared" si="11"/>
        <v>物业等级</v>
      </c>
      <c r="R30" s="1572" t="s">
        <v>8</v>
      </c>
      <c r="S30" s="1573">
        <f t="shared" si="12"/>
        <v>100</v>
      </c>
      <c r="T30" s="1572" t="s">
        <v>8</v>
      </c>
      <c r="U30" s="1573">
        <f t="shared" si="13"/>
        <v>100</v>
      </c>
      <c r="V30" s="1572" t="s">
        <v>8</v>
      </c>
      <c r="W30" s="1573">
        <f t="shared" si="14"/>
        <v>100</v>
      </c>
      <c r="X30" s="1566"/>
      <c r="Y30" s="3493"/>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493"/>
      <c r="Q31" s="1149" t="str">
        <f t="shared" si="11"/>
        <v>停车位面积</v>
      </c>
      <c r="R31" s="1567" t="s">
        <v>8</v>
      </c>
      <c r="S31" s="1568" t="e">
        <f t="shared" si="12"/>
        <v>#N/A</v>
      </c>
      <c r="T31" s="1567" t="s">
        <v>8</v>
      </c>
      <c r="U31" s="1568" t="e">
        <f t="shared" si="13"/>
        <v>#N/A</v>
      </c>
      <c r="V31" s="1567" t="s">
        <v>8</v>
      </c>
      <c r="W31" s="1568" t="e">
        <f t="shared" si="14"/>
        <v>#N/A</v>
      </c>
      <c r="X31" s="1569"/>
      <c r="Y31" s="3493"/>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493" t="s">
        <v>550</v>
      </c>
      <c r="Q32" s="1571" t="str">
        <f t="shared" si="11"/>
        <v>车位类型</v>
      </c>
      <c r="R32" s="1572" t="s">
        <v>8</v>
      </c>
      <c r="S32" s="1573">
        <f t="shared" si="12"/>
        <v>100</v>
      </c>
      <c r="T32" s="1572" t="s">
        <v>8</v>
      </c>
      <c r="U32" s="1573">
        <f t="shared" si="13"/>
        <v>100</v>
      </c>
      <c r="V32" s="1572" t="s">
        <v>8</v>
      </c>
      <c r="W32" s="1573">
        <f t="shared" si="14"/>
        <v>100</v>
      </c>
      <c r="X32" s="1566"/>
      <c r="Y32" s="3493"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493"/>
      <c r="Q33" s="1571" t="str">
        <f t="shared" si="11"/>
        <v>是否直接入户</v>
      </c>
      <c r="R33" s="1572" t="s">
        <v>8</v>
      </c>
      <c r="S33" s="1573">
        <f t="shared" si="12"/>
        <v>100</v>
      </c>
      <c r="T33" s="1572" t="s">
        <v>8</v>
      </c>
      <c r="U33" s="1573">
        <f t="shared" si="13"/>
        <v>100</v>
      </c>
      <c r="V33" s="1572" t="s">
        <v>8</v>
      </c>
      <c r="W33" s="1573">
        <f t="shared" si="14"/>
        <v>100</v>
      </c>
      <c r="X33" s="1566"/>
      <c r="Y33" s="3493"/>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493"/>
      <c r="Q34" s="1571">
        <f t="shared" si="11"/>
        <v>111</v>
      </c>
      <c r="R34" s="1572" t="s">
        <v>8</v>
      </c>
      <c r="S34" s="1573">
        <f t="shared" si="12"/>
        <v>100</v>
      </c>
      <c r="T34" s="1572" t="s">
        <v>8</v>
      </c>
      <c r="U34" s="1573">
        <f t="shared" si="13"/>
        <v>100</v>
      </c>
      <c r="V34" s="1572" t="s">
        <v>8</v>
      </c>
      <c r="W34" s="1573">
        <f t="shared" si="14"/>
        <v>100</v>
      </c>
      <c r="X34" s="1566"/>
      <c r="Y34" s="3493"/>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493"/>
      <c r="Q35" s="1604">
        <f t="shared" si="11"/>
        <v>111</v>
      </c>
      <c r="R35" s="1576" t="s">
        <v>8</v>
      </c>
      <c r="S35" s="1577">
        <f t="shared" si="12"/>
        <v>100</v>
      </c>
      <c r="T35" s="1576" t="s">
        <v>8</v>
      </c>
      <c r="U35" s="1577">
        <f t="shared" si="13"/>
        <v>100</v>
      </c>
      <c r="V35" s="1576" t="s">
        <v>8</v>
      </c>
      <c r="W35" s="1577">
        <f t="shared" si="14"/>
        <v>100</v>
      </c>
      <c r="X35" s="1578"/>
      <c r="Y35" s="3493"/>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493"/>
      <c r="Q36" s="1571">
        <f t="shared" si="11"/>
        <v>111</v>
      </c>
      <c r="R36" s="1572" t="s">
        <v>8</v>
      </c>
      <c r="S36" s="1573">
        <f t="shared" si="12"/>
        <v>100</v>
      </c>
      <c r="T36" s="1572" t="s">
        <v>8</v>
      </c>
      <c r="U36" s="1573">
        <f t="shared" si="13"/>
        <v>100</v>
      </c>
      <c r="V36" s="1572" t="s">
        <v>8</v>
      </c>
      <c r="W36" s="1573">
        <f t="shared" si="14"/>
        <v>100</v>
      </c>
      <c r="X36" s="1566"/>
      <c r="Y36" s="3493"/>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488" t="str">
        <f>A37</f>
        <v>成交单价</v>
      </c>
      <c r="Q37" s="3488"/>
      <c r="R37" s="3588">
        <f>E37</f>
        <v>0</v>
      </c>
      <c r="S37" s="3588"/>
      <c r="T37" s="3588">
        <f>G37</f>
        <v>0</v>
      </c>
      <c r="U37" s="3588"/>
      <c r="V37" s="3588">
        <f>I37</f>
        <v>0</v>
      </c>
      <c r="W37" s="3588"/>
      <c r="X37" s="1558"/>
      <c r="Y37" s="1580"/>
      <c r="Z37" s="1558"/>
      <c r="AA37" s="1558"/>
      <c r="AB37" s="1558"/>
      <c r="AC37" s="1558"/>
    </row>
    <row r="38" spans="1:29" ht="15.75" thickBot="1">
      <c r="A38" s="613" t="s">
        <v>2764</v>
      </c>
      <c r="B38" s="886"/>
      <c r="C38" s="2657" t="e">
        <f>R39</f>
        <v>#DIV/0!</v>
      </c>
      <c r="D38" s="2658"/>
      <c r="E38" s="2659" t="e">
        <f>R38</f>
        <v>#DIV/0!</v>
      </c>
      <c r="F38" s="2659"/>
      <c r="G38" s="2657" t="e">
        <f>T38</f>
        <v>#DIV/0!</v>
      </c>
      <c r="H38" s="2658"/>
      <c r="I38" s="2659" t="e">
        <f>V38</f>
        <v>#DIV/0!</v>
      </c>
      <c r="J38" s="2658"/>
      <c r="K38" s="1611"/>
      <c r="L38" s="2144"/>
      <c r="M38" s="2145"/>
      <c r="N38" s="2145"/>
      <c r="O38" s="2145"/>
      <c r="P38" s="3488" t="str">
        <f>A38</f>
        <v>比较价格（元/平方米）</v>
      </c>
      <c r="Q38" s="3488"/>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558"/>
      <c r="Y38" s="1558"/>
      <c r="Z38" s="1558"/>
      <c r="AA38" s="1558"/>
      <c r="AB38" s="1558"/>
      <c r="AC38" s="1558"/>
    </row>
    <row r="39" spans="1:29" ht="15.75" thickBot="1">
      <c r="A39" s="619" t="s">
        <v>2939</v>
      </c>
      <c r="B39" s="620"/>
      <c r="C39" s="2660" t="e">
        <f>R39</f>
        <v>#DIV/0!</v>
      </c>
      <c r="D39" s="2660"/>
      <c r="E39" s="2660"/>
      <c r="F39" s="2660"/>
      <c r="G39" s="2660"/>
      <c r="H39" s="2660"/>
      <c r="I39" s="2660"/>
      <c r="J39" s="2660"/>
      <c r="K39" s="1612"/>
      <c r="L39" s="2144"/>
      <c r="M39" s="2145"/>
      <c r="N39" s="2145"/>
      <c r="O39" s="2145"/>
      <c r="P39" s="3509" t="str">
        <f>A39</f>
        <v>估价对象XX用房的比较价格（楼面单价，元/平方米）</v>
      </c>
      <c r="Q39" s="3510"/>
      <c r="R39" s="3587" t="e">
        <f>IF(F1="售价",ROUND(AVERAGE(R38:V38),0),ROUND(AVERAGE(R38:V38),1))</f>
        <v>#DIV/0!</v>
      </c>
      <c r="S39" s="3587"/>
      <c r="T39" s="3587"/>
      <c r="U39" s="3587"/>
      <c r="V39" s="3587"/>
      <c r="W39" s="35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7">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21" t="s">
        <v>2562</v>
      </c>
      <c r="C67" s="2622" t="s">
        <v>2563</v>
      </c>
      <c r="D67" s="2622" t="s">
        <v>2564</v>
      </c>
      <c r="E67" s="2622" t="s">
        <v>2565</v>
      </c>
      <c r="F67" s="2622" t="s">
        <v>2566</v>
      </c>
      <c r="G67" s="2622" t="s">
        <v>2567</v>
      </c>
      <c r="H67" s="672"/>
      <c r="I67" s="672"/>
      <c r="J67" s="672"/>
      <c r="K67" s="672"/>
      <c r="L67" s="672"/>
      <c r="M67" s="2625"/>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494" t="s">
        <v>798</v>
      </c>
      <c r="D4" s="3495"/>
      <c r="E4" s="3518" t="s">
        <v>799</v>
      </c>
      <c r="F4" s="3519"/>
      <c r="G4" s="3494" t="s">
        <v>800</v>
      </c>
      <c r="H4" s="3495"/>
      <c r="I4" s="3494" t="s">
        <v>801</v>
      </c>
      <c r="J4" s="3495"/>
      <c r="K4" s="512" t="s">
        <v>802</v>
      </c>
      <c r="L4" s="2133"/>
      <c r="M4" s="2134"/>
      <c r="N4" s="2134"/>
      <c r="O4" s="2134"/>
      <c r="P4" s="3496" t="s">
        <v>803</v>
      </c>
      <c r="Q4" s="3497"/>
      <c r="R4" s="3482" t="s">
        <v>799</v>
      </c>
      <c r="S4" s="3483"/>
      <c r="T4" s="3482" t="s">
        <v>800</v>
      </c>
      <c r="U4" s="3483"/>
      <c r="V4" s="3502" t="s">
        <v>801</v>
      </c>
      <c r="W4" s="3502"/>
      <c r="X4" s="1566"/>
      <c r="Y4" s="3482" t="s">
        <v>803</v>
      </c>
      <c r="Z4" s="3483"/>
      <c r="AA4" s="3477" t="s">
        <v>799</v>
      </c>
      <c r="AB4" s="3478" t="s">
        <v>800</v>
      </c>
      <c r="AC4" s="3477" t="s">
        <v>801</v>
      </c>
    </row>
    <row r="5" spans="1:29" ht="15">
      <c r="A5" s="513"/>
      <c r="B5" s="514"/>
      <c r="C5" s="3505" t="s">
        <v>2933</v>
      </c>
      <c r="D5" s="3506"/>
      <c r="E5" s="3520" t="s">
        <v>2934</v>
      </c>
      <c r="F5" s="3521"/>
      <c r="G5" s="3505" t="s">
        <v>2935</v>
      </c>
      <c r="H5" s="3506"/>
      <c r="I5" s="3505" t="s">
        <v>2936</v>
      </c>
      <c r="J5" s="3506"/>
      <c r="K5" s="512"/>
      <c r="L5" s="2133"/>
      <c r="M5" s="2134"/>
      <c r="N5" s="2134"/>
      <c r="O5" s="2134"/>
      <c r="P5" s="3498"/>
      <c r="Q5" s="3499"/>
      <c r="R5" s="3484"/>
      <c r="S5" s="3485"/>
      <c r="T5" s="3484"/>
      <c r="U5" s="3485"/>
      <c r="V5" s="3502"/>
      <c r="W5" s="3502"/>
      <c r="X5" s="1566"/>
      <c r="Y5" s="3484"/>
      <c r="Z5" s="3485"/>
      <c r="AA5" s="3478"/>
      <c r="AB5" s="3478"/>
      <c r="AC5" s="3478"/>
    </row>
    <row r="6" spans="1:29" ht="15.75" thickBot="1">
      <c r="A6" s="515"/>
      <c r="B6" s="516"/>
      <c r="C6" s="3503" t="s">
        <v>2937</v>
      </c>
      <c r="D6" s="3504"/>
      <c r="E6" s="3522" t="s">
        <v>2937</v>
      </c>
      <c r="F6" s="3523"/>
      <c r="G6" s="3503" t="s">
        <v>2937</v>
      </c>
      <c r="H6" s="3504"/>
      <c r="I6" s="3503" t="s">
        <v>2937</v>
      </c>
      <c r="J6" s="3504"/>
      <c r="K6" s="512" t="s">
        <v>528</v>
      </c>
      <c r="L6" s="2133"/>
      <c r="M6" s="2134"/>
      <c r="N6" s="2134"/>
      <c r="O6" s="2134"/>
      <c r="P6" s="3500"/>
      <c r="Q6" s="3501"/>
      <c r="R6" s="3484"/>
      <c r="S6" s="3485"/>
      <c r="T6" s="3486"/>
      <c r="U6" s="3487"/>
      <c r="V6" s="3502"/>
      <c r="W6" s="3502"/>
      <c r="X6" s="1566"/>
      <c r="Y6" s="3486"/>
      <c r="Z6" s="3487"/>
      <c r="AA6" s="3479"/>
      <c r="AB6" s="3479"/>
      <c r="AC6" s="3479"/>
    </row>
    <row r="7" spans="1:29" s="1218" customFormat="1" ht="15.75" thickBot="1">
      <c r="A7" s="2936"/>
      <c r="B7" s="2943"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480" t="s">
        <v>530</v>
      </c>
      <c r="Q7" s="3489"/>
      <c r="R7" s="1567" t="s">
        <v>8</v>
      </c>
      <c r="S7" s="1568">
        <f t="shared" ref="S7:S14" si="0">F7</f>
        <v>0</v>
      </c>
      <c r="T7" s="1567" t="s">
        <v>8</v>
      </c>
      <c r="U7" s="1568">
        <f t="shared" ref="U7:U14" si="1">H7</f>
        <v>0</v>
      </c>
      <c r="V7" s="1567" t="s">
        <v>8</v>
      </c>
      <c r="W7" s="1568">
        <f t="shared" ref="W7:W14" si="2">J7</f>
        <v>0</v>
      </c>
      <c r="X7" s="1569"/>
      <c r="Y7" s="3480" t="s">
        <v>530</v>
      </c>
      <c r="Z7" s="3481"/>
      <c r="AA7" s="1570" t="e">
        <f>D7/F7</f>
        <v>#DIV/0!</v>
      </c>
      <c r="AB7" s="1570" t="e">
        <f>D7/H7</f>
        <v>#DIV/0!</v>
      </c>
      <c r="AC7" s="1570" t="e">
        <f>D7/J7</f>
        <v>#DIV/0!</v>
      </c>
    </row>
    <row r="8" spans="1:29" s="1218" customFormat="1" ht="15.75" thickBot="1">
      <c r="A8" s="2937"/>
      <c r="B8" s="2944"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480" t="s">
        <v>533</v>
      </c>
      <c r="Q8" s="3481"/>
      <c r="R8" s="1567" t="s">
        <v>8</v>
      </c>
      <c r="S8" s="1568">
        <f t="shared" si="0"/>
        <v>0</v>
      </c>
      <c r="T8" s="1567" t="s">
        <v>8</v>
      </c>
      <c r="U8" s="1568">
        <f t="shared" si="1"/>
        <v>0</v>
      </c>
      <c r="V8" s="1567" t="s">
        <v>8</v>
      </c>
      <c r="W8" s="1568">
        <f t="shared" si="2"/>
        <v>0</v>
      </c>
      <c r="X8" s="1569"/>
      <c r="Y8" s="3480" t="s">
        <v>533</v>
      </c>
      <c r="Z8" s="3481"/>
      <c r="AA8" s="1570" t="e">
        <f t="shared" ref="AA8:AA34" si="3">D8/F8</f>
        <v>#DIV/0!</v>
      </c>
      <c r="AB8" s="1570" t="e">
        <f t="shared" ref="AB8:AB34" si="4">D8/H8</f>
        <v>#DIV/0!</v>
      </c>
      <c r="AC8" s="1570" t="e">
        <f t="shared" ref="AC8:AC34" si="5">D8/J8</f>
        <v>#DIV/0!</v>
      </c>
    </row>
    <row r="9" spans="1:29" s="1218" customFormat="1" ht="15">
      <c r="A9" s="2938"/>
      <c r="B9" s="2945"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488" t="s">
        <v>535</v>
      </c>
      <c r="Q9" s="1149" t="str">
        <f t="shared" ref="Q9:Q14" si="6">B9</f>
        <v>用途</v>
      </c>
      <c r="R9" s="1567" t="s">
        <v>8</v>
      </c>
      <c r="S9" s="1568">
        <f t="shared" si="0"/>
        <v>100</v>
      </c>
      <c r="T9" s="1567" t="s">
        <v>8</v>
      </c>
      <c r="U9" s="1568">
        <f t="shared" si="1"/>
        <v>100</v>
      </c>
      <c r="V9" s="1567" t="s">
        <v>8</v>
      </c>
      <c r="W9" s="1568">
        <f t="shared" si="2"/>
        <v>100</v>
      </c>
      <c r="X9" s="1569"/>
      <c r="Y9" s="3384" t="s">
        <v>536</v>
      </c>
      <c r="Z9" s="1148" t="str">
        <f t="shared" ref="Z9:Z14" si="7">Q9</f>
        <v>用途</v>
      </c>
      <c r="AA9" s="1570">
        <f t="shared" si="3"/>
        <v>1</v>
      </c>
      <c r="AB9" s="1570">
        <f t="shared" si="4"/>
        <v>1</v>
      </c>
      <c r="AC9" s="1570">
        <f t="shared" si="5"/>
        <v>1</v>
      </c>
    </row>
    <row r="10" spans="1:29" s="1336" customFormat="1" ht="27">
      <c r="A10" s="2939"/>
      <c r="B10" s="2944"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488"/>
      <c r="Q10" s="1149" t="str">
        <f t="shared" si="6"/>
        <v>土地使用年限（年）</v>
      </c>
      <c r="R10" s="1567" t="s">
        <v>8</v>
      </c>
      <c r="S10" s="1568">
        <f t="shared" si="0"/>
        <v>100</v>
      </c>
      <c r="T10" s="1567" t="s">
        <v>8</v>
      </c>
      <c r="U10" s="1568">
        <f t="shared" si="1"/>
        <v>100</v>
      </c>
      <c r="V10" s="1567" t="s">
        <v>8</v>
      </c>
      <c r="W10" s="1568">
        <f t="shared" si="2"/>
        <v>100</v>
      </c>
      <c r="X10" s="1569"/>
      <c r="Y10" s="3384"/>
      <c r="Z10" s="1148" t="str">
        <f t="shared" si="7"/>
        <v>土地使用年限（年）</v>
      </c>
      <c r="AA10" s="1570">
        <f t="shared" si="3"/>
        <v>1</v>
      </c>
      <c r="AB10" s="1570">
        <f t="shared" si="4"/>
        <v>1</v>
      </c>
      <c r="AC10" s="1570">
        <f t="shared" si="5"/>
        <v>1</v>
      </c>
    </row>
    <row r="11" spans="1:29" ht="15">
      <c r="A11" s="2941"/>
      <c r="B11" s="2947">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488"/>
      <c r="Q11" s="1149">
        <f t="shared" si="6"/>
        <v>111</v>
      </c>
      <c r="R11" s="1567" t="s">
        <v>8</v>
      </c>
      <c r="S11" s="1568">
        <f t="shared" si="0"/>
        <v>100</v>
      </c>
      <c r="T11" s="1567" t="s">
        <v>8</v>
      </c>
      <c r="U11" s="1568">
        <f t="shared" si="1"/>
        <v>100</v>
      </c>
      <c r="V11" s="1567" t="s">
        <v>8</v>
      </c>
      <c r="W11" s="1568">
        <f t="shared" si="2"/>
        <v>100</v>
      </c>
      <c r="X11" s="1569"/>
      <c r="Y11" s="3384"/>
      <c r="Z11" s="1148">
        <f t="shared" si="7"/>
        <v>111</v>
      </c>
      <c r="AA11" s="1570">
        <f t="shared" si="3"/>
        <v>1</v>
      </c>
      <c r="AB11" s="1570">
        <f t="shared" si="4"/>
        <v>1</v>
      </c>
      <c r="AC11" s="1570">
        <f t="shared" si="5"/>
        <v>1</v>
      </c>
    </row>
    <row r="12" spans="1:29" s="1218" customFormat="1" ht="15">
      <c r="A12" s="2941"/>
      <c r="B12" s="2947">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488"/>
      <c r="Q12" s="1149">
        <f t="shared" si="6"/>
        <v>111</v>
      </c>
      <c r="R12" s="1567" t="s">
        <v>8</v>
      </c>
      <c r="S12" s="1568">
        <f t="shared" si="0"/>
        <v>100</v>
      </c>
      <c r="T12" s="1567" t="s">
        <v>8</v>
      </c>
      <c r="U12" s="1568">
        <f t="shared" si="1"/>
        <v>100</v>
      </c>
      <c r="V12" s="1567" t="s">
        <v>8</v>
      </c>
      <c r="W12" s="1568">
        <f t="shared" si="2"/>
        <v>100</v>
      </c>
      <c r="X12" s="1569"/>
      <c r="Y12" s="3384"/>
      <c r="Z12" s="1148">
        <f t="shared" si="7"/>
        <v>111</v>
      </c>
      <c r="AA12" s="1570">
        <f>D12/F12</f>
        <v>1</v>
      </c>
      <c r="AB12" s="1570">
        <f>D12/H12</f>
        <v>1</v>
      </c>
      <c r="AC12" s="1570">
        <f>D12/J12</f>
        <v>1</v>
      </c>
    </row>
    <row r="13" spans="1:29" ht="15.75" thickBot="1">
      <c r="A13" s="2942"/>
      <c r="B13" s="2948">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488"/>
      <c r="Q13" s="1149">
        <f t="shared" si="6"/>
        <v>111</v>
      </c>
      <c r="R13" s="1567" t="s">
        <v>8</v>
      </c>
      <c r="S13" s="1568">
        <f t="shared" si="0"/>
        <v>100</v>
      </c>
      <c r="T13" s="1567" t="s">
        <v>8</v>
      </c>
      <c r="U13" s="1568">
        <f t="shared" si="1"/>
        <v>100</v>
      </c>
      <c r="V13" s="1567" t="s">
        <v>8</v>
      </c>
      <c r="W13" s="1568">
        <f t="shared" si="2"/>
        <v>100</v>
      </c>
      <c r="X13" s="1569"/>
      <c r="Y13" s="3384"/>
      <c r="Z13" s="1148">
        <f t="shared" si="7"/>
        <v>111</v>
      </c>
      <c r="AA13" s="1570">
        <f t="shared" si="3"/>
        <v>1</v>
      </c>
      <c r="AB13" s="1570">
        <f t="shared" si="4"/>
        <v>1</v>
      </c>
      <c r="AC13" s="1570">
        <f t="shared" si="5"/>
        <v>1</v>
      </c>
    </row>
    <row r="14" spans="1:29" ht="85.5">
      <c r="A14" s="2934" t="s">
        <v>2758</v>
      </c>
      <c r="B14" s="164" t="s">
        <v>543</v>
      </c>
      <c r="C14" s="919" t="str">
        <f>IF(B1="工业",估价对象房地状况!G4,估价对象房地状况!C6)</f>
        <v>估价对象周边道路状况、公共交通通达情况、停车便捷程度，综合评价交通便捷度好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490" t="s">
        <v>540</v>
      </c>
      <c r="Q14" s="1571" t="str">
        <f t="shared" si="6"/>
        <v>交通便捷度</v>
      </c>
      <c r="R14" s="1572" t="s">
        <v>8</v>
      </c>
      <c r="S14" s="1573">
        <f t="shared" si="0"/>
        <v>100</v>
      </c>
      <c r="T14" s="1572" t="s">
        <v>8</v>
      </c>
      <c r="U14" s="1573">
        <f t="shared" si="1"/>
        <v>100</v>
      </c>
      <c r="V14" s="1572" t="s">
        <v>8</v>
      </c>
      <c r="W14" s="1573">
        <f t="shared" si="2"/>
        <v>100</v>
      </c>
      <c r="X14" s="1566"/>
      <c r="Y14" s="3490"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491"/>
      <c r="Q15" s="1571"/>
      <c r="R15" s="1572"/>
      <c r="S15" s="1573"/>
      <c r="T15" s="1572"/>
      <c r="U15" s="1573"/>
      <c r="V15" s="1572"/>
      <c r="W15" s="1573"/>
      <c r="X15" s="1566"/>
      <c r="Y15" s="3491"/>
      <c r="Z15" s="1574"/>
      <c r="AA15" s="1575">
        <v>1</v>
      </c>
      <c r="AB15" s="1575">
        <v>1</v>
      </c>
      <c r="AC15" s="1575">
        <v>1</v>
      </c>
    </row>
    <row r="16" spans="1:29" ht="42.75">
      <c r="A16" s="530"/>
      <c r="B16" s="2627" t="s">
        <v>2550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491"/>
      <c r="Q16" s="1571" t="str">
        <f>B16</f>
        <v>公共配套设施</v>
      </c>
      <c r="R16" s="1572" t="s">
        <v>8</v>
      </c>
      <c r="S16" s="1573">
        <f>F16</f>
        <v>100</v>
      </c>
      <c r="T16" s="1572" t="s">
        <v>8</v>
      </c>
      <c r="U16" s="1573">
        <f>H16</f>
        <v>100</v>
      </c>
      <c r="V16" s="1572" t="s">
        <v>8</v>
      </c>
      <c r="W16" s="1573">
        <f>J16</f>
        <v>100</v>
      </c>
      <c r="X16" s="1566"/>
      <c r="Y16" s="3491"/>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491"/>
      <c r="Q17" s="1571"/>
      <c r="R17" s="1572"/>
      <c r="S17" s="1573"/>
      <c r="T17" s="1572"/>
      <c r="U17" s="1573"/>
      <c r="V17" s="1572"/>
      <c r="W17" s="1573"/>
      <c r="X17" s="1566"/>
      <c r="Y17" s="3491"/>
      <c r="Z17" s="1574"/>
      <c r="AA17" s="1575">
        <v>1</v>
      </c>
      <c r="AB17" s="1575">
        <v>1</v>
      </c>
      <c r="AC17" s="1575">
        <v>1</v>
      </c>
    </row>
    <row r="18" spans="1:29" ht="28.5">
      <c r="A18" s="530"/>
      <c r="B18" s="2615" t="s">
        <v>2562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491"/>
      <c r="Q18" s="2603" t="str">
        <f>B18</f>
        <v>基础设施水平</v>
      </c>
      <c r="R18" s="1572" t="s">
        <v>8</v>
      </c>
      <c r="S18" s="1573">
        <f>F18</f>
        <v>100</v>
      </c>
      <c r="T18" s="1572" t="s">
        <v>8</v>
      </c>
      <c r="U18" s="1573">
        <f>H18</f>
        <v>100</v>
      </c>
      <c r="V18" s="1572" t="s">
        <v>8</v>
      </c>
      <c r="W18" s="1573">
        <f>J18</f>
        <v>100</v>
      </c>
      <c r="X18" s="2605"/>
      <c r="Y18" s="3491"/>
      <c r="Z18" s="2604"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6"/>
      <c r="L19" s="2142"/>
      <c r="M19" s="2134"/>
      <c r="N19" s="2134"/>
      <c r="O19" s="2141"/>
      <c r="P19" s="3491"/>
      <c r="Q19" s="2603"/>
      <c r="R19" s="1572"/>
      <c r="S19" s="1573"/>
      <c r="T19" s="1572"/>
      <c r="U19" s="1573"/>
      <c r="V19" s="1572"/>
      <c r="W19" s="1573"/>
      <c r="X19" s="2605"/>
      <c r="Y19" s="3491"/>
      <c r="Z19" s="2604"/>
      <c r="AA19" s="1575">
        <v>1</v>
      </c>
      <c r="AB19" s="1575">
        <v>1</v>
      </c>
      <c r="AC19" s="1575">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491"/>
      <c r="Q20" s="1571" t="str">
        <f>B20</f>
        <v>自然及人文环境</v>
      </c>
      <c r="R20" s="1572" t="s">
        <v>8</v>
      </c>
      <c r="S20" s="1573">
        <f>F20</f>
        <v>100</v>
      </c>
      <c r="T20" s="1572" t="s">
        <v>8</v>
      </c>
      <c r="U20" s="1573">
        <f>H20</f>
        <v>100</v>
      </c>
      <c r="V20" s="1572" t="s">
        <v>8</v>
      </c>
      <c r="W20" s="1573">
        <f>J20</f>
        <v>100</v>
      </c>
      <c r="X20" s="1566"/>
      <c r="Y20" s="3491"/>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491"/>
      <c r="Q21" s="1571"/>
      <c r="R21" s="1572"/>
      <c r="S21" s="1573"/>
      <c r="T21" s="1572"/>
      <c r="U21" s="1573"/>
      <c r="V21" s="1572"/>
      <c r="W21" s="1573"/>
      <c r="X21" s="1566"/>
      <c r="Y21" s="3491"/>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491"/>
      <c r="Q22" s="1571" t="str">
        <f>B22</f>
        <v>楼层</v>
      </c>
      <c r="R22" s="1572" t="s">
        <v>8</v>
      </c>
      <c r="S22" s="1573">
        <f>F22</f>
        <v>100</v>
      </c>
      <c r="T22" s="1572" t="s">
        <v>8</v>
      </c>
      <c r="U22" s="1573">
        <f>H22</f>
        <v>100</v>
      </c>
      <c r="V22" s="1572" t="s">
        <v>8</v>
      </c>
      <c r="W22" s="1573">
        <f>J22</f>
        <v>100</v>
      </c>
      <c r="X22" s="1566"/>
      <c r="Y22" s="3491"/>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491"/>
      <c r="Q23" s="1571">
        <f>B23</f>
        <v>111</v>
      </c>
      <c r="R23" s="1572" t="s">
        <v>8</v>
      </c>
      <c r="S23" s="1573">
        <f>F23</f>
        <v>100</v>
      </c>
      <c r="T23" s="1572" t="s">
        <v>8</v>
      </c>
      <c r="U23" s="1573">
        <f>H23</f>
        <v>100</v>
      </c>
      <c r="V23" s="1572" t="s">
        <v>8</v>
      </c>
      <c r="W23" s="1573">
        <f>J23</f>
        <v>100</v>
      </c>
      <c r="X23" s="1566"/>
      <c r="Y23" s="3491"/>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491"/>
      <c r="Q24" s="1571">
        <f t="shared" ref="Q24:Q34" si="11">B24</f>
        <v>111</v>
      </c>
      <c r="R24" s="1572" t="s">
        <v>8</v>
      </c>
      <c r="S24" s="1573">
        <f>F24</f>
        <v>100</v>
      </c>
      <c r="T24" s="1572" t="s">
        <v>8</v>
      </c>
      <c r="U24" s="1573">
        <f>H24</f>
        <v>100</v>
      </c>
      <c r="V24" s="1572" t="s">
        <v>8</v>
      </c>
      <c r="W24" s="1573">
        <f>J24</f>
        <v>100</v>
      </c>
      <c r="X24" s="1566"/>
      <c r="Y24" s="3491"/>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491"/>
      <c r="Q25" s="1149">
        <f t="shared" si="11"/>
        <v>111</v>
      </c>
      <c r="R25" s="1567" t="s">
        <v>8</v>
      </c>
      <c r="S25" s="1568">
        <f>F25</f>
        <v>100</v>
      </c>
      <c r="T25" s="1567" t="s">
        <v>8</v>
      </c>
      <c r="U25" s="1568">
        <f>H25</f>
        <v>100</v>
      </c>
      <c r="V25" s="1567" t="s">
        <v>8</v>
      </c>
      <c r="W25" s="1568">
        <f>J25</f>
        <v>100</v>
      </c>
      <c r="X25" s="1569"/>
      <c r="Y25" s="3491"/>
      <c r="Z25" s="1148">
        <f>Q25</f>
        <v>111</v>
      </c>
      <c r="AA25" s="1575">
        <f>D25/F25</f>
        <v>1</v>
      </c>
      <c r="AB25" s="1575">
        <f>D25/H25</f>
        <v>1</v>
      </c>
      <c r="AC25" s="1575">
        <f>D25/J25</f>
        <v>1</v>
      </c>
    </row>
    <row r="26" spans="1:29" ht="15">
      <c r="A26" s="2931"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49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93"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493"/>
      <c r="Q27" s="1604" t="str">
        <f t="shared" si="11"/>
        <v>成新率</v>
      </c>
      <c r="R27" s="1576" t="s">
        <v>8</v>
      </c>
      <c r="S27" s="1577" t="e">
        <f t="shared" si="12"/>
        <v>#N/A</v>
      </c>
      <c r="T27" s="1576" t="s">
        <v>8</v>
      </c>
      <c r="U27" s="1577" t="e">
        <f t="shared" si="13"/>
        <v>#N/A</v>
      </c>
      <c r="V27" s="1576" t="s">
        <v>8</v>
      </c>
      <c r="W27" s="1577" t="e">
        <f t="shared" si="14"/>
        <v>#N/A</v>
      </c>
      <c r="X27" s="1578"/>
      <c r="Y27" s="3493"/>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493"/>
      <c r="Q28" s="1571" t="str">
        <f t="shared" si="11"/>
        <v>物业等级</v>
      </c>
      <c r="R28" s="1572" t="s">
        <v>8</v>
      </c>
      <c r="S28" s="1573">
        <f t="shared" si="12"/>
        <v>100</v>
      </c>
      <c r="T28" s="1572" t="s">
        <v>8</v>
      </c>
      <c r="U28" s="1573">
        <f t="shared" si="13"/>
        <v>100</v>
      </c>
      <c r="V28" s="1572" t="s">
        <v>8</v>
      </c>
      <c r="W28" s="1573">
        <f t="shared" si="14"/>
        <v>100</v>
      </c>
      <c r="X28" s="1566"/>
      <c r="Y28" s="3493"/>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493"/>
      <c r="Q29" s="1571" t="str">
        <f t="shared" si="11"/>
        <v>有无电梯</v>
      </c>
      <c r="R29" s="1572" t="s">
        <v>8</v>
      </c>
      <c r="S29" s="1573">
        <f t="shared" si="12"/>
        <v>100</v>
      </c>
      <c r="T29" s="1572" t="s">
        <v>8</v>
      </c>
      <c r="U29" s="1573">
        <f t="shared" si="13"/>
        <v>100</v>
      </c>
      <c r="V29" s="1572" t="s">
        <v>8</v>
      </c>
      <c r="W29" s="1573">
        <f t="shared" si="14"/>
        <v>100</v>
      </c>
      <c r="X29" s="1566"/>
      <c r="Y29" s="3493"/>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493"/>
      <c r="Q30" s="1571" t="str">
        <f t="shared" si="11"/>
        <v>建筑面积</v>
      </c>
      <c r="R30" s="1572" t="s">
        <v>8</v>
      </c>
      <c r="S30" s="1573" t="e">
        <f t="shared" si="12"/>
        <v>#N/A</v>
      </c>
      <c r="T30" s="1572" t="s">
        <v>8</v>
      </c>
      <c r="U30" s="1573" t="e">
        <f t="shared" si="13"/>
        <v>#N/A</v>
      </c>
      <c r="V30" s="1572" t="s">
        <v>8</v>
      </c>
      <c r="W30" s="1573" t="e">
        <f t="shared" si="14"/>
        <v>#N/A</v>
      </c>
      <c r="X30" s="1566"/>
      <c r="Y30" s="3493"/>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493"/>
      <c r="Q31" s="1149" t="str">
        <f t="shared" si="11"/>
        <v>是否封闭</v>
      </c>
      <c r="R31" s="1567" t="s">
        <v>8</v>
      </c>
      <c r="S31" s="1568">
        <f t="shared" si="12"/>
        <v>100</v>
      </c>
      <c r="T31" s="1567" t="s">
        <v>8</v>
      </c>
      <c r="U31" s="1568">
        <f t="shared" si="13"/>
        <v>100</v>
      </c>
      <c r="V31" s="1567" t="s">
        <v>8</v>
      </c>
      <c r="W31" s="1568">
        <f t="shared" si="14"/>
        <v>100</v>
      </c>
      <c r="X31" s="1569"/>
      <c r="Y31" s="3493"/>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493" t="s">
        <v>550</v>
      </c>
      <c r="Q32" s="1571">
        <f t="shared" si="11"/>
        <v>111</v>
      </c>
      <c r="R32" s="1572" t="s">
        <v>8</v>
      </c>
      <c r="S32" s="1573">
        <f t="shared" si="12"/>
        <v>100</v>
      </c>
      <c r="T32" s="1572" t="s">
        <v>8</v>
      </c>
      <c r="U32" s="1573">
        <f t="shared" si="13"/>
        <v>100</v>
      </c>
      <c r="V32" s="1572" t="s">
        <v>8</v>
      </c>
      <c r="W32" s="1573">
        <f t="shared" si="14"/>
        <v>100</v>
      </c>
      <c r="X32" s="1566"/>
      <c r="Y32" s="3493"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493"/>
      <c r="Q33" s="1571">
        <f t="shared" si="11"/>
        <v>111</v>
      </c>
      <c r="R33" s="1572" t="s">
        <v>8</v>
      </c>
      <c r="S33" s="1573">
        <f t="shared" si="12"/>
        <v>100</v>
      </c>
      <c r="T33" s="1572" t="s">
        <v>8</v>
      </c>
      <c r="U33" s="1573">
        <f t="shared" si="13"/>
        <v>100</v>
      </c>
      <c r="V33" s="1572" t="s">
        <v>8</v>
      </c>
      <c r="W33" s="1573">
        <f t="shared" si="14"/>
        <v>100</v>
      </c>
      <c r="X33" s="1566"/>
      <c r="Y33" s="3493"/>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493"/>
      <c r="Q34" s="1571">
        <f t="shared" si="11"/>
        <v>111</v>
      </c>
      <c r="R34" s="1572" t="s">
        <v>8</v>
      </c>
      <c r="S34" s="1573">
        <f t="shared" si="12"/>
        <v>100</v>
      </c>
      <c r="T34" s="1572" t="s">
        <v>8</v>
      </c>
      <c r="U34" s="1573">
        <f t="shared" si="13"/>
        <v>100</v>
      </c>
      <c r="V34" s="1572" t="s">
        <v>8</v>
      </c>
      <c r="W34" s="1573">
        <f t="shared" si="14"/>
        <v>100</v>
      </c>
      <c r="X34" s="1566"/>
      <c r="Y34" s="3493"/>
      <c r="Z34" s="1574">
        <f t="shared" si="15"/>
        <v>111</v>
      </c>
      <c r="AA34" s="1575">
        <f t="shared" si="3"/>
        <v>1</v>
      </c>
      <c r="AB34" s="1575">
        <f t="shared" si="4"/>
        <v>1</v>
      </c>
      <c r="AC34" s="1575">
        <f t="shared" si="5"/>
        <v>1</v>
      </c>
    </row>
    <row r="35" spans="1:29" ht="15">
      <c r="A35" s="605" t="s">
        <v>736</v>
      </c>
      <c r="B35" s="885"/>
      <c r="C35" s="2651" t="s">
        <v>1</v>
      </c>
      <c r="D35" s="2652"/>
      <c r="E35" s="2653"/>
      <c r="F35" s="2654"/>
      <c r="G35" s="2655"/>
      <c r="H35" s="2656"/>
      <c r="I35" s="2653"/>
      <c r="J35" s="2656"/>
      <c r="K35" s="1610"/>
      <c r="L35" s="2144"/>
      <c r="M35" s="2145"/>
      <c r="N35" s="2134"/>
      <c r="O35" s="2145"/>
      <c r="P35" s="3488" t="str">
        <f>A35</f>
        <v>成交单价（元/平方米）</v>
      </c>
      <c r="Q35" s="3488"/>
      <c r="R35" s="3588">
        <f>E35</f>
        <v>0</v>
      </c>
      <c r="S35" s="3588"/>
      <c r="T35" s="3588">
        <f>G35</f>
        <v>0</v>
      </c>
      <c r="U35" s="3588"/>
      <c r="V35" s="3588">
        <f>I35</f>
        <v>0</v>
      </c>
      <c r="W35" s="3588"/>
      <c r="X35" s="1558"/>
      <c r="Y35" s="1580"/>
      <c r="Z35" s="1558"/>
      <c r="AA35" s="1558"/>
      <c r="AB35" s="1558"/>
      <c r="AC35" s="1558"/>
    </row>
    <row r="36" spans="1:29" ht="15.75" thickBot="1">
      <c r="A36" s="613" t="s">
        <v>2764</v>
      </c>
      <c r="B36" s="886"/>
      <c r="C36" s="2657" t="e">
        <f>R37</f>
        <v>#DIV/0!</v>
      </c>
      <c r="D36" s="2658"/>
      <c r="E36" s="2659" t="e">
        <f>R36</f>
        <v>#DIV/0!</v>
      </c>
      <c r="F36" s="2659"/>
      <c r="G36" s="2657" t="e">
        <f>T36</f>
        <v>#DIV/0!</v>
      </c>
      <c r="H36" s="2658"/>
      <c r="I36" s="2659" t="e">
        <f>V36</f>
        <v>#DIV/0!</v>
      </c>
      <c r="J36" s="2658"/>
      <c r="K36" s="1611"/>
      <c r="L36" s="2144"/>
      <c r="M36" s="2145"/>
      <c r="N36" s="2134"/>
      <c r="O36" s="2145"/>
      <c r="P36" s="3488" t="str">
        <f>A36</f>
        <v>比较价格（元/平方米）</v>
      </c>
      <c r="Q36" s="3488"/>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558"/>
      <c r="Y36" s="1558"/>
      <c r="Z36" s="1558"/>
      <c r="AA36" s="1558"/>
      <c r="AB36" s="1558"/>
      <c r="AC36" s="1558"/>
    </row>
    <row r="37" spans="1:29" ht="15.75" thickBot="1">
      <c r="A37" s="619" t="s">
        <v>2939</v>
      </c>
      <c r="B37" s="620"/>
      <c r="C37" s="2660" t="e">
        <f>R37</f>
        <v>#DIV/0!</v>
      </c>
      <c r="D37" s="2660"/>
      <c r="E37" s="2660"/>
      <c r="F37" s="2660"/>
      <c r="G37" s="2660"/>
      <c r="H37" s="2660"/>
      <c r="I37" s="2660"/>
      <c r="J37" s="2660"/>
      <c r="K37" s="1612"/>
      <c r="L37" s="2144"/>
      <c r="M37" s="2145"/>
      <c r="N37" s="2145"/>
      <c r="O37" s="2145"/>
      <c r="P37" s="3509" t="str">
        <f>A37</f>
        <v>估价对象XX用房的比较价格（楼面单价，元/平方米）</v>
      </c>
      <c r="Q37" s="3510"/>
      <c r="R37" s="3587" t="e">
        <f>IF(F1="售价",ROUND(AVERAGE(R36:V36),0),ROUND(AVERAGE(R36:V36),1))</f>
        <v>#DIV/0!</v>
      </c>
      <c r="S37" s="3587"/>
      <c r="T37" s="3587"/>
      <c r="U37" s="3587"/>
      <c r="V37" s="3587"/>
      <c r="W37" s="35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21" t="s">
        <v>2562</v>
      </c>
      <c r="C65" s="2622" t="s">
        <v>2563</v>
      </c>
      <c r="D65" s="2622" t="s">
        <v>2564</v>
      </c>
      <c r="E65" s="2622" t="s">
        <v>2565</v>
      </c>
      <c r="F65" s="2622" t="s">
        <v>2566</v>
      </c>
      <c r="G65" s="2622" t="s">
        <v>2567</v>
      </c>
      <c r="H65" s="672"/>
      <c r="I65" s="672"/>
      <c r="J65" s="672"/>
      <c r="K65" s="672"/>
      <c r="L65" s="672"/>
      <c r="M65" s="2625"/>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7"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601" t="s">
        <v>2307</v>
      </c>
      <c r="D1" s="3602"/>
      <c r="E1" s="3602"/>
      <c r="F1" s="3602"/>
      <c r="G1" s="3602"/>
      <c r="H1" s="3602"/>
      <c r="I1" s="3602"/>
      <c r="J1" s="3602"/>
      <c r="K1" s="3602"/>
      <c r="L1" s="3602"/>
      <c r="M1" s="3602"/>
      <c r="N1" s="3602"/>
      <c r="O1" s="3602"/>
      <c r="P1" s="3602"/>
      <c r="Q1" s="3602"/>
      <c r="R1" s="3602"/>
      <c r="S1" s="3603"/>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2931</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2930</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598" t="s">
        <v>20</v>
      </c>
      <c r="D22" s="3599"/>
      <c r="E22" s="3599"/>
      <c r="F22" s="3599"/>
      <c r="G22" s="3599"/>
      <c r="H22" s="3599"/>
      <c r="I22" s="3599"/>
      <c r="J22" s="3599"/>
      <c r="K22" s="3599"/>
      <c r="L22" s="3599"/>
      <c r="M22" s="3599"/>
      <c r="N22" s="3599"/>
      <c r="O22" s="3599"/>
      <c r="P22" s="3599"/>
      <c r="Q22" s="3600"/>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2791</v>
      </c>
      <c r="C1" s="3028">
        <f>项目基本情况!D3</f>
        <v>43230</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2822</v>
      </c>
      <c r="C2" s="3029">
        <f>'数据-取费表'!B22</f>
        <v>1.5</v>
      </c>
      <c r="D2" s="3024" t="s">
        <v>2792</v>
      </c>
      <c r="E2" s="3027">
        <f ca="1">INDIRECT("I"&amp;$I$1)/100</f>
        <v>4.7500000000000001E-2</v>
      </c>
      <c r="G2" s="2964"/>
      <c r="H2" s="2964"/>
      <c r="I2" s="2964" t="s">
        <v>2793</v>
      </c>
      <c r="K2" s="2964"/>
      <c r="L2" s="2964"/>
      <c r="M2" s="2964"/>
      <c r="N2" s="2964" t="s">
        <v>2794</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2824</v>
      </c>
      <c r="C3" s="3026">
        <f>'数据-取费表'!B19</f>
        <v>0</v>
      </c>
      <c r="D3" s="3024" t="s">
        <v>2792</v>
      </c>
      <c r="E3" s="3027">
        <f ca="1">INDIRECT("J"&amp;$J$1)/100</f>
        <v>0</v>
      </c>
      <c r="G3" s="2966" t="s">
        <v>2795</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2823</v>
      </c>
      <c r="C4" s="3027">
        <f ca="1">N4/100</f>
        <v>1.4999999999999999E-2</v>
      </c>
      <c r="G4" s="2972" t="s">
        <v>2796</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2797</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2798</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2799</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2800</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2801</v>
      </c>
      <c r="C10" s="2991"/>
      <c r="D10" s="2991"/>
      <c r="E10" s="2991"/>
      <c r="F10" s="2991"/>
      <c r="G10" s="2991"/>
      <c r="H10" s="2991"/>
      <c r="I10" s="2965"/>
      <c r="J10" s="2965"/>
      <c r="K10" s="2991"/>
      <c r="L10" s="2992" t="s">
        <v>2802</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2803</v>
      </c>
      <c r="C11" s="2996" t="s">
        <v>2804</v>
      </c>
      <c r="D11" s="2997" t="s">
        <v>2805</v>
      </c>
      <c r="E11" s="2998"/>
      <c r="F11" s="2997" t="s">
        <v>2806</v>
      </c>
      <c r="G11" s="2999"/>
      <c r="H11" s="2998"/>
      <c r="I11" s="2997" t="s">
        <v>2807</v>
      </c>
      <c r="J11" s="2998"/>
      <c r="K11" s="2994"/>
      <c r="L11" s="2995" t="s">
        <v>2803</v>
      </c>
      <c r="M11" s="2996" t="s">
        <v>2804</v>
      </c>
      <c r="N11" s="2995" t="s">
        <v>2808</v>
      </c>
      <c r="O11" s="2997" t="s">
        <v>2809</v>
      </c>
      <c r="P11" s="2999"/>
      <c r="Q11" s="2999"/>
      <c r="R11" s="2999"/>
      <c r="S11" s="2999"/>
      <c r="T11" s="2998"/>
      <c r="U11" s="2997" t="s">
        <v>2810</v>
      </c>
      <c r="V11" s="2999"/>
      <c r="W11" s="2998"/>
      <c r="X11" s="2995" t="s">
        <v>2811</v>
      </c>
      <c r="Y11" s="2995" t="s">
        <v>2812</v>
      </c>
      <c r="Z11" s="2995" t="s">
        <v>2813</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2814</v>
      </c>
      <c r="E12" s="3004" t="s">
        <v>2815</v>
      </c>
      <c r="F12" s="3004" t="s">
        <v>2816</v>
      </c>
      <c r="G12" s="3004" t="s">
        <v>2817</v>
      </c>
      <c r="H12" s="3004" t="s">
        <v>2799</v>
      </c>
      <c r="I12" s="3005" t="s">
        <v>2818</v>
      </c>
      <c r="J12" s="3005" t="s">
        <v>2818</v>
      </c>
      <c r="K12" s="3001"/>
      <c r="L12" s="3002"/>
      <c r="M12" s="3003"/>
      <c r="N12" s="3002"/>
      <c r="O12" s="3005" t="s">
        <v>2819</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2820</v>
      </c>
      <c r="C13" s="3009">
        <v>42301</v>
      </c>
      <c r="D13" s="3010">
        <v>4.3499999999999996</v>
      </c>
      <c r="E13" s="3010">
        <v>4.3499999999999996</v>
      </c>
      <c r="F13" s="3010">
        <v>4.75</v>
      </c>
      <c r="G13" s="3010">
        <v>4.75</v>
      </c>
      <c r="H13" s="3010">
        <v>4.9000000000000004</v>
      </c>
      <c r="I13" s="3010">
        <v>2.75</v>
      </c>
      <c r="J13" s="3010">
        <v>3.25</v>
      </c>
      <c r="K13" s="3007"/>
      <c r="L13" s="3008" t="s">
        <v>2820</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2821</v>
      </c>
      <c r="Y42" s="3014" t="s">
        <v>2821</v>
      </c>
      <c r="Z42" s="3014" t="s">
        <v>2821</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2821</v>
      </c>
      <c r="Y43" s="3014" t="s">
        <v>2821</v>
      </c>
      <c r="Z43" s="3014" t="s">
        <v>2821</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2821</v>
      </c>
      <c r="Y44" s="3014" t="s">
        <v>2821</v>
      </c>
      <c r="Z44" s="3014" t="s">
        <v>2821</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2821</v>
      </c>
      <c r="Y45" s="3014" t="s">
        <v>2821</v>
      </c>
      <c r="Z45" s="3014" t="s">
        <v>2821</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2821</v>
      </c>
      <c r="Y46" s="3014" t="s">
        <v>2821</v>
      </c>
      <c r="Z46" s="3014" t="s">
        <v>2821</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2821</v>
      </c>
      <c r="Y47" s="3014" t="s">
        <v>2821</v>
      </c>
      <c r="Z47" s="3014" t="s">
        <v>2821</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2821</v>
      </c>
      <c r="Y48" s="3014" t="s">
        <v>2821</v>
      </c>
      <c r="Z48" s="3014" t="s">
        <v>2821</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2821</v>
      </c>
      <c r="Y49" s="3014" t="s">
        <v>2821</v>
      </c>
      <c r="Z49" s="3014" t="s">
        <v>2821</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2821</v>
      </c>
      <c r="Y50" s="3014" t="s">
        <v>2821</v>
      </c>
      <c r="Z50" s="3014" t="s">
        <v>2821</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2821</v>
      </c>
      <c r="V51" s="3014" t="s">
        <v>2821</v>
      </c>
      <c r="W51" s="3014" t="s">
        <v>2821</v>
      </c>
      <c r="X51" s="3014" t="s">
        <v>2821</v>
      </c>
      <c r="Y51" s="3014" t="s">
        <v>2821</v>
      </c>
      <c r="Z51" s="3014" t="s">
        <v>2821</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2821</v>
      </c>
      <c r="J55" s="3014" t="s">
        <v>2821</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activeCell="K165" sqref="K165"/>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6" sqref="P26"/>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workbookViewId="0">
      <selection activeCell="P205" sqref="P205"/>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2041</v>
      </c>
      <c r="B1" s="3250"/>
      <c r="C1" s="3250"/>
      <c r="D1" s="3250"/>
      <c r="E1" s="3250"/>
      <c r="F1" s="3250"/>
      <c r="G1" s="3250"/>
      <c r="H1" s="3250"/>
      <c r="I1" s="3250"/>
      <c r="J1" s="3250"/>
      <c r="K1" s="3250"/>
      <c r="L1" s="3250"/>
      <c r="M1" s="3250"/>
      <c r="N1" s="3250"/>
      <c r="O1" s="3250"/>
      <c r="P1" s="3250"/>
      <c r="Q1" s="3250"/>
      <c r="R1" s="3250"/>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1" t="s">
        <v>2032</v>
      </c>
      <c r="B3" s="3251" t="s">
        <v>2735</v>
      </c>
      <c r="C3" s="3252" t="s">
        <v>2033</v>
      </c>
      <c r="D3" s="3251" t="s">
        <v>2739</v>
      </c>
      <c r="E3" s="3254" t="s">
        <v>2034</v>
      </c>
      <c r="F3" s="3254"/>
      <c r="G3" s="3254"/>
      <c r="H3" s="3254" t="s">
        <v>2035</v>
      </c>
      <c r="I3" s="3254"/>
      <c r="J3" s="3254"/>
      <c r="K3" s="3252" t="s">
        <v>2036</v>
      </c>
      <c r="L3" s="3252" t="s">
        <v>2037</v>
      </c>
      <c r="M3" s="3251" t="s">
        <v>2736</v>
      </c>
      <c r="N3" s="3253" t="str">
        <f>"（分摊）"&amp;项目基本情况!B16&amp;"国有建设用地使用权面积/㎡"</f>
        <v>（分摊）出让国有建设用地使用权面积/㎡</v>
      </c>
      <c r="O3" s="3251" t="s">
        <v>2066</v>
      </c>
      <c r="P3" s="3252" t="s">
        <v>2046</v>
      </c>
      <c r="Q3" s="3252" t="s">
        <v>2067</v>
      </c>
      <c r="R3" s="3252" t="s">
        <v>2038</v>
      </c>
    </row>
    <row r="4" spans="1:18" ht="36.75" customHeight="1">
      <c r="A4" s="3251"/>
      <c r="B4" s="3251"/>
      <c r="C4" s="3252"/>
      <c r="D4" s="3251"/>
      <c r="E4" s="2673" t="s">
        <v>2045</v>
      </c>
      <c r="F4" s="2673" t="s">
        <v>2748</v>
      </c>
      <c r="G4" s="2673" t="s">
        <v>2039</v>
      </c>
      <c r="H4" s="2673" t="s">
        <v>2040</v>
      </c>
      <c r="I4" s="2673" t="s">
        <v>2749</v>
      </c>
      <c r="J4" s="2673" t="s">
        <v>2039</v>
      </c>
      <c r="K4" s="3252"/>
      <c r="L4" s="3252"/>
      <c r="M4" s="3251"/>
      <c r="N4" s="3253"/>
      <c r="O4" s="3251"/>
      <c r="P4" s="3252"/>
      <c r="Q4" s="3252"/>
      <c r="R4" s="3252"/>
    </row>
    <row r="5" spans="1:18" ht="135" customHeight="1">
      <c r="A5" s="1943" t="s">
        <v>2659</v>
      </c>
      <c r="B5" s="2891" t="s">
        <v>2657</v>
      </c>
      <c r="C5" s="2672">
        <v>22</v>
      </c>
      <c r="D5" s="2671" t="s">
        <v>2658</v>
      </c>
      <c r="E5" s="1810">
        <f>项目基本情况!B12</f>
        <v>0</v>
      </c>
      <c r="F5" s="2671">
        <v>258</v>
      </c>
      <c r="G5" s="1810">
        <f>项目基本情况!B13</f>
        <v>0</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154608</v>
      </c>
      <c r="Q5" s="1810">
        <f ca="1">结果表!D42</f>
        <v>32144</v>
      </c>
      <c r="R5" s="1811">
        <f ca="1">结果表!C42</f>
        <v>32144</v>
      </c>
    </row>
    <row r="6" spans="1:18">
      <c r="A6" s="3247" t="str">
        <f>IF(项目基本情况!B9="市场价格","——","抵押价格")</f>
        <v>——</v>
      </c>
      <c r="B6" s="3248"/>
      <c r="C6" s="3248"/>
      <c r="D6" s="3248"/>
      <c r="E6" s="3248"/>
      <c r="F6" s="3248"/>
      <c r="G6" s="3248"/>
      <c r="H6" s="3248"/>
      <c r="I6" s="3248"/>
      <c r="J6" s="3248"/>
      <c r="K6" s="3248"/>
      <c r="L6" s="3248"/>
      <c r="M6" s="3248"/>
      <c r="N6" s="3248"/>
      <c r="O6" s="3248"/>
      <c r="P6" s="3248"/>
      <c r="Q6" s="3249"/>
      <c r="R6" s="1812" t="str">
        <f>结果表!O39</f>
        <v>——</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2"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5" t="s">
        <v>2068</v>
      </c>
      <c r="B1" s="3255"/>
      <c r="C1" s="3255"/>
      <c r="D1" s="3255"/>
    </row>
    <row r="2" spans="1:4" ht="47.25" customHeight="1">
      <c r="A2" s="3259" t="str">
        <f>"1.权利限制："&amp;项目基本情况!L24&amp;"未设定租赁等其他他项权利。"</f>
        <v>1.权利限制：根据估价对象《不动产权证书》原件、《国有土地使用权》复印件，截至估价期日，估价对象抵押权未见登记。未设定租赁等其他他项权利。</v>
      </c>
      <c r="B2" s="3259"/>
      <c r="C2" s="3259"/>
      <c r="D2" s="3259"/>
    </row>
    <row r="3" spans="1:4" ht="48" customHeight="1">
      <c r="A3" s="32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5"/>
      <c r="C3" s="3255"/>
      <c r="D3" s="3255"/>
    </row>
    <row r="4" spans="1:4" ht="36.75" customHeight="1">
      <c r="A4" s="3255" t="str">
        <f>"3.估价规划限制条件：详见"&amp;项目基本情况!E21&amp;"。"</f>
        <v>3.估价规划限制条件：详见《建设工程规划许可证》[]、《出让合同》[]。</v>
      </c>
      <c r="B4" s="3255"/>
      <c r="C4" s="3255"/>
      <c r="D4" s="3255"/>
    </row>
    <row r="5" spans="1:4">
      <c r="A5" s="3258" t="s">
        <v>2069</v>
      </c>
      <c r="B5" s="3258"/>
      <c r="C5" s="3258"/>
      <c r="D5" s="3258"/>
    </row>
    <row r="6" spans="1:4">
      <c r="A6" s="3255" t="s">
        <v>2047</v>
      </c>
      <c r="B6" s="3255"/>
      <c r="C6" s="3255"/>
      <c r="D6" s="3255"/>
    </row>
    <row r="7" spans="1:4" ht="33" customHeight="1">
      <c r="A7" s="3255" t="s">
        <v>2579</v>
      </c>
      <c r="B7" s="3255"/>
      <c r="C7" s="3255"/>
      <c r="D7" s="3255"/>
    </row>
    <row r="8" spans="1:4" ht="32.25" customHeight="1">
      <c r="A8" s="32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5"/>
      <c r="C8" s="3255"/>
      <c r="D8" s="3255"/>
    </row>
    <row r="9" spans="1:4" ht="33.75" customHeight="1">
      <c r="A9" s="3255" t="str">
        <f>IF(项目基本情况!B8="抵押","3.抵押双方在办理抵押登记手续时，应使用本公司出具的正式《土地估价报告》，特提请报告使用者注意。","——")</f>
        <v>——</v>
      </c>
      <c r="B9" s="3255"/>
      <c r="C9" s="3255"/>
      <c r="D9" s="3255"/>
    </row>
    <row r="10" spans="1:4">
      <c r="A10" s="3255" t="str">
        <f>IF(项目基本情况!B8="抵押","4.估价师所知悉的法定优先受偿款情况为：","——")</f>
        <v>——</v>
      </c>
      <c r="B10" s="3255"/>
      <c r="C10" s="3255"/>
      <c r="D10" s="3255"/>
    </row>
    <row r="11" spans="1:4" ht="37.5" customHeight="1">
      <c r="A11" s="3257" t="str">
        <f>IF(项目基本情况!B8="抵押","（1）"&amp;CONCATENATE(项目基本情况!L24,项目基本情况!L25,项目基本情况!L26),"——")</f>
        <v>——</v>
      </c>
      <c r="B11" s="3257"/>
      <c r="C11" s="3257"/>
      <c r="D11" s="3257"/>
    </row>
    <row r="12" spans="1:4" ht="168" customHeight="1">
      <c r="A12" s="3258" t="s">
        <v>2071</v>
      </c>
      <c r="B12" s="3258"/>
      <c r="C12" s="3258"/>
      <c r="D12" s="3258"/>
    </row>
    <row r="13" spans="1:4">
      <c r="A13" s="3256" t="s">
        <v>2750</v>
      </c>
      <c r="B13" s="3256"/>
      <c r="C13" s="3256"/>
      <c r="D13" s="3256"/>
    </row>
    <row r="14" spans="1:4">
      <c r="A14" s="3257" t="str">
        <f>IF(项目基本情况!B8="抵押","综上，"&amp;结果表!K47,"——")</f>
        <v>——</v>
      </c>
      <c r="B14" s="3257"/>
      <c r="C14" s="3257"/>
      <c r="D14" s="3257"/>
    </row>
    <row r="15" spans="1:4" ht="58.5" customHeight="1">
      <c r="A15" s="32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5"/>
      <c r="C15" s="3255"/>
      <c r="D15" s="3255"/>
    </row>
    <row r="16" spans="1:4" ht="70.5" customHeight="1">
      <c r="A16" s="32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5"/>
      <c r="C16" s="3255"/>
      <c r="D16" s="3255"/>
    </row>
    <row r="17" spans="1:4">
      <c r="A17" s="3255" t="s">
        <v>2706</v>
      </c>
      <c r="B17" s="3255"/>
      <c r="C17" s="3255"/>
      <c r="D17" s="3255"/>
    </row>
    <row r="18" spans="1:4">
      <c r="A18" s="3255" t="s">
        <v>2698</v>
      </c>
      <c r="B18" s="3255"/>
      <c r="C18" s="3255"/>
      <c r="D18" s="3255"/>
    </row>
    <row r="19" spans="1:4">
      <c r="A19" s="2892" t="s">
        <v>2699</v>
      </c>
      <c r="B19" s="2892" t="s">
        <v>2700</v>
      </c>
      <c r="C19" s="2892" t="s">
        <v>2701</v>
      </c>
      <c r="D19" s="2892" t="s">
        <v>2702</v>
      </c>
    </row>
    <row r="20" spans="1:4">
      <c r="A20" s="2892" t="str">
        <f>项目基本情况!B4</f>
        <v>陈颖</v>
      </c>
      <c r="B20" s="2892">
        <f ca="1">项目基本情况!C4</f>
        <v>2004110096</v>
      </c>
      <c r="C20" s="2894"/>
      <c r="D20" s="1800" t="s">
        <v>2707</v>
      </c>
    </row>
    <row r="21" spans="1:4">
      <c r="A21" s="2892" t="str">
        <f>项目基本情况!D4</f>
        <v>杨红英</v>
      </c>
      <c r="B21" s="2892">
        <f>项目基本情况!E4</f>
        <v>2004110128</v>
      </c>
      <c r="C21" s="2894"/>
      <c r="D21" s="1800" t="s">
        <v>2708</v>
      </c>
    </row>
    <row r="23" spans="1:4">
      <c r="A23" s="3255" t="s">
        <v>2703</v>
      </c>
      <c r="B23" s="3255"/>
      <c r="C23" s="3255"/>
      <c r="D23" s="3255"/>
    </row>
    <row r="24" spans="1:4">
      <c r="A24" s="2892" t="s">
        <v>2699</v>
      </c>
      <c r="B24" s="2892" t="s">
        <v>2704</v>
      </c>
      <c r="C24" s="2892" t="s">
        <v>2701</v>
      </c>
      <c r="D24" s="2892" t="s">
        <v>2702</v>
      </c>
    </row>
    <row r="25" spans="1:4">
      <c r="A25" s="2895" t="s">
        <v>2705</v>
      </c>
      <c r="B25" s="2892" t="s">
        <v>952</v>
      </c>
      <c r="C25" s="2894"/>
      <c r="D25" s="1800" t="s">
        <v>2708</v>
      </c>
    </row>
    <row r="29" spans="1:4">
      <c r="D29" s="2893" t="s">
        <v>2042</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67" t="s">
        <v>53</v>
      </c>
      <c r="B15" s="3268" t="s">
        <v>846</v>
      </c>
      <c r="C15" s="3264"/>
    </row>
    <row r="16" spans="1:7" ht="14.25">
      <c r="A16" s="3267"/>
      <c r="B16" s="3265" t="s">
        <v>54</v>
      </c>
      <c r="C16" s="1170" t="s">
        <v>53</v>
      </c>
    </row>
    <row r="17" spans="1:3" ht="14.25">
      <c r="A17" s="3267"/>
      <c r="B17" s="3265"/>
      <c r="C17" s="1170" t="s">
        <v>55</v>
      </c>
    </row>
    <row r="18" spans="1:3" ht="14.25">
      <c r="A18" s="3267"/>
      <c r="B18" s="3265"/>
      <c r="C18" s="1170" t="s">
        <v>56</v>
      </c>
    </row>
    <row r="19" spans="1:3" ht="14.25">
      <c r="A19" s="3267"/>
      <c r="B19" s="3263" t="s">
        <v>57</v>
      </c>
      <c r="C19" s="3264"/>
    </row>
    <row r="20" spans="1:3" ht="14.25">
      <c r="A20" s="1171" t="s">
        <v>58</v>
      </c>
      <c r="B20" s="1172"/>
      <c r="C20" s="1173"/>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4" t="s">
        <v>837</v>
      </c>
    </row>
    <row r="25" spans="1:3" ht="14.25">
      <c r="A25" s="3266"/>
      <c r="B25" s="3270"/>
      <c r="C25" s="1174" t="s">
        <v>838</v>
      </c>
    </row>
    <row r="26" spans="1:3" ht="14.25">
      <c r="A26" s="3266"/>
      <c r="B26" s="3270"/>
      <c r="C26" s="1174" t="s">
        <v>839</v>
      </c>
    </row>
    <row r="27" spans="1:3" ht="14.25">
      <c r="A27" s="3266"/>
      <c r="B27" s="3270"/>
      <c r="C27" s="1174" t="s">
        <v>840</v>
      </c>
    </row>
    <row r="28" spans="1:3" ht="14.25">
      <c r="A28" s="3266"/>
      <c r="B28" s="3270"/>
      <c r="C28" s="1174" t="s">
        <v>841</v>
      </c>
    </row>
    <row r="29" spans="1:3" ht="14.25">
      <c r="A29" s="3266"/>
      <c r="B29" s="3270"/>
      <c r="C29" s="1174" t="s">
        <v>842</v>
      </c>
    </row>
    <row r="30" spans="1:3" ht="14.25">
      <c r="A30" s="3266"/>
      <c r="B30" s="3270"/>
      <c r="C30" s="1174" t="s">
        <v>843</v>
      </c>
    </row>
    <row r="31" spans="1:3" ht="14.25">
      <c r="A31" s="3266"/>
      <c r="B31" s="3270"/>
      <c r="C31" s="1174" t="s">
        <v>844</v>
      </c>
    </row>
    <row r="32" spans="1:3" ht="14.25">
      <c r="A32" s="3266"/>
      <c r="B32" s="3270"/>
      <c r="C32" s="1174" t="s">
        <v>1647</v>
      </c>
    </row>
    <row r="33" spans="1:3" ht="14.25">
      <c r="A33" s="3266"/>
      <c r="B33" s="3260" t="s">
        <v>1653</v>
      </c>
      <c r="C33" s="1174" t="s">
        <v>1648</v>
      </c>
    </row>
    <row r="34" spans="1:3" ht="14.25">
      <c r="A34" s="3266"/>
      <c r="B34" s="3261"/>
      <c r="C34" s="1179" t="s">
        <v>1649</v>
      </c>
    </row>
    <row r="35" spans="1:3" ht="14.25">
      <c r="A35" s="3266"/>
      <c r="B35" s="3261"/>
      <c r="C35" s="1180" t="s">
        <v>1650</v>
      </c>
    </row>
    <row r="36" spans="1:3" ht="14.25">
      <c r="A36" s="3266"/>
      <c r="B36" s="3261"/>
      <c r="C36" s="1180" t="s">
        <v>1651</v>
      </c>
    </row>
    <row r="37" spans="1:3" ht="14.25">
      <c r="A37" s="3266"/>
      <c r="B37" s="326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43258</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2983</v>
      </c>
      <c r="B12" s="2343">
        <v>1120110054</v>
      </c>
      <c r="C12" s="3030">
        <v>43937</v>
      </c>
      <c r="D12" s="2343" t="s">
        <v>2983</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2578</v>
      </c>
      <c r="B15" s="2343">
        <v>1120070085</v>
      </c>
      <c r="C15" s="3030">
        <v>43814</v>
      </c>
      <c r="D15" s="2343" t="s">
        <v>2578</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71" t="s">
        <v>1929</v>
      </c>
      <c r="B25" s="3271"/>
      <c r="C25" s="3271"/>
      <c r="D25" s="3271"/>
      <c r="E25" s="3271"/>
      <c r="F25" s="3271"/>
      <c r="G25" s="3271"/>
    </row>
    <row r="26" spans="1:7" ht="20.25" customHeight="1">
      <c r="A26" s="3272" t="s">
        <v>1930</v>
      </c>
      <c r="B26" s="3272"/>
      <c r="C26" s="3272"/>
      <c r="D26" s="3272" t="s">
        <v>1931</v>
      </c>
      <c r="E26" s="3272"/>
      <c r="F26" s="327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2960</v>
      </c>
      <c r="C18" s="1553"/>
    </row>
    <row r="19" spans="1:3">
      <c r="A19" s="8" t="s">
        <v>120</v>
      </c>
      <c r="B19" s="3141" t="s">
        <v>2968</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73"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273"/>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3"/>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3"/>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3"/>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2018-06-07T09:23:09Z</dcterms:modified>
</cp:coreProperties>
</file>